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nick.momenee\Downloads\"/>
    </mc:Choice>
  </mc:AlternateContent>
  <xr:revisionPtr revIDLastSave="0" documentId="13_ncr:1_{879710C1-3EBC-4FC6-8740-E89E3A1BC533}" xr6:coauthVersionLast="47" xr6:coauthVersionMax="47" xr10:uidLastSave="{00000000-0000-0000-0000-000000000000}"/>
  <workbookProtection workbookAlgorithmName="SHA-512" workbookHashValue="B+Y+U9UpE8W2IPPaOknHPV9YprJmvfltlQBGqgQtFkPehY3J3c+5OgzYoJiJmskEc+wizrxGDvb5Q0kCpGoaZw==" workbookSaltValue="1PNFg/jhlD8KckDatkEEAw==" workbookSpinCount="100000" lockStructure="1"/>
  <bookViews>
    <workbookView xWindow="20370" yWindow="-120" windowWidth="29040" windowHeight="15720" tabRatio="832" firstSheet="3" activeTab="5" xr2:uid="{00000000-000D-0000-FFFF-FFFF00000000}"/>
  </bookViews>
  <sheets>
    <sheet name="Methodology" sheetId="48" state="hidden" r:id="rId1"/>
    <sheet name="Utility Admin" sheetId="67" state="hidden" r:id="rId2"/>
    <sheet name="Zip Code Lookup Table" sheetId="63" state="hidden" r:id="rId3"/>
    <sheet name="Instructions" sheetId="16" r:id="rId4"/>
    <sheet name="Incentives" sheetId="31" state="hidden" r:id="rId5"/>
    <sheet name="Summary" sheetId="30" r:id="rId6"/>
    <sheet name="Data Export" sheetId="49" state="hidden" r:id="rId7"/>
    <sheet name="Version Log" sheetId="29" state="hidden" r:id="rId8"/>
    <sheet name="Calculations" sheetId="5" state="hidden" r:id="rId9"/>
    <sheet name="ES Ice Machines" sheetId="50" state="hidden" r:id="rId10"/>
    <sheet name="Beverage and Snack Controls" sheetId="42" state="hidden" r:id="rId11"/>
    <sheet name="Combination Oven" sheetId="62" r:id="rId12"/>
    <sheet name="ENERGY STAR Bath Fans" sheetId="56" state="hidden" r:id="rId13"/>
    <sheet name="ENERGY STAR Steam Cooker" sheetId="40" state="hidden" r:id="rId14"/>
    <sheet name="Convection Oven" sheetId="46" r:id="rId15"/>
    <sheet name="Beverage Vending Machine" sheetId="41" state="hidden" r:id="rId16"/>
    <sheet name="Commercial Fryer" sheetId="53" r:id="rId17"/>
    <sheet name="Hot Food Holding Cabinet" sheetId="54" r:id="rId18"/>
    <sheet name="Commercial Dishwasher" sheetId="55" r:id="rId19"/>
    <sheet name="ENERGY STAR Griddle" sheetId="57" r:id="rId20"/>
    <sheet name="ENERGY STAR Clothes Washer" sheetId="47" r:id="rId21"/>
    <sheet name="Office Equipment" sheetId="52" state="hidden" r:id="rId22"/>
    <sheet name="Commercial Induction Cooktops" sheetId="64" r:id="rId23"/>
    <sheet name="Advanced Power Strips" sheetId="59" state="hidden" r:id="rId24"/>
    <sheet name="ENERGY STAR Servers" sheetId="65" state="hidden" r:id="rId25"/>
    <sheet name="Server Virtualization" sheetId="66" state="hidden" r:id="rId26"/>
    <sheet name="Network Power Management" sheetId="58" state="hidden" r:id="rId27"/>
  </sheets>
  <definedNames>
    <definedName name="_2_3__Size">Calculations!$I$48:$I$49</definedName>
    <definedName name="_xlnm._FilterDatabase" localSheetId="2" hidden="1">'Zip Code Lookup Table'!$A$1:$C$2223</definedName>
    <definedName name="August_31__2012___January_7__2019">Calculations!$N$104:$N$105</definedName>
    <definedName name="BaseIceMachineType">Calculations!$C$129:$C$132</definedName>
    <definedName name="Batch_I_M_H_Base">Calculations!$E$183:$E$186</definedName>
    <definedName name="Batch_I_M_H_EE">Calculations!$E$205:$E$208</definedName>
    <definedName name="Batch_R_C_EE">Calculations!$E$209:$E$211</definedName>
    <definedName name="Batch_R_C_W_RC_Base">Calculations!$E$189:$E$190</definedName>
    <definedName name="Batch_R_C_WO_RC_Base">Calculations!$E$187:$E$188</definedName>
    <definedName name="Batch_SC_Base">Calculations!$E$191:$E$193</definedName>
    <definedName name="Batch_SC_EE">Calculations!$E$213:$E$215</definedName>
    <definedName name="Before_August_31__2012">Calculations!$M$104</definedName>
    <definedName name="Chiller_BuildingLocation">#REF!</definedName>
    <definedName name="Chiller_BuildingType">#REF!</definedName>
    <definedName name="Chiller_Facility_Types">#REF!</definedName>
    <definedName name="Cont_I_M_H_Base">Calculations!$E$194:$E$196</definedName>
    <definedName name="Cont_I_M_H_EE">Calculations!$E$216:$E$218</definedName>
    <definedName name="Cont_R_C_EE">Calculations!$E$219:$E$221</definedName>
    <definedName name="Cont_R_C_W_RC_Base">Calculations!$E$199:$E$200</definedName>
    <definedName name="Cont_R_C_WO_RC_Base">Calculations!$E$197:$E$198</definedName>
    <definedName name="Cont_SC_Base">Calculations!$E$201:$E$203</definedName>
    <definedName name="Cont_SC_EE">Calculations!$E$223:$E$225</definedName>
    <definedName name="CR_Utility">'Utility Admin'!$E$3</definedName>
    <definedName name="Custom_Lite_Incentive">#REF!</definedName>
    <definedName name="DHP_BuildingLocation">#REF!</definedName>
    <definedName name="DHP_BuildingType">#REF!</definedName>
    <definedName name="EEIceMachineType">Calculations!$D$129:$D$132</definedName>
    <definedName name="Electric_Steam_Cooker" localSheetId="24">#REF!</definedName>
    <definedName name="Electric_Steam_Cooker">Calculations!$B$93:$J$98</definedName>
    <definedName name="ElectricHeatCOP">#REF!</definedName>
    <definedName name="Facility_Types">#REF!</definedName>
    <definedName name="Facilitytype">Calculations!#REF!</definedName>
    <definedName name="Full">Calculations!$Y$48:$Y$85</definedName>
    <definedName name="Full_Size">Calculations!$Y$48:$Y$85</definedName>
    <definedName name="Half">Calculations!$X$48:$X$85</definedName>
    <definedName name="Half_Size">Calculations!$X$74:$X$100</definedName>
    <definedName name="HVAC_BuildingLocation">#REF!</definedName>
    <definedName name="Ice_Making_Head" localSheetId="24">#REF!</definedName>
    <definedName name="Ice_Making_Head">Calculations!#REF!</definedName>
    <definedName name="Logo">IF('Utility Admin'!$E$3="PPL",  'Utility Admin'!$H$7:$L$15,   IF('Utility Admin'!$E$3 = "First Energy",'Utility Admin'!$H$27:$L$35,'Utility Admin'!$H$17:$L$25))</definedName>
    <definedName name="Manufactured_Date">Calculations!$L$104:$L$106</definedName>
    <definedName name="Mini">Calculations!$I$48:$I$49</definedName>
    <definedName name="NC_Type" hidden="1">#REF!</definedName>
    <definedName name="Office_Equiment">Calculations!$B$270:$D$289</definedName>
    <definedName name="On_or_after_January_8__2019">Calculations!$O$104:$O$107</definedName>
    <definedName name="Prescriptive_Incentive">#REF!</definedName>
    <definedName name="_xlnm.Print_Area" localSheetId="23">'Advanced Power Strips'!$B$2:$H$4</definedName>
    <definedName name="_xlnm.Print_Area" localSheetId="10">'Beverage and Snack Controls'!$B$2:$G$4</definedName>
    <definedName name="_xlnm.Print_Area" localSheetId="15">'Beverage Vending Machine'!$B$2:$F$4</definedName>
    <definedName name="_xlnm.Print_Area" localSheetId="11">'Combination Oven'!$B$2:$I$8</definedName>
    <definedName name="_xlnm.Print_Area" localSheetId="18">'Commercial Dishwasher'!$B$2:$K$4</definedName>
    <definedName name="_xlnm.Print_Area" localSheetId="16">'Commercial Fryer'!$B$2:$M$4</definedName>
    <definedName name="_xlnm.Print_Area" localSheetId="22">'Commercial Induction Cooktops'!$B$2:$K$4</definedName>
    <definedName name="_xlnm.Print_Area" localSheetId="14">'Convection Oven'!$B$2:$K$4</definedName>
    <definedName name="_xlnm.Print_Area" localSheetId="12">'ENERGY STAR Bath Fans'!$B$2:$I$4</definedName>
    <definedName name="_xlnm.Print_Area" localSheetId="20">'ENERGY STAR Clothes Washer'!$B$2:$H$5</definedName>
    <definedName name="_xlnm.Print_Area" localSheetId="19">'ENERGY STAR Griddle'!$B$2:$I$4</definedName>
    <definedName name="_xlnm.Print_Area" localSheetId="13">'ENERGY STAR Steam Cooker'!$B$2:$H$4</definedName>
    <definedName name="_xlnm.Print_Area" localSheetId="9">'ES Ice Machines'!$B$2:$H$4</definedName>
    <definedName name="_xlnm.Print_Area" localSheetId="17">'Hot Food Holding Cabinet'!$B$2:$K$4</definedName>
    <definedName name="_xlnm.Print_Area" localSheetId="26">'Network Power Management'!$B$2:$G$4</definedName>
    <definedName name="_xlnm.Print_Area" localSheetId="21">'Office Equipment'!$B$2:$H$4</definedName>
    <definedName name="PRJ_Type" hidden="1">#REF!</definedName>
    <definedName name="Project_Type">#REF!</definedName>
    <definedName name="ReportLogo">IF('Utility Admin'!$E$3="PPL", 'Utility Admin'!$O$7:$S$15,   IF('Utility Admin'!$E$3 = "First Energy",'Utility Admin'!$O$27:$S$35,'Utility Admin'!$O$17:$S$25))</definedName>
    <definedName name="Washertype">Calculations!$B$314:$E$315</definedName>
    <definedName name="xBuilding_Location">#REF!</definedName>
    <definedName name="xyAC_Cooling_EFLHs">#REF!</definedName>
    <definedName name="xyAFUE">#REF!</definedName>
    <definedName name="xyChiller_CFs">#REF!</definedName>
    <definedName name="xyChiller_Cooling_EFLHs">#REF!</definedName>
    <definedName name="xyDegreeDays">#REF!</definedName>
    <definedName name="xyDHP_Cooling_Baseline">#REF!</definedName>
    <definedName name="xyDHP_Heating_Baseline">#REF!</definedName>
    <definedName name="xyFree_Cooling_Hrs">#REF!</definedName>
    <definedName name="xyGRControls">#REF!</definedName>
    <definedName name="xyHeating_EFLHs">#REF!</definedName>
    <definedName name="xyHVAC_CFs">#REF!</definedName>
    <definedName name="xyInsulationValue">#REF!</definedName>
    <definedName name="xyPumpEff">#REF!</definedName>
    <definedName name="y_ECM_VSD">#REF!</definedName>
    <definedName name="y_Location_of_Fan_Plugs">#REF!</definedName>
    <definedName name="yBuilding_Type_Chillers">#REF!</definedName>
    <definedName name="yBuilding_Type_HVAC">#REF!</definedName>
    <definedName name="yChiller_EER_base">#REF!</definedName>
    <definedName name="yChiller_MaxCapacity">#REF!</definedName>
    <definedName name="yChiller_MinCapacity">#REF!</definedName>
    <definedName name="yChiller_Type">#REF!</definedName>
    <definedName name="yControlTypes" hidden="1">#REF!</definedName>
    <definedName name="yCOP_base">#REF!</definedName>
    <definedName name="yCOP_PT_a">#REF!</definedName>
    <definedName name="yDHP_Cooling_BaseEqpmt">#REF!</definedName>
    <definedName name="YDHP_heating_BaseEqpmt">#REF!</definedName>
    <definedName name="yEER_base">#REF!</definedName>
    <definedName name="yEER_PT_a">#REF!</definedName>
    <definedName name="yEfficiencyKnown">#REF!</definedName>
    <definedName name="yER_Existence">#REF!</definedName>
    <definedName name="yFixedVariableSpeed">#REF!</definedName>
    <definedName name="yFixture_Code" hidden="1">#REF!</definedName>
    <definedName name="yFS_COP">#REF!</definedName>
    <definedName name="yFS_EqptType">#REF!</definedName>
    <definedName name="yFS_HSPF">#REF!</definedName>
    <definedName name="yFS_MaxCap">#REF!</definedName>
    <definedName name="yFS_MinCap">#REF!</definedName>
    <definedName name="yGeothermal_COP">#REF!</definedName>
    <definedName name="yGeothermal_EER">#REF!</definedName>
    <definedName name="yGeothermal_EOL_Eqpt">#REF!</definedName>
    <definedName name="yGeothermal_EqptType">#REF!</definedName>
    <definedName name="yGeothermal_ERExist">#REF!</definedName>
    <definedName name="yGeothermal_HSPF">#REF!</definedName>
    <definedName name="yGeothermal_MinCap">#REF!</definedName>
    <definedName name="yGeothermal_ProposedEqp">#REF!</definedName>
    <definedName name="yGeothermal_SEER">#REF!</definedName>
    <definedName name="yGeothermalMaxCap">#REF!</definedName>
    <definedName name="yGRControls_Helper">#REF!</definedName>
    <definedName name="yHSPF_base">#REF!</definedName>
    <definedName name="yHVAC_MaxCapacity">#REF!</definedName>
    <definedName name="yHVAC_MinCapacity">#REF!</definedName>
    <definedName name="yHVAC_Type">#REF!</definedName>
    <definedName name="yIEER_base">#REF!</definedName>
    <definedName name="yIPLV_base">#REF!</definedName>
    <definedName name="ykWperton_base">#REF!</definedName>
    <definedName name="yMotorSize">#REF!</definedName>
    <definedName name="yOperating_Schedule">#REF!</definedName>
    <definedName name="yProject_Type">#REF!</definedName>
    <definedName name="ySEER_base">#REF!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31" l="1" a="1"/>
  <c r="C3" i="31" s="1"/>
  <c r="D21" i="30"/>
  <c r="E21" i="30"/>
  <c r="C21" i="30"/>
  <c r="I7" i="42"/>
  <c r="I11" i="42" s="1"/>
  <c r="J7" i="42"/>
  <c r="I10" i="42"/>
  <c r="I9" i="42"/>
  <c r="I8" i="42"/>
  <c r="J10" i="42"/>
  <c r="J9" i="42"/>
  <c r="J8" i="42"/>
  <c r="J11" i="42"/>
  <c r="D35" i="30"/>
  <c r="E35" i="30"/>
  <c r="C35" i="30"/>
  <c r="D34" i="30"/>
  <c r="E34" i="30"/>
  <c r="C34" i="30"/>
  <c r="D33" i="30"/>
  <c r="E33" i="30"/>
  <c r="C33" i="30"/>
  <c r="D32" i="30"/>
  <c r="E32" i="30"/>
  <c r="C32" i="30"/>
  <c r="B30" i="30"/>
  <c r="D30" i="30"/>
  <c r="E30" i="30"/>
  <c r="D26" i="30"/>
  <c r="E26" i="30"/>
  <c r="C26" i="30"/>
  <c r="D24" i="30"/>
  <c r="E24" i="30"/>
  <c r="C24" i="30"/>
  <c r="D22" i="30"/>
  <c r="E31" i="30"/>
  <c r="D31" i="30"/>
  <c r="E22" i="30"/>
  <c r="D20" i="30"/>
  <c r="J7" i="40"/>
  <c r="M8" i="40"/>
  <c r="M7" i="40"/>
  <c r="L8" i="40"/>
  <c r="L7" i="40"/>
  <c r="K8" i="40"/>
  <c r="K7" i="40"/>
  <c r="B7" i="49" l="1"/>
  <c r="AJ60" i="49"/>
  <c r="AK60" i="49"/>
  <c r="AJ61" i="49"/>
  <c r="AK61" i="49"/>
  <c r="AJ62" i="49"/>
  <c r="AK62" i="49"/>
  <c r="AK59" i="49"/>
  <c r="AJ59" i="49"/>
  <c r="Q60" i="49"/>
  <c r="Q61" i="49"/>
  <c r="Q62" i="49"/>
  <c r="Q59" i="49"/>
  <c r="I59" i="49"/>
  <c r="I60" i="49"/>
  <c r="I61" i="49"/>
  <c r="I62" i="49"/>
  <c r="B59" i="49"/>
  <c r="B60" i="49"/>
  <c r="B61" i="49"/>
  <c r="B62" i="49"/>
  <c r="AK56" i="49"/>
  <c r="AK57" i="49"/>
  <c r="AK58" i="49"/>
  <c r="AK55" i="49"/>
  <c r="AJ56" i="49"/>
  <c r="AJ57" i="49"/>
  <c r="AJ58" i="49"/>
  <c r="AJ55" i="49"/>
  <c r="X56" i="49"/>
  <c r="X57" i="49"/>
  <c r="X58" i="49"/>
  <c r="X55" i="49"/>
  <c r="Q56" i="49"/>
  <c r="Q57" i="49"/>
  <c r="Q58" i="49"/>
  <c r="Q55" i="49"/>
  <c r="I56" i="49"/>
  <c r="I57" i="49"/>
  <c r="I58" i="49"/>
  <c r="I55" i="49"/>
  <c r="B56" i="49"/>
  <c r="B57" i="49"/>
  <c r="B58" i="49"/>
  <c r="B55" i="49"/>
  <c r="C55" i="49" s="1"/>
  <c r="AK64" i="49"/>
  <c r="AK65" i="49"/>
  <c r="AK66" i="49"/>
  <c r="AK63" i="49"/>
  <c r="AJ64" i="49"/>
  <c r="AJ65" i="49"/>
  <c r="AJ66" i="49"/>
  <c r="AJ63" i="49"/>
  <c r="AK52" i="49"/>
  <c r="AK53" i="49"/>
  <c r="AK54" i="49"/>
  <c r="AK51" i="49"/>
  <c r="AJ52" i="49"/>
  <c r="AJ53" i="49"/>
  <c r="AJ54" i="49"/>
  <c r="AJ51" i="49"/>
  <c r="AK40" i="49"/>
  <c r="AK39" i="49"/>
  <c r="AJ40" i="49"/>
  <c r="AJ39" i="49"/>
  <c r="AM40" i="49"/>
  <c r="AM39" i="49"/>
  <c r="AG40" i="49"/>
  <c r="AG39" i="49"/>
  <c r="AJ36" i="49"/>
  <c r="AK36" i="49"/>
  <c r="AJ37" i="49"/>
  <c r="AK37" i="49"/>
  <c r="AJ38" i="49"/>
  <c r="AK38" i="49"/>
  <c r="AK35" i="49"/>
  <c r="AJ35" i="49"/>
  <c r="AJ32" i="49"/>
  <c r="AK32" i="49"/>
  <c r="AJ33" i="49"/>
  <c r="AK33" i="49"/>
  <c r="AJ34" i="49"/>
  <c r="AK34" i="49"/>
  <c r="AK31" i="49"/>
  <c r="AJ31" i="49"/>
  <c r="AK27" i="49"/>
  <c r="AJ27" i="49"/>
  <c r="AM24" i="49"/>
  <c r="AM25" i="49"/>
  <c r="AM26" i="49"/>
  <c r="AM23" i="49"/>
  <c r="AK24" i="49"/>
  <c r="AK25" i="49"/>
  <c r="AK26" i="49"/>
  <c r="AK23" i="49"/>
  <c r="AJ24" i="49"/>
  <c r="AJ25" i="49"/>
  <c r="AJ26" i="49"/>
  <c r="AJ23" i="49"/>
  <c r="AJ20" i="49"/>
  <c r="AK20" i="49"/>
  <c r="AJ21" i="49"/>
  <c r="AK21" i="49"/>
  <c r="AJ22" i="49"/>
  <c r="AK22" i="49"/>
  <c r="AK19" i="49"/>
  <c r="AJ19" i="49"/>
  <c r="C183" i="5"/>
  <c r="B183" i="5" s="1"/>
  <c r="D183" i="5"/>
  <c r="B184" i="5"/>
  <c r="C184" i="5"/>
  <c r="D184" i="5"/>
  <c r="C185" i="5"/>
  <c r="B185" i="5" s="1"/>
  <c r="D185" i="5"/>
  <c r="C186" i="5"/>
  <c r="B186" i="5" s="1"/>
  <c r="D186" i="5"/>
  <c r="C187" i="5"/>
  <c r="B187" i="5" s="1"/>
  <c r="D187" i="5"/>
  <c r="C188" i="5"/>
  <c r="B188" i="5" s="1"/>
  <c r="D188" i="5"/>
  <c r="C189" i="5"/>
  <c r="B189" i="5" s="1"/>
  <c r="D189" i="5"/>
  <c r="C190" i="5"/>
  <c r="B190" i="5" s="1"/>
  <c r="D190" i="5"/>
  <c r="B191" i="5"/>
  <c r="C191" i="5"/>
  <c r="D191" i="5"/>
  <c r="B192" i="5"/>
  <c r="C192" i="5"/>
  <c r="D192" i="5"/>
  <c r="C193" i="5"/>
  <c r="B193" i="5" s="1"/>
  <c r="D193" i="5"/>
  <c r="C194" i="5"/>
  <c r="B194" i="5" s="1"/>
  <c r="D194" i="5"/>
  <c r="C195" i="5"/>
  <c r="B195" i="5" s="1"/>
  <c r="D195" i="5"/>
  <c r="B196" i="5"/>
  <c r="C196" i="5"/>
  <c r="D196" i="5"/>
  <c r="C197" i="5"/>
  <c r="B197" i="5" s="1"/>
  <c r="D197" i="5"/>
  <c r="C198" i="5"/>
  <c r="B198" i="5" s="1"/>
  <c r="D198" i="5"/>
  <c r="B199" i="5"/>
  <c r="C199" i="5"/>
  <c r="D199" i="5"/>
  <c r="B200" i="5"/>
  <c r="C200" i="5"/>
  <c r="D200" i="5"/>
  <c r="C201" i="5"/>
  <c r="B201" i="5" s="1"/>
  <c r="D201" i="5"/>
  <c r="C202" i="5"/>
  <c r="B202" i="5" s="1"/>
  <c r="D202" i="5"/>
  <c r="C203" i="5"/>
  <c r="D203" i="5"/>
  <c r="B203" i="5" s="1"/>
  <c r="B205" i="5"/>
  <c r="C205" i="5"/>
  <c r="D205" i="5"/>
  <c r="C206" i="5"/>
  <c r="B206" i="5" s="1"/>
  <c r="D206" i="5"/>
  <c r="C207" i="5"/>
  <c r="B207" i="5" s="1"/>
  <c r="D207" i="5"/>
  <c r="B208" i="5"/>
  <c r="C208" i="5"/>
  <c r="D208" i="5"/>
  <c r="B209" i="5"/>
  <c r="C209" i="5"/>
  <c r="D209" i="5"/>
  <c r="C210" i="5"/>
  <c r="B210" i="5" s="1"/>
  <c r="D210" i="5"/>
  <c r="C211" i="5"/>
  <c r="B211" i="5" s="1"/>
  <c r="D211" i="5"/>
  <c r="C212" i="5"/>
  <c r="B212" i="5" s="1"/>
  <c r="D212" i="5"/>
  <c r="B213" i="5"/>
  <c r="C213" i="5"/>
  <c r="D213" i="5"/>
  <c r="C214" i="5"/>
  <c r="B214" i="5" s="1"/>
  <c r="D214" i="5"/>
  <c r="C215" i="5"/>
  <c r="B215" i="5" s="1"/>
  <c r="D215" i="5"/>
  <c r="B216" i="5"/>
  <c r="C216" i="5"/>
  <c r="D216" i="5"/>
  <c r="B217" i="5"/>
  <c r="C217" i="5"/>
  <c r="D217" i="5"/>
  <c r="C218" i="5"/>
  <c r="B218" i="5" s="1"/>
  <c r="D218" i="5"/>
  <c r="C219" i="5"/>
  <c r="B219" i="5" s="1"/>
  <c r="D219" i="5"/>
  <c r="C220" i="5"/>
  <c r="B220" i="5" s="1"/>
  <c r="D220" i="5"/>
  <c r="B221" i="5"/>
  <c r="C221" i="5"/>
  <c r="D221" i="5"/>
  <c r="C222" i="5"/>
  <c r="B222" i="5" s="1"/>
  <c r="D222" i="5"/>
  <c r="C223" i="5"/>
  <c r="B223" i="5" s="1"/>
  <c r="D223" i="5"/>
  <c r="B224" i="5"/>
  <c r="C224" i="5"/>
  <c r="D224" i="5"/>
  <c r="B225" i="5"/>
  <c r="C225" i="5"/>
  <c r="D225" i="5"/>
  <c r="AE15" i="49"/>
  <c r="AC15" i="49" s="1"/>
  <c r="AE16" i="49"/>
  <c r="AC16" i="49" s="1"/>
  <c r="AE17" i="49"/>
  <c r="AC17" i="49" s="1"/>
  <c r="AE18" i="49"/>
  <c r="AC18" i="49" s="1"/>
  <c r="AK16" i="49"/>
  <c r="AK17" i="49"/>
  <c r="AK18" i="49"/>
  <c r="AK15" i="49"/>
  <c r="AJ16" i="49"/>
  <c r="AJ17" i="49"/>
  <c r="AJ18" i="49"/>
  <c r="AJ15" i="49"/>
  <c r="AI12" i="49"/>
  <c r="AJ12" i="49"/>
  <c r="AK12" i="49"/>
  <c r="AI13" i="49"/>
  <c r="AJ13" i="49"/>
  <c r="AK13" i="49"/>
  <c r="AI14" i="49"/>
  <c r="AJ14" i="49"/>
  <c r="AK14" i="49"/>
  <c r="AJ11" i="49"/>
  <c r="AK11" i="49"/>
  <c r="AH12" i="49"/>
  <c r="AH13" i="49"/>
  <c r="AH14" i="49"/>
  <c r="AI11" i="49"/>
  <c r="AH11" i="49"/>
  <c r="AK8" i="49"/>
  <c r="AK9" i="49"/>
  <c r="AK10" i="49"/>
  <c r="AK7" i="49"/>
  <c r="AJ8" i="49"/>
  <c r="AJ9" i="49"/>
  <c r="AJ10" i="49"/>
  <c r="AJ7" i="49"/>
  <c r="AC8" i="49"/>
  <c r="AD8" i="49"/>
  <c r="AC9" i="49"/>
  <c r="AD9" i="49"/>
  <c r="AC10" i="49"/>
  <c r="AD10" i="49"/>
  <c r="AD7" i="49"/>
  <c r="AC7" i="49"/>
  <c r="Z7" i="49"/>
  <c r="Z8" i="49"/>
  <c r="Z9" i="49"/>
  <c r="Z10" i="49"/>
  <c r="C59" i="49" l="1"/>
  <c r="AD17" i="49"/>
  <c r="AD16" i="49"/>
  <c r="AD18" i="49"/>
  <c r="AD15" i="49"/>
  <c r="C95" i="5"/>
  <c r="D95" i="5" s="1"/>
  <c r="D327" i="5"/>
  <c r="E327" i="5" s="1"/>
  <c r="D328" i="5"/>
  <c r="D329" i="5"/>
  <c r="D326" i="5"/>
  <c r="K231" i="5"/>
  <c r="K232" i="5"/>
  <c r="K233" i="5"/>
  <c r="K230" i="5"/>
  <c r="F71" i="5" l="1"/>
  <c r="F72" i="5"/>
  <c r="F73" i="5"/>
  <c r="F70" i="5"/>
  <c r="K8" i="42"/>
  <c r="K9" i="42"/>
  <c r="K10" i="42"/>
  <c r="K7" i="42"/>
  <c r="E121" i="5"/>
  <c r="E122" i="5"/>
  <c r="E123" i="5"/>
  <c r="E120" i="5"/>
  <c r="E412" i="5"/>
  <c r="E413" i="5"/>
  <c r="E414" i="5"/>
  <c r="E411" i="5"/>
  <c r="F327" i="5"/>
  <c r="F328" i="5"/>
  <c r="F329" i="5"/>
  <c r="F326" i="5"/>
  <c r="G95" i="5" l="1"/>
  <c r="G96" i="5"/>
  <c r="G97" i="5"/>
  <c r="G98" i="5"/>
  <c r="F121" i="5" a="1"/>
  <c r="F121" i="5" s="1"/>
  <c r="F122" i="5" a="1"/>
  <c r="F122" i="5" s="1"/>
  <c r="F123" i="5" a="1"/>
  <c r="F123" i="5" s="1"/>
  <c r="F120" i="5" a="1"/>
  <c r="F120" i="5" s="1"/>
  <c r="J439" i="5" l="1"/>
  <c r="J440" i="5"/>
  <c r="J441" i="5"/>
  <c r="D378" i="5" l="1"/>
  <c r="E378" i="5"/>
  <c r="E376" i="5"/>
  <c r="E377" i="5"/>
  <c r="D376" i="5"/>
  <c r="D377" i="5"/>
  <c r="B376" i="5"/>
  <c r="C376" i="5"/>
  <c r="B377" i="5"/>
  <c r="C377" i="5"/>
  <c r="B378" i="5"/>
  <c r="C378" i="5"/>
  <c r="D375" i="5"/>
  <c r="E375" i="5"/>
  <c r="G375" i="5" s="1"/>
  <c r="AB31" i="49" s="1"/>
  <c r="C375" i="5"/>
  <c r="B375" i="5"/>
  <c r="K364" i="5"/>
  <c r="K365" i="5"/>
  <c r="K366" i="5"/>
  <c r="E379" i="5"/>
  <c r="E380" i="5"/>
  <c r="E381" i="5"/>
  <c r="E382" i="5"/>
  <c r="C2" i="31" l="1" a="1"/>
  <c r="C2" i="31" s="1"/>
  <c r="E70" i="5" l="1"/>
  <c r="B71" i="5"/>
  <c r="B72" i="5"/>
  <c r="B73" i="5"/>
  <c r="B70" i="5"/>
  <c r="E71" i="5"/>
  <c r="E72" i="5"/>
  <c r="E73" i="5"/>
  <c r="C71" i="5" l="1" a="1"/>
  <c r="C71" i="5" s="1"/>
  <c r="W71" i="5" s="1"/>
  <c r="AP64" i="49" s="1"/>
  <c r="M71" i="5"/>
  <c r="M70" i="5"/>
  <c r="C70" i="5" a="1"/>
  <c r="C70" i="5" s="1"/>
  <c r="O70" i="5" s="1"/>
  <c r="C73" i="5" a="1"/>
  <c r="C73" i="5" s="1"/>
  <c r="N73" i="5" s="1"/>
  <c r="M73" i="5"/>
  <c r="C72" i="5" a="1"/>
  <c r="C72" i="5" s="1"/>
  <c r="N72" i="5" s="1"/>
  <c r="M72" i="5"/>
  <c r="H70" i="5"/>
  <c r="H73" i="5"/>
  <c r="H72" i="5"/>
  <c r="H71" i="5"/>
  <c r="G73" i="5"/>
  <c r="Q73" i="5" s="1"/>
  <c r="AD66" i="49" s="1"/>
  <c r="L73" i="5"/>
  <c r="G70" i="5"/>
  <c r="Q70" i="5" s="1"/>
  <c r="AD63" i="49" s="1"/>
  <c r="L70" i="5"/>
  <c r="L72" i="5"/>
  <c r="G72" i="5"/>
  <c r="Q72" i="5" s="1"/>
  <c r="AD65" i="49" s="1"/>
  <c r="L71" i="5"/>
  <c r="U71" i="5" s="1"/>
  <c r="AO64" i="49" s="1"/>
  <c r="G71" i="5"/>
  <c r="Q71" i="5" s="1"/>
  <c r="AD64" i="49" s="1"/>
  <c r="D71" i="5"/>
  <c r="D73" i="5"/>
  <c r="D72" i="5"/>
  <c r="D70" i="5"/>
  <c r="B98" i="5"/>
  <c r="B97" i="5"/>
  <c r="B96" i="5"/>
  <c r="B95" i="5"/>
  <c r="S70" i="5" l="1"/>
  <c r="AE63" i="49" s="1"/>
  <c r="V71" i="5"/>
  <c r="AN64" i="49" s="1"/>
  <c r="U72" i="5"/>
  <c r="AO65" i="49" s="1"/>
  <c r="U70" i="5"/>
  <c r="AO63" i="49" s="1"/>
  <c r="U73" i="5"/>
  <c r="AO66" i="49" s="1"/>
  <c r="J72" i="5"/>
  <c r="R71" i="5"/>
  <c r="AC64" i="49" s="1"/>
  <c r="S72" i="5"/>
  <c r="AE65" i="49" s="1"/>
  <c r="W73" i="5"/>
  <c r="AP66" i="49" s="1"/>
  <c r="N71" i="5"/>
  <c r="O72" i="5"/>
  <c r="S73" i="5"/>
  <c r="AE66" i="49" s="1"/>
  <c r="W70" i="5"/>
  <c r="AP63" i="49" s="1"/>
  <c r="O73" i="5"/>
  <c r="R72" i="5"/>
  <c r="AC65" i="49" s="1"/>
  <c r="I70" i="5"/>
  <c r="W72" i="5"/>
  <c r="AP65" i="49" s="1"/>
  <c r="S71" i="5"/>
  <c r="AE64" i="49" s="1"/>
  <c r="J70" i="5"/>
  <c r="I73" i="5"/>
  <c r="I71" i="5"/>
  <c r="R70" i="5"/>
  <c r="AC63" i="49" s="1"/>
  <c r="R73" i="5"/>
  <c r="AC66" i="49" s="1"/>
  <c r="I72" i="5"/>
  <c r="J73" i="5"/>
  <c r="J71" i="5"/>
  <c r="N70" i="5"/>
  <c r="V73" i="5"/>
  <c r="V72" i="5"/>
  <c r="O71" i="5"/>
  <c r="X71" i="5" s="1"/>
  <c r="V70" i="5"/>
  <c r="AN63" i="49" s="1"/>
  <c r="B359" i="5"/>
  <c r="D359" i="5" s="1"/>
  <c r="B358" i="5"/>
  <c r="D358" i="5" s="1"/>
  <c r="B357" i="5"/>
  <c r="D357" i="5" s="1"/>
  <c r="B356" i="5"/>
  <c r="D356" i="5" s="1"/>
  <c r="B355" i="5"/>
  <c r="D355" i="5" s="1"/>
  <c r="B354" i="5"/>
  <c r="D354" i="5" s="1"/>
  <c r="B353" i="5"/>
  <c r="D353" i="5" s="1"/>
  <c r="B352" i="5"/>
  <c r="D352" i="5" s="1"/>
  <c r="B351" i="5"/>
  <c r="D351" i="5" s="1"/>
  <c r="C96" i="5"/>
  <c r="D96" i="5" s="1"/>
  <c r="C97" i="5"/>
  <c r="D97" i="5" s="1"/>
  <c r="C98" i="5"/>
  <c r="D98" i="5" s="1"/>
  <c r="J96" i="5"/>
  <c r="J98" i="5"/>
  <c r="J95" i="5"/>
  <c r="F96" i="5"/>
  <c r="F97" i="5"/>
  <c r="F98" i="5"/>
  <c r="F95" i="5"/>
  <c r="E96" i="5"/>
  <c r="E97" i="5"/>
  <c r="E98" i="5"/>
  <c r="E95" i="5"/>
  <c r="P72" i="5" l="1"/>
  <c r="AN65" i="49"/>
  <c r="P73" i="5"/>
  <c r="AN66" i="49"/>
  <c r="I96" i="5"/>
  <c r="P70" i="5"/>
  <c r="I98" i="5"/>
  <c r="I97" i="5"/>
  <c r="I95" i="5"/>
  <c r="H98" i="5"/>
  <c r="H97" i="5"/>
  <c r="X73" i="5"/>
  <c r="H96" i="5"/>
  <c r="H95" i="5"/>
  <c r="T72" i="5"/>
  <c r="T71" i="5"/>
  <c r="T70" i="5"/>
  <c r="T73" i="5"/>
  <c r="X72" i="5"/>
  <c r="P71" i="5"/>
  <c r="X70" i="5"/>
  <c r="J382" i="5"/>
  <c r="G379" i="5"/>
  <c r="K382" i="5"/>
  <c r="G382" i="5"/>
  <c r="I382" i="5"/>
  <c r="K379" i="5"/>
  <c r="F382" i="5"/>
  <c r="K381" i="5"/>
  <c r="K380" i="5"/>
  <c r="I378" i="5"/>
  <c r="G377" i="5"/>
  <c r="AB33" i="49" s="1"/>
  <c r="F377" i="5"/>
  <c r="H378" i="5"/>
  <c r="K376" i="5"/>
  <c r="I376" i="5"/>
  <c r="G378" i="5"/>
  <c r="AB34" i="49" s="1"/>
  <c r="H376" i="5"/>
  <c r="K377" i="5"/>
  <c r="H382" i="5"/>
  <c r="F380" i="5"/>
  <c r="J375" i="5"/>
  <c r="J381" i="5"/>
  <c r="G380" i="5"/>
  <c r="I377" i="5"/>
  <c r="H379" i="5"/>
  <c r="J379" i="5"/>
  <c r="I379" i="5"/>
  <c r="H377" i="5"/>
  <c r="J380" i="5"/>
  <c r="I381" i="5"/>
  <c r="F376" i="5"/>
  <c r="I380" i="5"/>
  <c r="F381" i="5"/>
  <c r="H381" i="5"/>
  <c r="J378" i="5"/>
  <c r="F378" i="5"/>
  <c r="J376" i="5"/>
  <c r="G376" i="5"/>
  <c r="AB32" i="49" s="1"/>
  <c r="K375" i="5"/>
  <c r="I375" i="5"/>
  <c r="J377" i="5"/>
  <c r="F379" i="5"/>
  <c r="H380" i="5"/>
  <c r="G381" i="5"/>
  <c r="K378" i="5"/>
  <c r="K70" i="5"/>
  <c r="H375" i="5"/>
  <c r="F375" i="5"/>
  <c r="K73" i="5"/>
  <c r="K72" i="5"/>
  <c r="K71" i="5"/>
  <c r="J97" i="5"/>
  <c r="I495" i="5"/>
  <c r="I496" i="5"/>
  <c r="I497" i="5"/>
  <c r="I494" i="5"/>
  <c r="F495" i="5"/>
  <c r="F496" i="5"/>
  <c r="F497" i="5"/>
  <c r="F494" i="5"/>
  <c r="D495" i="5"/>
  <c r="D496" i="5"/>
  <c r="D497" i="5"/>
  <c r="D494" i="5"/>
  <c r="C495" i="5"/>
  <c r="C496" i="5"/>
  <c r="C497" i="5"/>
  <c r="C494" i="5"/>
  <c r="B495" i="5"/>
  <c r="E495" i="5" s="1"/>
  <c r="B496" i="5"/>
  <c r="E496" i="5" s="1"/>
  <c r="B497" i="5"/>
  <c r="E497" i="5" s="1"/>
  <c r="B494" i="5"/>
  <c r="E494" i="5" s="1"/>
  <c r="B5" i="66"/>
  <c r="B34" i="30" s="1"/>
  <c r="J438" i="5"/>
  <c r="B439" i="5"/>
  <c r="B440" i="5"/>
  <c r="B441" i="5"/>
  <c r="B438" i="5"/>
  <c r="E438" i="5" s="1"/>
  <c r="AC39" i="49" s="1"/>
  <c r="C440" i="5"/>
  <c r="C441" i="5"/>
  <c r="C438" i="5"/>
  <c r="C439" i="5"/>
  <c r="P60" i="49" l="1"/>
  <c r="P62" i="49"/>
  <c r="P61" i="49"/>
  <c r="P59" i="49"/>
  <c r="AB73" i="5"/>
  <c r="K14" i="62" s="1"/>
  <c r="AB70" i="5"/>
  <c r="K11" i="62" s="1"/>
  <c r="AB72" i="5"/>
  <c r="K13" i="62" s="1"/>
  <c r="AB71" i="5"/>
  <c r="K12" i="62" s="1"/>
  <c r="N381" i="5"/>
  <c r="H440" i="5"/>
  <c r="E440" i="5"/>
  <c r="G440" i="5"/>
  <c r="D440" i="5"/>
  <c r="F440" i="5"/>
  <c r="H439" i="5"/>
  <c r="G439" i="5"/>
  <c r="AE40" i="49" s="1"/>
  <c r="F439" i="5"/>
  <c r="D439" i="5"/>
  <c r="E439" i="5"/>
  <c r="AC40" i="49" s="1"/>
  <c r="G494" i="5"/>
  <c r="L375" i="5"/>
  <c r="H441" i="5"/>
  <c r="D441" i="5"/>
  <c r="E441" i="5"/>
  <c r="G441" i="5"/>
  <c r="F441" i="5"/>
  <c r="N376" i="5"/>
  <c r="AD32" i="49" s="1"/>
  <c r="H438" i="5"/>
  <c r="D438" i="5"/>
  <c r="G438" i="5"/>
  <c r="AE39" i="49" s="1"/>
  <c r="F438" i="5"/>
  <c r="N377" i="5"/>
  <c r="AD33" i="49" s="1"/>
  <c r="N379" i="5"/>
  <c r="N375" i="5"/>
  <c r="AD31" i="49" s="1"/>
  <c r="N378" i="5"/>
  <c r="AD34" i="49" s="1"/>
  <c r="N380" i="5"/>
  <c r="N382" i="5"/>
  <c r="M379" i="5"/>
  <c r="M382" i="5"/>
  <c r="M375" i="5"/>
  <c r="M380" i="5"/>
  <c r="M381" i="5"/>
  <c r="M378" i="5"/>
  <c r="M377" i="5"/>
  <c r="M376" i="5"/>
  <c r="L379" i="5"/>
  <c r="O379" i="5" s="1"/>
  <c r="L377" i="5"/>
  <c r="L378" i="5"/>
  <c r="L376" i="5"/>
  <c r="L380" i="5"/>
  <c r="O380" i="5" s="1"/>
  <c r="L381" i="5"/>
  <c r="O381" i="5" s="1"/>
  <c r="L382" i="5"/>
  <c r="O382" i="5" s="1"/>
  <c r="G496" i="5"/>
  <c r="G497" i="5"/>
  <c r="G495" i="5"/>
  <c r="H497" i="5"/>
  <c r="H496" i="5"/>
  <c r="H495" i="5"/>
  <c r="K96" i="5"/>
  <c r="L96" i="5" s="1"/>
  <c r="K95" i="5"/>
  <c r="K97" i="5"/>
  <c r="K98" i="5"/>
  <c r="H494" i="5"/>
  <c r="L95" i="5" l="1"/>
  <c r="L97" i="5"/>
  <c r="M9" i="40" s="1"/>
  <c r="L98" i="5"/>
  <c r="M10" i="40" s="1"/>
  <c r="O377" i="5"/>
  <c r="K9" i="55" s="1"/>
  <c r="O376" i="5"/>
  <c r="K8" i="55" s="1"/>
  <c r="O378" i="5"/>
  <c r="K10" i="55" s="1"/>
  <c r="M96" i="5"/>
  <c r="O375" i="5"/>
  <c r="K7" i="55" s="1"/>
  <c r="I439" i="5"/>
  <c r="I438" i="5"/>
  <c r="I440" i="5"/>
  <c r="K440" i="5" s="1"/>
  <c r="I441" i="5"/>
  <c r="K441" i="5" s="1"/>
  <c r="Q382" i="5"/>
  <c r="P382" i="5"/>
  <c r="P380" i="5"/>
  <c r="Q380" i="5"/>
  <c r="Q381" i="5"/>
  <c r="P381" i="5"/>
  <c r="P379" i="5"/>
  <c r="Q379" i="5"/>
  <c r="K15" i="62"/>
  <c r="J496" i="5"/>
  <c r="K496" i="5" s="1"/>
  <c r="J9" i="66" s="1"/>
  <c r="AI61" i="49" s="1"/>
  <c r="J497" i="5"/>
  <c r="I10" i="66" s="1"/>
  <c r="G62" i="49" s="1"/>
  <c r="J495" i="5"/>
  <c r="L495" i="5" s="1"/>
  <c r="K8" i="66" s="1"/>
  <c r="AH60" i="49" s="1"/>
  <c r="J494" i="5"/>
  <c r="I7" i="66" s="1"/>
  <c r="G59" i="49" s="1"/>
  <c r="J8" i="40" l="1"/>
  <c r="AI8" i="49" s="1"/>
  <c r="K439" i="5"/>
  <c r="J8" i="57" s="1"/>
  <c r="AD40" i="49"/>
  <c r="K438" i="5"/>
  <c r="J7" i="57" s="1"/>
  <c r="AD39" i="49"/>
  <c r="N97" i="5"/>
  <c r="M97" i="5"/>
  <c r="M98" i="5"/>
  <c r="M95" i="5"/>
  <c r="N95" i="5"/>
  <c r="R382" i="5"/>
  <c r="R379" i="5"/>
  <c r="N98" i="5"/>
  <c r="L441" i="5"/>
  <c r="G10" i="57" s="1"/>
  <c r="J10" i="57"/>
  <c r="L440" i="5"/>
  <c r="G9" i="57" s="1"/>
  <c r="J9" i="57"/>
  <c r="R380" i="5"/>
  <c r="R381" i="5"/>
  <c r="N96" i="5"/>
  <c r="AH8" i="49" s="1"/>
  <c r="Q378" i="5"/>
  <c r="I10" i="55" s="1"/>
  <c r="P378" i="5"/>
  <c r="H10" i="55" s="1"/>
  <c r="P377" i="5"/>
  <c r="H9" i="55" s="1"/>
  <c r="Q377" i="5"/>
  <c r="I9" i="55" s="1"/>
  <c r="M440" i="5"/>
  <c r="H9" i="57" s="1"/>
  <c r="M441" i="5"/>
  <c r="H10" i="57" s="1"/>
  <c r="P375" i="5"/>
  <c r="H7" i="55" s="1"/>
  <c r="Q376" i="5"/>
  <c r="I8" i="55" s="1"/>
  <c r="P376" i="5"/>
  <c r="H8" i="55" s="1"/>
  <c r="Q375" i="5"/>
  <c r="I7" i="55" s="1"/>
  <c r="K495" i="5"/>
  <c r="J8" i="66" s="1"/>
  <c r="AI60" i="49" s="1"/>
  <c r="I8" i="66"/>
  <c r="G60" i="49" s="1"/>
  <c r="I9" i="66"/>
  <c r="G61" i="49" s="1"/>
  <c r="L496" i="5"/>
  <c r="K497" i="5"/>
  <c r="L497" i="5"/>
  <c r="K10" i="66" s="1"/>
  <c r="AH62" i="49" s="1"/>
  <c r="L438" i="5"/>
  <c r="M438" i="5"/>
  <c r="H7" i="57" s="1"/>
  <c r="K494" i="5"/>
  <c r="J7" i="66" s="1"/>
  <c r="AI59" i="49" s="1"/>
  <c r="L494" i="5"/>
  <c r="K7" i="66" s="1"/>
  <c r="AH59" i="49" s="1"/>
  <c r="E250" i="5"/>
  <c r="B33" i="30"/>
  <c r="G457" i="5" a="1"/>
  <c r="G457" i="5" s="1"/>
  <c r="F457" i="5" a="1"/>
  <c r="F457" i="5" s="1"/>
  <c r="F246" i="5"/>
  <c r="G246" i="5"/>
  <c r="F247" i="5"/>
  <c r="G247" i="5"/>
  <c r="F248" i="5"/>
  <c r="G248" i="5"/>
  <c r="E246" i="5"/>
  <c r="E247" i="5"/>
  <c r="E248" i="5"/>
  <c r="D246" i="5"/>
  <c r="D247" i="5"/>
  <c r="D248" i="5"/>
  <c r="D250" i="5"/>
  <c r="C247" i="5"/>
  <c r="C248" i="5"/>
  <c r="C246" i="5"/>
  <c r="B470" i="5"/>
  <c r="B471" i="5"/>
  <c r="B472" i="5"/>
  <c r="G250" i="5"/>
  <c r="G251" i="5"/>
  <c r="G252" i="5"/>
  <c r="F250" i="5"/>
  <c r="F251" i="5"/>
  <c r="F252" i="5"/>
  <c r="C472" i="5"/>
  <c r="C471" i="5"/>
  <c r="C470" i="5"/>
  <c r="C469" i="5"/>
  <c r="B469" i="5"/>
  <c r="E252" i="5"/>
  <c r="E251" i="5"/>
  <c r="D457" i="5" a="1"/>
  <c r="D457" i="5" s="1"/>
  <c r="J10" i="40" l="1"/>
  <c r="AI10" i="49" s="1"/>
  <c r="AH10" i="49"/>
  <c r="K10" i="40"/>
  <c r="K9" i="40"/>
  <c r="AH9" i="49" s="1"/>
  <c r="J9" i="40"/>
  <c r="AI9" i="49" s="1"/>
  <c r="L439" i="5"/>
  <c r="G8" i="57" s="1"/>
  <c r="M439" i="5"/>
  <c r="H8" i="57" s="1"/>
  <c r="AI7" i="49"/>
  <c r="AH7" i="49"/>
  <c r="O97" i="5"/>
  <c r="L9" i="40" s="1"/>
  <c r="O98" i="5"/>
  <c r="L10" i="40" s="1"/>
  <c r="O95" i="5"/>
  <c r="R378" i="5"/>
  <c r="J10" i="55" s="1"/>
  <c r="I11" i="55"/>
  <c r="D27" i="30" s="1"/>
  <c r="K11" i="40"/>
  <c r="H11" i="55"/>
  <c r="C27" i="30" s="1"/>
  <c r="G7" i="57"/>
  <c r="R377" i="5"/>
  <c r="J9" i="55" s="1"/>
  <c r="O96" i="5"/>
  <c r="N441" i="5"/>
  <c r="I10" i="57" s="1"/>
  <c r="N440" i="5"/>
  <c r="I9" i="57" s="1"/>
  <c r="H11" i="57"/>
  <c r="D28" i="30" s="1"/>
  <c r="I11" i="66"/>
  <c r="F34" i="30" s="1"/>
  <c r="M495" i="5"/>
  <c r="L8" i="66" s="1"/>
  <c r="F60" i="49" s="1"/>
  <c r="R376" i="5"/>
  <c r="J8" i="55" s="1"/>
  <c r="R375" i="5"/>
  <c r="J7" i="55" s="1"/>
  <c r="K9" i="66"/>
  <c r="M496" i="5"/>
  <c r="L9" i="66" s="1"/>
  <c r="F61" i="49" s="1"/>
  <c r="J10" i="66"/>
  <c r="M497" i="5"/>
  <c r="L10" i="66" s="1"/>
  <c r="F62" i="49" s="1"/>
  <c r="N438" i="5"/>
  <c r="I7" i="57" s="1"/>
  <c r="M494" i="5"/>
  <c r="L7" i="66" s="1"/>
  <c r="F59" i="49" s="1"/>
  <c r="F470" i="5"/>
  <c r="I8" i="65" s="1"/>
  <c r="AH56" i="49" s="1"/>
  <c r="E470" i="5"/>
  <c r="H8" i="65" s="1"/>
  <c r="AI56" i="49" s="1"/>
  <c r="F472" i="5"/>
  <c r="I10" i="65" s="1"/>
  <c r="AH58" i="49" s="1"/>
  <c r="F471" i="5"/>
  <c r="I9" i="65" s="1"/>
  <c r="AH57" i="49" s="1"/>
  <c r="E471" i="5"/>
  <c r="H9" i="65" s="1"/>
  <c r="AI57" i="49" s="1"/>
  <c r="E472" i="5"/>
  <c r="H10" i="65" s="1"/>
  <c r="AI58" i="49" s="1"/>
  <c r="D472" i="5"/>
  <c r="D470" i="5"/>
  <c r="D471" i="5"/>
  <c r="G9" i="65" s="1"/>
  <c r="G57" i="49" s="1"/>
  <c r="D469" i="5"/>
  <c r="E469" i="5"/>
  <c r="H7" i="65" s="1"/>
  <c r="AI55" i="49" s="1"/>
  <c r="F469" i="5"/>
  <c r="I7" i="65" s="1"/>
  <c r="AH55" i="49" s="1"/>
  <c r="G11" i="57" l="1"/>
  <c r="C28" i="30" s="1"/>
  <c r="N439" i="5"/>
  <c r="I8" i="57" s="1"/>
  <c r="J11" i="66"/>
  <c r="AI62" i="49"/>
  <c r="K11" i="66"/>
  <c r="AH61" i="49"/>
  <c r="J11" i="40"/>
  <c r="J11" i="55"/>
  <c r="E27" i="30" s="1"/>
  <c r="L11" i="66"/>
  <c r="I11" i="65"/>
  <c r="G472" i="5"/>
  <c r="J10" i="65" s="1"/>
  <c r="F58" i="49" s="1"/>
  <c r="H11" i="65"/>
  <c r="G7" i="65"/>
  <c r="G55" i="49" s="1"/>
  <c r="G8" i="65"/>
  <c r="G56" i="49" s="1"/>
  <c r="G10" i="65"/>
  <c r="G58" i="49" s="1"/>
  <c r="G469" i="5"/>
  <c r="J7" i="65" s="1"/>
  <c r="F55" i="49" s="1"/>
  <c r="D252" i="5"/>
  <c r="D251" i="5"/>
  <c r="C251" i="5"/>
  <c r="C252" i="5"/>
  <c r="C250" i="5"/>
  <c r="D121" i="5"/>
  <c r="D122" i="5"/>
  <c r="D123" i="5"/>
  <c r="D120" i="5"/>
  <c r="C121" i="5"/>
  <c r="C122" i="5"/>
  <c r="C123" i="5"/>
  <c r="C120" i="5"/>
  <c r="G11" i="65" l="1"/>
  <c r="F33" i="30" s="1"/>
  <c r="G470" i="5"/>
  <c r="G471" i="5"/>
  <c r="J8" i="65" l="1"/>
  <c r="F56" i="49" s="1"/>
  <c r="J9" i="65"/>
  <c r="F57" i="49" s="1"/>
  <c r="D412" i="5"/>
  <c r="D413" i="5"/>
  <c r="D414" i="5"/>
  <c r="D411" i="5"/>
  <c r="E521" i="5" a="1"/>
  <c r="E521" i="5" s="1"/>
  <c r="F521" i="5" s="1" a="1"/>
  <c r="F521" i="5" s="1"/>
  <c r="C412" i="5"/>
  <c r="C413" i="5"/>
  <c r="C414" i="5"/>
  <c r="C411" i="5"/>
  <c r="B412" i="5"/>
  <c r="B413" i="5"/>
  <c r="B414" i="5"/>
  <c r="B411" i="5"/>
  <c r="C318" i="5"/>
  <c r="C317" i="5"/>
  <c r="C316" i="5"/>
  <c r="C315" i="5"/>
  <c r="C314" i="5"/>
  <c r="C313" i="5"/>
  <c r="C312" i="5"/>
  <c r="C311" i="5"/>
  <c r="C310" i="5"/>
  <c r="C309" i="5"/>
  <c r="D309" i="5" s="1"/>
  <c r="H309" i="5"/>
  <c r="J16" i="5"/>
  <c r="J17" i="5"/>
  <c r="J18" i="5"/>
  <c r="B400" i="5"/>
  <c r="B401" i="5"/>
  <c r="B402" i="5"/>
  <c r="C400" i="5"/>
  <c r="C401" i="5"/>
  <c r="C402" i="5"/>
  <c r="C399" i="5"/>
  <c r="B399" i="5"/>
  <c r="K363" i="5"/>
  <c r="J15" i="5"/>
  <c r="C15" i="5"/>
  <c r="C16" i="5"/>
  <c r="C17" i="5"/>
  <c r="C18" i="5"/>
  <c r="B16" i="5"/>
  <c r="B17" i="5"/>
  <c r="B18" i="5"/>
  <c r="B15" i="5"/>
  <c r="B41" i="5"/>
  <c r="E18" i="5" l="1"/>
  <c r="H18" i="5" s="1"/>
  <c r="K18" i="5"/>
  <c r="N18" i="5" s="1"/>
  <c r="L17" i="5"/>
  <c r="M17" i="5" s="1"/>
  <c r="K17" i="5"/>
  <c r="N17" i="5" s="1"/>
  <c r="F15" i="5"/>
  <c r="K15" i="5"/>
  <c r="N15" i="5" s="1"/>
  <c r="F16" i="5"/>
  <c r="K16" i="5"/>
  <c r="N16" i="5" s="1"/>
  <c r="D401" i="5"/>
  <c r="I9" i="64" s="1"/>
  <c r="F414" i="5"/>
  <c r="F413" i="5"/>
  <c r="F412" i="5"/>
  <c r="D400" i="5"/>
  <c r="I8" i="64" s="1"/>
  <c r="F411" i="5"/>
  <c r="D402" i="5"/>
  <c r="D399" i="5"/>
  <c r="I7" i="64" s="1"/>
  <c r="J11" i="65"/>
  <c r="G521" i="5" a="1"/>
  <c r="G521" i="5" s="1"/>
  <c r="H521" i="5" s="1"/>
  <c r="L16" i="5"/>
  <c r="M16" i="5" s="1"/>
  <c r="D15" i="5"/>
  <c r="L18" i="5"/>
  <c r="M18" i="5" s="1"/>
  <c r="L15" i="5"/>
  <c r="M15" i="5" s="1"/>
  <c r="F17" i="5"/>
  <c r="E17" i="5"/>
  <c r="H17" i="5" s="1"/>
  <c r="D17" i="5"/>
  <c r="E16" i="5"/>
  <c r="H16" i="5" s="1"/>
  <c r="F18" i="5"/>
  <c r="D18" i="5"/>
  <c r="D16" i="5"/>
  <c r="E15" i="5"/>
  <c r="H15" i="5" s="1"/>
  <c r="G15" i="5" l="1"/>
  <c r="I15" i="5" s="1"/>
  <c r="O18" i="5"/>
  <c r="G16" i="5"/>
  <c r="I16" i="5" s="1"/>
  <c r="O17" i="5"/>
  <c r="O16" i="5"/>
  <c r="H411" i="5"/>
  <c r="I7" i="56" s="1"/>
  <c r="L7" i="56"/>
  <c r="I411" i="5"/>
  <c r="J7" i="56" s="1"/>
  <c r="L8" i="56"/>
  <c r="I412" i="5"/>
  <c r="J8" i="56" s="1"/>
  <c r="H412" i="5"/>
  <c r="I8" i="56" s="1"/>
  <c r="I413" i="5"/>
  <c r="J9" i="56" s="1"/>
  <c r="H413" i="5"/>
  <c r="I9" i="56" s="1"/>
  <c r="L9" i="56"/>
  <c r="L10" i="56"/>
  <c r="I414" i="5"/>
  <c r="J10" i="56" s="1"/>
  <c r="H414" i="5"/>
  <c r="I10" i="56" s="1"/>
  <c r="F402" i="5"/>
  <c r="G10" i="64" s="1"/>
  <c r="I10" i="64"/>
  <c r="O15" i="5"/>
  <c r="F399" i="5"/>
  <c r="G7" i="64" s="1"/>
  <c r="E402" i="5"/>
  <c r="F10" i="64" s="1"/>
  <c r="H524" i="5"/>
  <c r="E400" i="5"/>
  <c r="F8" i="64" s="1"/>
  <c r="F400" i="5"/>
  <c r="G8" i="64" s="1"/>
  <c r="H523" i="5"/>
  <c r="H522" i="5"/>
  <c r="E401" i="5"/>
  <c r="F9" i="64" s="1"/>
  <c r="F401" i="5"/>
  <c r="G9" i="64" s="1"/>
  <c r="H525" i="5"/>
  <c r="H526" i="5"/>
  <c r="E399" i="5"/>
  <c r="F7" i="64" s="1"/>
  <c r="G17" i="5"/>
  <c r="I17" i="5" s="1"/>
  <c r="G18" i="5"/>
  <c r="I18" i="5" s="1"/>
  <c r="S18" i="5" l="1"/>
  <c r="L10" i="53" s="1"/>
  <c r="S17" i="5"/>
  <c r="L9" i="53" s="1"/>
  <c r="S16" i="5"/>
  <c r="L8" i="53" s="1"/>
  <c r="S15" i="5"/>
  <c r="L7" i="53" s="1"/>
  <c r="J11" i="56"/>
  <c r="G402" i="5"/>
  <c r="H10" i="64" s="1"/>
  <c r="G11" i="64"/>
  <c r="I11" i="64"/>
  <c r="F35" i="30" s="1"/>
  <c r="G401" i="5"/>
  <c r="H9" i="64" s="1"/>
  <c r="G400" i="5"/>
  <c r="H8" i="64" s="1"/>
  <c r="G399" i="5"/>
  <c r="H7" i="64" s="1"/>
  <c r="L11" i="56"/>
  <c r="Q18" i="5" l="1"/>
  <c r="J10" i="53" s="1"/>
  <c r="P18" i="5"/>
  <c r="I10" i="53" s="1"/>
  <c r="P17" i="5"/>
  <c r="I9" i="53" s="1"/>
  <c r="Q17" i="5"/>
  <c r="J9" i="53" s="1"/>
  <c r="Q16" i="5"/>
  <c r="J8" i="53" s="1"/>
  <c r="P16" i="5"/>
  <c r="I8" i="53" s="1"/>
  <c r="Q15" i="5"/>
  <c r="P15" i="5"/>
  <c r="I7" i="53" s="1"/>
  <c r="F11" i="64"/>
  <c r="H11" i="64"/>
  <c r="R18" i="5" l="1"/>
  <c r="K10" i="53" s="1"/>
  <c r="R17" i="5"/>
  <c r="K9" i="53" s="1"/>
  <c r="J7" i="53"/>
  <c r="J11" i="53" s="1"/>
  <c r="D25" i="30" s="1"/>
  <c r="R16" i="5"/>
  <c r="K8" i="53" s="1"/>
  <c r="R15" i="5"/>
  <c r="K7" i="53" s="1"/>
  <c r="I11" i="53"/>
  <c r="C25" i="30" s="1"/>
  <c r="B5" i="42"/>
  <c r="I107" i="5"/>
  <c r="G121" i="5" l="1"/>
  <c r="G122" i="5"/>
  <c r="G123" i="5"/>
  <c r="G120" i="5"/>
  <c r="N497" i="5"/>
  <c r="M10" i="66" s="1"/>
  <c r="N495" i="5"/>
  <c r="M8" i="66" s="1"/>
  <c r="N496" i="5"/>
  <c r="M9" i="66" s="1"/>
  <c r="N494" i="5"/>
  <c r="M7" i="66" s="1"/>
  <c r="H469" i="5"/>
  <c r="K7" i="65" s="1"/>
  <c r="H55" i="49" s="1"/>
  <c r="AQ55" i="49" s="1"/>
  <c r="H472" i="5"/>
  <c r="K10" i="65" s="1"/>
  <c r="H58" i="49" s="1"/>
  <c r="AQ58" i="49" s="1"/>
  <c r="H470" i="5"/>
  <c r="K8" i="65" s="1"/>
  <c r="H56" i="49" s="1"/>
  <c r="AQ56" i="49" s="1"/>
  <c r="H471" i="5"/>
  <c r="K9" i="65" s="1"/>
  <c r="H57" i="49" s="1"/>
  <c r="AQ57" i="49" s="1"/>
  <c r="J8" i="64"/>
  <c r="J9" i="64"/>
  <c r="J7" i="64"/>
  <c r="J10" i="64"/>
  <c r="K7" i="50"/>
  <c r="D230" i="5" s="1"/>
  <c r="G412" i="5"/>
  <c r="K8" i="56" s="1"/>
  <c r="G413" i="5"/>
  <c r="K9" i="56" s="1"/>
  <c r="G414" i="5"/>
  <c r="K10" i="56" s="1"/>
  <c r="G411" i="5"/>
  <c r="K7" i="56" s="1"/>
  <c r="H310" i="5"/>
  <c r="H311" i="5"/>
  <c r="H312" i="5"/>
  <c r="H313" i="5"/>
  <c r="H314" i="5"/>
  <c r="H315" i="5"/>
  <c r="H316" i="5"/>
  <c r="H317" i="5"/>
  <c r="H318" i="5"/>
  <c r="I11" i="56" l="1"/>
  <c r="K11" i="65"/>
  <c r="H33" i="30" s="1"/>
  <c r="M11" i="66"/>
  <c r="H34" i="30" s="1"/>
  <c r="H35" i="30"/>
  <c r="K11" i="56" l="1"/>
  <c r="B8" i="52"/>
  <c r="C8" i="52"/>
  <c r="B9" i="52"/>
  <c r="C9" i="52"/>
  <c r="B10" i="52"/>
  <c r="C10" i="52"/>
  <c r="C7" i="52"/>
  <c r="B7" i="52"/>
  <c r="L11" i="40" l="1"/>
  <c r="M11" i="40"/>
  <c r="B8" i="58"/>
  <c r="C8" i="58"/>
  <c r="B9" i="58"/>
  <c r="C9" i="58"/>
  <c r="B10" i="58"/>
  <c r="C10" i="58"/>
  <c r="C7" i="58"/>
  <c r="B7" i="58"/>
  <c r="K8" i="50"/>
  <c r="D231" i="5" s="1"/>
  <c r="K9" i="50"/>
  <c r="K10" i="50"/>
  <c r="C41" i="5" l="1"/>
  <c r="B42" i="5"/>
  <c r="C42" i="5"/>
  <c r="B43" i="5"/>
  <c r="C43" i="5"/>
  <c r="C40" i="5"/>
  <c r="K40" i="5" s="1"/>
  <c r="N40" i="5" s="1"/>
  <c r="B40" i="5"/>
  <c r="F42" i="5" l="1"/>
  <c r="K42" i="5"/>
  <c r="N42" i="5" s="1"/>
  <c r="E42" i="5"/>
  <c r="H42" i="5" s="1"/>
  <c r="L42" i="5"/>
  <c r="F43" i="5"/>
  <c r="E43" i="5"/>
  <c r="H43" i="5" s="1"/>
  <c r="K43" i="5"/>
  <c r="N43" i="5" s="1"/>
  <c r="L43" i="5"/>
  <c r="L40" i="5"/>
  <c r="F40" i="5"/>
  <c r="E40" i="5"/>
  <c r="H40" i="5" s="1"/>
  <c r="D41" i="5"/>
  <c r="L41" i="5"/>
  <c r="E41" i="5"/>
  <c r="H41" i="5" s="1"/>
  <c r="K41" i="5"/>
  <c r="N41" i="5" s="1"/>
  <c r="F41" i="5"/>
  <c r="D40" i="5"/>
  <c r="J40" i="5"/>
  <c r="D43" i="5"/>
  <c r="D42" i="5"/>
  <c r="J43" i="5"/>
  <c r="J42" i="5"/>
  <c r="J41" i="5"/>
  <c r="D11" i="30" a="1"/>
  <c r="D11" i="30" s="1"/>
  <c r="J6" i="29" a="1"/>
  <c r="J6" i="29" s="1"/>
  <c r="G3" i="30" s="1"/>
  <c r="J5" i="29" a="1"/>
  <c r="J5" i="29" s="1"/>
  <c r="G2" i="30" s="1"/>
  <c r="G40" i="5" l="1"/>
  <c r="I40" i="5" s="1"/>
  <c r="G43" i="5"/>
  <c r="I43" i="5" s="1"/>
  <c r="G42" i="5"/>
  <c r="I42" i="5" s="1"/>
  <c r="G41" i="5"/>
  <c r="I41" i="5" s="1"/>
  <c r="M40" i="5"/>
  <c r="O40" i="5" s="1"/>
  <c r="M42" i="5"/>
  <c r="O42" i="5" s="1"/>
  <c r="M43" i="5"/>
  <c r="O43" i="5" s="1"/>
  <c r="M41" i="5"/>
  <c r="O41" i="5" s="1"/>
  <c r="S40" i="5" l="1"/>
  <c r="Q40" i="5" s="1"/>
  <c r="S43" i="5"/>
  <c r="J10" i="46" s="1"/>
  <c r="S41" i="5"/>
  <c r="J8" i="46" s="1"/>
  <c r="S42" i="5"/>
  <c r="J9" i="46" s="1"/>
  <c r="M9" i="56"/>
  <c r="J7" i="46" l="1"/>
  <c r="Q43" i="5"/>
  <c r="H10" i="46" s="1"/>
  <c r="AH18" i="49" s="1"/>
  <c r="P43" i="5"/>
  <c r="G10" i="46" s="1"/>
  <c r="AI18" i="49" s="1"/>
  <c r="H7" i="46"/>
  <c r="AH15" i="49" s="1"/>
  <c r="P40" i="5"/>
  <c r="P41" i="5"/>
  <c r="G8" i="46" s="1"/>
  <c r="AI16" i="49" s="1"/>
  <c r="Q41" i="5"/>
  <c r="H8" i="46" s="1"/>
  <c r="AH16" i="49" s="1"/>
  <c r="Q42" i="5"/>
  <c r="H9" i="46" s="1"/>
  <c r="AH17" i="49" s="1"/>
  <c r="P42" i="5"/>
  <c r="G9" i="46" s="1"/>
  <c r="AI17" i="49" s="1"/>
  <c r="M8" i="56"/>
  <c r="M7" i="56"/>
  <c r="M10" i="56"/>
  <c r="R43" i="5" l="1"/>
  <c r="I10" i="46" s="1"/>
  <c r="H11" i="46"/>
  <c r="R40" i="5"/>
  <c r="I7" i="46" s="1"/>
  <c r="K7" i="46" s="1"/>
  <c r="G7" i="46"/>
  <c r="AI15" i="49" s="1"/>
  <c r="R42" i="5"/>
  <c r="I9" i="46" s="1"/>
  <c r="R41" i="5"/>
  <c r="I8" i="46" s="1"/>
  <c r="K8" i="46" s="1"/>
  <c r="H30" i="30"/>
  <c r="F231" i="5"/>
  <c r="F232" i="5"/>
  <c r="F233" i="5"/>
  <c r="F230" i="5"/>
  <c r="H231" i="5"/>
  <c r="H232" i="5"/>
  <c r="H233" i="5"/>
  <c r="H230" i="5"/>
  <c r="E230" i="5" s="1"/>
  <c r="G231" i="5"/>
  <c r="D232" i="5"/>
  <c r="G232" i="5"/>
  <c r="D233" i="5"/>
  <c r="G233" i="5"/>
  <c r="G230" i="5"/>
  <c r="B8" i="49"/>
  <c r="K8" i="49" s="1"/>
  <c r="B9" i="49"/>
  <c r="M9" i="49" s="1"/>
  <c r="B10" i="49"/>
  <c r="D10" i="49" s="1"/>
  <c r="B23" i="30"/>
  <c r="B32" i="30"/>
  <c r="M364" i="5"/>
  <c r="M365" i="5"/>
  <c r="M366" i="5"/>
  <c r="M367" i="5"/>
  <c r="M368" i="5"/>
  <c r="M369" i="5"/>
  <c r="M370" i="5"/>
  <c r="M363" i="5"/>
  <c r="B368" i="5"/>
  <c r="D368" i="5" s="1"/>
  <c r="B369" i="5"/>
  <c r="D369" i="5" s="1"/>
  <c r="B370" i="5"/>
  <c r="D370" i="5" s="1"/>
  <c r="B371" i="5"/>
  <c r="D371" i="5" s="1"/>
  <c r="B367" i="5"/>
  <c r="D367" i="5" s="1"/>
  <c r="B364" i="5"/>
  <c r="D364" i="5" s="1"/>
  <c r="B365" i="5"/>
  <c r="D365" i="5" s="1"/>
  <c r="B366" i="5"/>
  <c r="D366" i="5" s="1"/>
  <c r="B363" i="5"/>
  <c r="D363" i="5" s="1"/>
  <c r="B3" i="49"/>
  <c r="X3" i="49" s="1"/>
  <c r="B4" i="49"/>
  <c r="E4" i="49" s="1"/>
  <c r="B11" i="49"/>
  <c r="X11" i="49" s="1"/>
  <c r="B64" i="49"/>
  <c r="B65" i="49"/>
  <c r="D8" i="52"/>
  <c r="D9" i="52"/>
  <c r="D10" i="52"/>
  <c r="D7" i="52"/>
  <c r="B66" i="49"/>
  <c r="B63" i="49"/>
  <c r="C58" i="49"/>
  <c r="B52" i="49"/>
  <c r="B53" i="49"/>
  <c r="B54" i="49"/>
  <c r="B51" i="49"/>
  <c r="B48" i="49"/>
  <c r="E48" i="49" s="1"/>
  <c r="B49" i="49"/>
  <c r="T49" i="49" s="1"/>
  <c r="B50" i="49"/>
  <c r="E50" i="49" s="1"/>
  <c r="B47" i="49"/>
  <c r="B44" i="49"/>
  <c r="D44" i="49" s="1"/>
  <c r="B45" i="49"/>
  <c r="B46" i="49"/>
  <c r="B43" i="49"/>
  <c r="X43" i="49" s="1"/>
  <c r="B40" i="49"/>
  <c r="B41" i="49"/>
  <c r="B42" i="49"/>
  <c r="X42" i="49" s="1"/>
  <c r="B39" i="49"/>
  <c r="B36" i="49"/>
  <c r="B37" i="49"/>
  <c r="B38" i="49"/>
  <c r="B35" i="49"/>
  <c r="B32" i="49"/>
  <c r="AH32" i="49" s="1"/>
  <c r="B33" i="49"/>
  <c r="B34" i="49"/>
  <c r="AH34" i="49" s="1"/>
  <c r="B31" i="49"/>
  <c r="AH31" i="49" s="1"/>
  <c r="B28" i="49"/>
  <c r="C28" i="49" s="1"/>
  <c r="B29" i="49"/>
  <c r="B30" i="49"/>
  <c r="B27" i="49"/>
  <c r="B24" i="49"/>
  <c r="B25" i="49"/>
  <c r="B26" i="49"/>
  <c r="B23" i="49"/>
  <c r="B20" i="49"/>
  <c r="X20" i="49" s="1"/>
  <c r="B21" i="49"/>
  <c r="X21" i="49" s="1"/>
  <c r="B22" i="49"/>
  <c r="C22" i="49" s="1"/>
  <c r="B19" i="49"/>
  <c r="X19" i="49" s="1"/>
  <c r="B16" i="49"/>
  <c r="B17" i="49"/>
  <c r="B18" i="49"/>
  <c r="B15" i="49"/>
  <c r="B12" i="49"/>
  <c r="B13" i="49"/>
  <c r="X13" i="49" s="1"/>
  <c r="B14" i="49"/>
  <c r="X14" i="49" s="1"/>
  <c r="O20" i="49"/>
  <c r="B5" i="49"/>
  <c r="X5" i="49" s="1"/>
  <c r="B6" i="49"/>
  <c r="X6" i="49" s="1"/>
  <c r="B5" i="50"/>
  <c r="B20" i="30" s="1"/>
  <c r="H228" i="5"/>
  <c r="G228" i="5"/>
  <c r="F228" i="5"/>
  <c r="B31" i="30"/>
  <c r="B28" i="30"/>
  <c r="B27" i="30"/>
  <c r="B26" i="30"/>
  <c r="B25" i="30"/>
  <c r="J522" i="5"/>
  <c r="J523" i="5"/>
  <c r="J524" i="5"/>
  <c r="J525" i="5"/>
  <c r="J526" i="5"/>
  <c r="J521" i="5"/>
  <c r="D522" i="5"/>
  <c r="D523" i="5"/>
  <c r="D524" i="5"/>
  <c r="D525" i="5"/>
  <c r="D526" i="5"/>
  <c r="D521" i="5"/>
  <c r="D315" i="5"/>
  <c r="D316" i="5"/>
  <c r="D317" i="5"/>
  <c r="D318" i="5"/>
  <c r="D314" i="5"/>
  <c r="D310" i="5"/>
  <c r="D311" i="5"/>
  <c r="D312" i="5"/>
  <c r="D313" i="5"/>
  <c r="C263" i="5"/>
  <c r="C264" i="5"/>
  <c r="F264" i="5" s="1"/>
  <c r="C265" i="5"/>
  <c r="C262" i="5"/>
  <c r="F262" i="5" s="1"/>
  <c r="AD27" i="49" s="1"/>
  <c r="B265" i="5"/>
  <c r="B263" i="5"/>
  <c r="B264" i="5"/>
  <c r="B262" i="5"/>
  <c r="B5" i="52"/>
  <c r="B121" i="5"/>
  <c r="B122" i="5"/>
  <c r="B123" i="5"/>
  <c r="B120" i="5"/>
  <c r="G36" i="31"/>
  <c r="G40" i="31"/>
  <c r="G39" i="31"/>
  <c r="G38" i="31"/>
  <c r="G37" i="31"/>
  <c r="G35" i="31"/>
  <c r="B6" i="47"/>
  <c r="B29" i="30" s="1"/>
  <c r="B24" i="30"/>
  <c r="B5" i="40"/>
  <c r="B22" i="30" s="1"/>
  <c r="F51" i="31"/>
  <c r="F50" i="31"/>
  <c r="F49" i="31"/>
  <c r="F34" i="31"/>
  <c r="J34" i="31" s="1"/>
  <c r="F33" i="31"/>
  <c r="J33" i="31" s="1"/>
  <c r="F27" i="31"/>
  <c r="J27" i="31" s="1"/>
  <c r="F26" i="31"/>
  <c r="F25" i="31"/>
  <c r="B26" i="31"/>
  <c r="E26" i="31" s="1"/>
  <c r="B25" i="31"/>
  <c r="E25" i="31" s="1"/>
  <c r="F22" i="31"/>
  <c r="J22" i="31" s="1"/>
  <c r="B21" i="30"/>
  <c r="B11" i="41"/>
  <c r="C36" i="31"/>
  <c r="B5" i="41"/>
  <c r="B36" i="31"/>
  <c r="I48" i="31"/>
  <c r="G33" i="31"/>
  <c r="I33" i="31" s="1"/>
  <c r="K33" i="31" s="1"/>
  <c r="G22" i="31"/>
  <c r="G23" i="31"/>
  <c r="I23" i="31" s="1"/>
  <c r="K23" i="31" s="1"/>
  <c r="G24" i="31"/>
  <c r="I24" i="31" s="1"/>
  <c r="K24" i="31" s="1"/>
  <c r="G27" i="31"/>
  <c r="I27" i="31" s="1"/>
  <c r="K27" i="31" s="1"/>
  <c r="G28" i="31"/>
  <c r="I28" i="31" s="1"/>
  <c r="K28" i="31" s="1"/>
  <c r="G21" i="31"/>
  <c r="S31" i="31"/>
  <c r="AF31" i="31" s="1"/>
  <c r="S28" i="31"/>
  <c r="F30" i="31"/>
  <c r="F31" i="31"/>
  <c r="F32" i="31"/>
  <c r="F29" i="31"/>
  <c r="AT23" i="31"/>
  <c r="AT24" i="31"/>
  <c r="AT25" i="31"/>
  <c r="AT26" i="31"/>
  <c r="AT27" i="31"/>
  <c r="AT28" i="31"/>
  <c r="AT29" i="31"/>
  <c r="AT30" i="31"/>
  <c r="AT22" i="31"/>
  <c r="AK22" i="31"/>
  <c r="AK23" i="31"/>
  <c r="AK24" i="31"/>
  <c r="AK25" i="31"/>
  <c r="AK26" i="31"/>
  <c r="AK27" i="31"/>
  <c r="AK28" i="31"/>
  <c r="AK29" i="31"/>
  <c r="AK30" i="31"/>
  <c r="AK31" i="31"/>
  <c r="AK32" i="31"/>
  <c r="AK33" i="31"/>
  <c r="AK34" i="31"/>
  <c r="AK35" i="31"/>
  <c r="AK36" i="31"/>
  <c r="AK37" i="31"/>
  <c r="AK38" i="31"/>
  <c r="AK39" i="31"/>
  <c r="AK40" i="31"/>
  <c r="AK41" i="31"/>
  <c r="AK42" i="31"/>
  <c r="AK43" i="31"/>
  <c r="AK44" i="31"/>
  <c r="AK45" i="31"/>
  <c r="AK46" i="31"/>
  <c r="AK47" i="31"/>
  <c r="AK48" i="31"/>
  <c r="AK49" i="31"/>
  <c r="AK50" i="31"/>
  <c r="AK51" i="31"/>
  <c r="AK52" i="31"/>
  <c r="AK53" i="31"/>
  <c r="O30" i="31"/>
  <c r="O31" i="31"/>
  <c r="O32" i="31"/>
  <c r="O29" i="31"/>
  <c r="T28" i="31"/>
  <c r="R28" i="31"/>
  <c r="N28" i="31"/>
  <c r="M30" i="31"/>
  <c r="M31" i="31"/>
  <c r="M32" i="31"/>
  <c r="M29" i="31"/>
  <c r="F21" i="31"/>
  <c r="J21" i="31" s="1"/>
  <c r="P28" i="31"/>
  <c r="Q28" i="31"/>
  <c r="P29" i="31"/>
  <c r="Q29" i="31"/>
  <c r="P30" i="31"/>
  <c r="Q30" i="31"/>
  <c r="P31" i="31"/>
  <c r="Q31" i="31"/>
  <c r="P32" i="31"/>
  <c r="Q32" i="31"/>
  <c r="D22" i="31"/>
  <c r="D23" i="31"/>
  <c r="C22" i="31"/>
  <c r="D28" i="31"/>
  <c r="D27" i="31"/>
  <c r="C23" i="31"/>
  <c r="C28" i="31"/>
  <c r="D33" i="31"/>
  <c r="C27" i="31"/>
  <c r="D21" i="31"/>
  <c r="C21" i="31"/>
  <c r="C33" i="31"/>
  <c r="G48" i="31"/>
  <c r="H26" i="31"/>
  <c r="S30" i="31"/>
  <c r="AF30" i="31" s="1"/>
  <c r="F23" i="31"/>
  <c r="J23" i="31" s="1"/>
  <c r="H25" i="31"/>
  <c r="H24" i="31" s="1"/>
  <c r="S32" i="31"/>
  <c r="AF32" i="31" s="1"/>
  <c r="S29" i="31"/>
  <c r="AF29" i="31" s="1"/>
  <c r="D36" i="31"/>
  <c r="G34" i="31"/>
  <c r="I34" i="31" s="1"/>
  <c r="R30" i="31"/>
  <c r="D26" i="31"/>
  <c r="H21" i="31"/>
  <c r="I21" i="31" s="1"/>
  <c r="K21" i="31" s="1"/>
  <c r="C26" i="31"/>
  <c r="R31" i="31"/>
  <c r="R29" i="31"/>
  <c r="N30" i="31"/>
  <c r="R32" i="31"/>
  <c r="N31" i="31"/>
  <c r="D25" i="31"/>
  <c r="C25" i="31"/>
  <c r="N32" i="31"/>
  <c r="N29" i="31"/>
  <c r="T32" i="31"/>
  <c r="T30" i="31"/>
  <c r="T31" i="31"/>
  <c r="T29" i="31"/>
  <c r="AH40" i="49" l="1"/>
  <c r="AI40" i="49"/>
  <c r="C52" i="49"/>
  <c r="Z65" i="49"/>
  <c r="D39" i="49"/>
  <c r="AH39" i="49"/>
  <c r="AI39" i="49"/>
  <c r="V51" i="49"/>
  <c r="AH51" i="49"/>
  <c r="I64" i="49"/>
  <c r="Z64" i="49"/>
  <c r="D54" i="49"/>
  <c r="E63" i="49"/>
  <c r="Z63" i="49"/>
  <c r="I53" i="49"/>
  <c r="D66" i="49"/>
  <c r="AH66" i="49"/>
  <c r="Z66" i="49"/>
  <c r="AH37" i="49"/>
  <c r="AI37" i="49"/>
  <c r="C26" i="49"/>
  <c r="AH26" i="49"/>
  <c r="AD26" i="49"/>
  <c r="AI26" i="49"/>
  <c r="AC26" i="49"/>
  <c r="AH36" i="49"/>
  <c r="AI36" i="49"/>
  <c r="C23" i="49"/>
  <c r="AH23" i="49"/>
  <c r="AI23" i="49"/>
  <c r="AC23" i="49"/>
  <c r="AD23" i="49"/>
  <c r="AH25" i="49"/>
  <c r="AD25" i="49"/>
  <c r="AI25" i="49"/>
  <c r="AC25" i="49"/>
  <c r="I33" i="49"/>
  <c r="AH33" i="49"/>
  <c r="I27" i="49"/>
  <c r="AF27" i="49"/>
  <c r="X35" i="49"/>
  <c r="AI35" i="49"/>
  <c r="AH35" i="49"/>
  <c r="D12" i="49"/>
  <c r="X12" i="49"/>
  <c r="AD24" i="49"/>
  <c r="AH24" i="49"/>
  <c r="AI24" i="49"/>
  <c r="AC24" i="49"/>
  <c r="X38" i="49"/>
  <c r="AH38" i="49"/>
  <c r="AI38" i="49"/>
  <c r="K211" i="5"/>
  <c r="K219" i="5"/>
  <c r="K210" i="5"/>
  <c r="K218" i="5"/>
  <c r="K209" i="5"/>
  <c r="K217" i="5"/>
  <c r="K225" i="5"/>
  <c r="K220" i="5"/>
  <c r="K208" i="5"/>
  <c r="K216" i="5"/>
  <c r="K224" i="5"/>
  <c r="K207" i="5"/>
  <c r="K215" i="5"/>
  <c r="K223" i="5"/>
  <c r="K221" i="5"/>
  <c r="K206" i="5"/>
  <c r="K214" i="5"/>
  <c r="K222" i="5"/>
  <c r="K213" i="5"/>
  <c r="K212" i="5"/>
  <c r="K205" i="5"/>
  <c r="N206" i="5"/>
  <c r="N214" i="5"/>
  <c r="N222" i="5"/>
  <c r="N205" i="5"/>
  <c r="N213" i="5"/>
  <c r="N221" i="5"/>
  <c r="N212" i="5"/>
  <c r="N220" i="5"/>
  <c r="N211" i="5"/>
  <c r="N219" i="5"/>
  <c r="N210" i="5"/>
  <c r="N218" i="5"/>
  <c r="N209" i="5"/>
  <c r="N217" i="5"/>
  <c r="N225" i="5"/>
  <c r="N216" i="5"/>
  <c r="N224" i="5"/>
  <c r="N208" i="5"/>
  <c r="N207" i="5"/>
  <c r="N215" i="5"/>
  <c r="N223" i="5"/>
  <c r="L212" i="5"/>
  <c r="L220" i="5"/>
  <c r="L211" i="5"/>
  <c r="L219" i="5"/>
  <c r="L210" i="5"/>
  <c r="L218" i="5"/>
  <c r="L209" i="5"/>
  <c r="L217" i="5"/>
  <c r="L225" i="5"/>
  <c r="L208" i="5"/>
  <c r="L216" i="5"/>
  <c r="L224" i="5"/>
  <c r="L221" i="5"/>
  <c r="L207" i="5"/>
  <c r="L215" i="5"/>
  <c r="L223" i="5"/>
  <c r="L205" i="5"/>
  <c r="L206" i="5"/>
  <c r="L214" i="5"/>
  <c r="L222" i="5"/>
  <c r="L213" i="5"/>
  <c r="M205" i="5"/>
  <c r="M213" i="5"/>
  <c r="M221" i="5"/>
  <c r="M212" i="5"/>
  <c r="M220" i="5"/>
  <c r="M211" i="5"/>
  <c r="M219" i="5"/>
  <c r="M210" i="5"/>
  <c r="M218" i="5"/>
  <c r="M207" i="5"/>
  <c r="M223" i="5"/>
  <c r="M209" i="5"/>
  <c r="M217" i="5"/>
  <c r="M225" i="5"/>
  <c r="M206" i="5"/>
  <c r="M208" i="5"/>
  <c r="M216" i="5"/>
  <c r="M224" i="5"/>
  <c r="M214" i="5"/>
  <c r="M215" i="5"/>
  <c r="M222" i="5"/>
  <c r="D15" i="49"/>
  <c r="I15" i="49"/>
  <c r="G11" i="46"/>
  <c r="X18" i="49"/>
  <c r="D18" i="49"/>
  <c r="X17" i="49"/>
  <c r="D17" i="49"/>
  <c r="X16" i="49"/>
  <c r="D16" i="49"/>
  <c r="X15" i="49"/>
  <c r="D13" i="49"/>
  <c r="D11" i="49"/>
  <c r="D14" i="49"/>
  <c r="N7" i="49"/>
  <c r="I12" i="49"/>
  <c r="K11" i="49"/>
  <c r="I17" i="49"/>
  <c r="D19" i="49"/>
  <c r="M13" i="49"/>
  <c r="I10" i="59"/>
  <c r="I327" i="5"/>
  <c r="I9" i="47" s="1"/>
  <c r="AH20" i="49" s="1"/>
  <c r="G327" i="5"/>
  <c r="K9" i="47" s="1"/>
  <c r="H327" i="5"/>
  <c r="H9" i="47" s="1"/>
  <c r="AI20" i="49" s="1"/>
  <c r="I326" i="5"/>
  <c r="I8" i="47" s="1"/>
  <c r="AH19" i="49" s="1"/>
  <c r="H326" i="5"/>
  <c r="H8" i="47" s="1"/>
  <c r="AI19" i="49" s="1"/>
  <c r="G326" i="5"/>
  <c r="K8" i="47" s="1"/>
  <c r="I329" i="5"/>
  <c r="I11" i="47" s="1"/>
  <c r="AH22" i="49" s="1"/>
  <c r="H329" i="5"/>
  <c r="H11" i="47" s="1"/>
  <c r="AI22" i="49" s="1"/>
  <c r="G329" i="5"/>
  <c r="K11" i="47" s="1"/>
  <c r="I328" i="5"/>
  <c r="I10" i="47" s="1"/>
  <c r="AH21" i="49" s="1"/>
  <c r="H328" i="5"/>
  <c r="H10" i="47" s="1"/>
  <c r="AI21" i="49" s="1"/>
  <c r="G328" i="5"/>
  <c r="K10" i="47" s="1"/>
  <c r="C233" i="5"/>
  <c r="C232" i="5"/>
  <c r="E233" i="5"/>
  <c r="E232" i="5"/>
  <c r="E231" i="5"/>
  <c r="C230" i="5"/>
  <c r="C231" i="5"/>
  <c r="E265" i="5"/>
  <c r="F265" i="5"/>
  <c r="N363" i="5"/>
  <c r="O363" i="5"/>
  <c r="H7" i="59"/>
  <c r="G7" i="59"/>
  <c r="H121" i="5"/>
  <c r="I121" i="5" s="1"/>
  <c r="L8" i="42" s="1"/>
  <c r="H123" i="5"/>
  <c r="I123" i="5" s="1"/>
  <c r="L10" i="42" s="1"/>
  <c r="H122" i="5"/>
  <c r="I122" i="5" s="1"/>
  <c r="L9" i="42" s="1"/>
  <c r="H120" i="5"/>
  <c r="I120" i="5" s="1"/>
  <c r="L7" i="42" s="1"/>
  <c r="D59" i="49"/>
  <c r="E264" i="5"/>
  <c r="J264" i="5" s="1"/>
  <c r="J9" i="54" s="1"/>
  <c r="F263" i="5"/>
  <c r="E263" i="5"/>
  <c r="E262" i="5"/>
  <c r="J262" i="5" s="1"/>
  <c r="J7" i="54" s="1"/>
  <c r="D264" i="5"/>
  <c r="B51" i="31" s="1"/>
  <c r="E51" i="31" s="1"/>
  <c r="J51" i="31" s="1"/>
  <c r="H10" i="59"/>
  <c r="G10" i="59"/>
  <c r="AH54" i="49" s="1"/>
  <c r="F10" i="59"/>
  <c r="F54" i="49" s="1"/>
  <c r="H8" i="59"/>
  <c r="G8" i="59"/>
  <c r="AH52" i="49" s="1"/>
  <c r="D262" i="5"/>
  <c r="G9" i="59"/>
  <c r="AH53" i="49" s="1"/>
  <c r="H9" i="59"/>
  <c r="F9" i="59"/>
  <c r="F53" i="49" s="1"/>
  <c r="O370" i="5"/>
  <c r="P370" i="5"/>
  <c r="O369" i="5"/>
  <c r="P369" i="5"/>
  <c r="P363" i="5"/>
  <c r="Q363" i="5"/>
  <c r="O367" i="5"/>
  <c r="P367" i="5"/>
  <c r="O366" i="5"/>
  <c r="P366" i="5"/>
  <c r="O365" i="5"/>
  <c r="P365" i="5"/>
  <c r="O364" i="5"/>
  <c r="P364" i="5"/>
  <c r="O368" i="5"/>
  <c r="P368" i="5"/>
  <c r="Q369" i="5"/>
  <c r="Q366" i="5"/>
  <c r="Q368" i="5"/>
  <c r="N365" i="5"/>
  <c r="Q365" i="5"/>
  <c r="Q364" i="5"/>
  <c r="Q370" i="5"/>
  <c r="Q367" i="5"/>
  <c r="N370" i="5"/>
  <c r="C33" i="49"/>
  <c r="AI33" i="49" s="1"/>
  <c r="I9" i="59"/>
  <c r="I8" i="59"/>
  <c r="F8" i="59"/>
  <c r="F52" i="49" s="1"/>
  <c r="F7" i="59"/>
  <c r="F51" i="49" s="1"/>
  <c r="I7" i="59"/>
  <c r="F17" i="49"/>
  <c r="E17" i="49"/>
  <c r="D33" i="49"/>
  <c r="C44" i="49"/>
  <c r="F39" i="49"/>
  <c r="C7" i="49"/>
  <c r="C53" i="49"/>
  <c r="I39" i="49"/>
  <c r="J25" i="31"/>
  <c r="K36" i="31"/>
  <c r="C63" i="49"/>
  <c r="K8" i="57"/>
  <c r="K10" i="57"/>
  <c r="D10" i="58"/>
  <c r="M10" i="53"/>
  <c r="D9" i="58"/>
  <c r="C38" i="31"/>
  <c r="E64" i="49"/>
  <c r="E61" i="49"/>
  <c r="D61" i="49"/>
  <c r="U54" i="49"/>
  <c r="E54" i="49"/>
  <c r="I54" i="49"/>
  <c r="C54" i="49"/>
  <c r="V54" i="49"/>
  <c r="V52" i="49"/>
  <c r="D52" i="49"/>
  <c r="C51" i="49"/>
  <c r="D51" i="49"/>
  <c r="D48" i="49"/>
  <c r="D7" i="58"/>
  <c r="G47" i="49"/>
  <c r="D8" i="58"/>
  <c r="E44" i="49"/>
  <c r="I44" i="49"/>
  <c r="K9" i="57"/>
  <c r="K7" i="57"/>
  <c r="C42" i="49"/>
  <c r="G26" i="49"/>
  <c r="M9" i="53"/>
  <c r="D23" i="49"/>
  <c r="I23" i="49"/>
  <c r="G23" i="49"/>
  <c r="M8" i="53"/>
  <c r="M7" i="53"/>
  <c r="E21" i="49"/>
  <c r="F15" i="49"/>
  <c r="K9" i="46"/>
  <c r="K10" i="46"/>
  <c r="E13" i="49"/>
  <c r="C14" i="49"/>
  <c r="F13" i="49"/>
  <c r="I13" i="49"/>
  <c r="C13" i="49"/>
  <c r="K7" i="49"/>
  <c r="L7" i="49"/>
  <c r="J7" i="49"/>
  <c r="F7" i="49"/>
  <c r="N10" i="40"/>
  <c r="N7" i="40"/>
  <c r="E9" i="49"/>
  <c r="K9" i="49"/>
  <c r="F9" i="49"/>
  <c r="L9" i="49"/>
  <c r="N9" i="40"/>
  <c r="N8" i="40"/>
  <c r="G7" i="49"/>
  <c r="D6" i="49"/>
  <c r="C6" i="49"/>
  <c r="C57" i="49"/>
  <c r="D56" i="49"/>
  <c r="D58" i="49"/>
  <c r="U53" i="49"/>
  <c r="U52" i="49"/>
  <c r="V53" i="49"/>
  <c r="E52" i="49"/>
  <c r="U51" i="49"/>
  <c r="I52" i="49"/>
  <c r="D53" i="49"/>
  <c r="E47" i="49"/>
  <c r="T47" i="49"/>
  <c r="D47" i="49"/>
  <c r="I47" i="49"/>
  <c r="F47" i="49"/>
  <c r="C47" i="49"/>
  <c r="G45" i="49"/>
  <c r="X45" i="49"/>
  <c r="N44" i="49"/>
  <c r="X44" i="49"/>
  <c r="D46" i="49"/>
  <c r="X46" i="49"/>
  <c r="C40" i="49"/>
  <c r="X40" i="49"/>
  <c r="X41" i="49"/>
  <c r="G39" i="49"/>
  <c r="X39" i="49"/>
  <c r="D37" i="49"/>
  <c r="X37" i="49"/>
  <c r="D36" i="49"/>
  <c r="X36" i="49"/>
  <c r="S33" i="49"/>
  <c r="X33" i="49"/>
  <c r="D34" i="49"/>
  <c r="X34" i="49"/>
  <c r="E32" i="49"/>
  <c r="X32" i="49"/>
  <c r="D31" i="49"/>
  <c r="X31" i="49"/>
  <c r="C64" i="49"/>
  <c r="X64" i="49"/>
  <c r="C65" i="49"/>
  <c r="X65" i="49"/>
  <c r="E65" i="49"/>
  <c r="I63" i="49"/>
  <c r="X63" i="49"/>
  <c r="C66" i="49"/>
  <c r="AI66" i="49" s="1"/>
  <c r="X66" i="49"/>
  <c r="C29" i="49"/>
  <c r="X29" i="49"/>
  <c r="E28" i="49"/>
  <c r="X28" i="49"/>
  <c r="C27" i="49"/>
  <c r="X27" i="49"/>
  <c r="D30" i="49"/>
  <c r="X30" i="49"/>
  <c r="X26" i="49"/>
  <c r="I25" i="49"/>
  <c r="X25" i="49"/>
  <c r="D24" i="49"/>
  <c r="X24" i="49"/>
  <c r="X23" i="49"/>
  <c r="E19" i="49"/>
  <c r="D22" i="49"/>
  <c r="X22" i="49"/>
  <c r="E20" i="49"/>
  <c r="E15" i="49"/>
  <c r="I7" i="49"/>
  <c r="X7" i="49"/>
  <c r="I10" i="49"/>
  <c r="X10" i="49"/>
  <c r="I8" i="49"/>
  <c r="X8" i="49"/>
  <c r="I9" i="49"/>
  <c r="X9" i="49"/>
  <c r="X4" i="49"/>
  <c r="F16" i="49"/>
  <c r="E18" i="49"/>
  <c r="C17" i="49"/>
  <c r="G17" i="49"/>
  <c r="C16" i="49"/>
  <c r="I16" i="49"/>
  <c r="Z31" i="31"/>
  <c r="AA31" i="31" s="1"/>
  <c r="AC31" i="31" s="1"/>
  <c r="U29" i="31"/>
  <c r="V29" i="31" s="1"/>
  <c r="W29" i="31" s="1"/>
  <c r="Z29" i="31"/>
  <c r="AA29" i="31" s="1"/>
  <c r="AB29" i="31" s="1"/>
  <c r="U30" i="31"/>
  <c r="V30" i="31" s="1"/>
  <c r="Z30" i="31"/>
  <c r="AA30" i="31" s="1"/>
  <c r="AC30" i="31" s="1"/>
  <c r="U31" i="31"/>
  <c r="V31" i="31" s="1"/>
  <c r="X31" i="31" s="1"/>
  <c r="J11" i="46"/>
  <c r="G15" i="49"/>
  <c r="C15" i="49"/>
  <c r="H22" i="31"/>
  <c r="I22" i="31" s="1"/>
  <c r="K22" i="31" s="1"/>
  <c r="J26" i="31"/>
  <c r="K34" i="31"/>
  <c r="M11" i="49"/>
  <c r="F11" i="49"/>
  <c r="Z32" i="31"/>
  <c r="AA32" i="31" s="1"/>
  <c r="U32" i="31"/>
  <c r="V32" i="31" s="1"/>
  <c r="C56" i="49"/>
  <c r="F44" i="49"/>
  <c r="N43" i="49"/>
  <c r="C43" i="49"/>
  <c r="E41" i="49"/>
  <c r="I41" i="49"/>
  <c r="C39" i="49"/>
  <c r="E39" i="49"/>
  <c r="E43" i="49"/>
  <c r="I43" i="49"/>
  <c r="D43" i="49"/>
  <c r="G43" i="49"/>
  <c r="I31" i="49"/>
  <c r="E31" i="49"/>
  <c r="C31" i="49"/>
  <c r="AI31" i="49" s="1"/>
  <c r="N368" i="5"/>
  <c r="N367" i="5"/>
  <c r="E33" i="49"/>
  <c r="N369" i="5"/>
  <c r="D27" i="49"/>
  <c r="E27" i="49"/>
  <c r="C24" i="49"/>
  <c r="I20" i="49"/>
  <c r="I19" i="49"/>
  <c r="C19" i="49"/>
  <c r="C20" i="49"/>
  <c r="C18" i="49"/>
  <c r="F18" i="49"/>
  <c r="G18" i="49"/>
  <c r="I18" i="49"/>
  <c r="I11" i="46"/>
  <c r="G9" i="49"/>
  <c r="F8" i="49"/>
  <c r="M8" i="49"/>
  <c r="D9" i="49"/>
  <c r="J9" i="49"/>
  <c r="C9" i="49"/>
  <c r="C5" i="49"/>
  <c r="I5" i="49"/>
  <c r="E3" i="49"/>
  <c r="J3" i="49"/>
  <c r="I3" i="49"/>
  <c r="D5" i="49"/>
  <c r="K6" i="49"/>
  <c r="I6" i="49"/>
  <c r="J4" i="49"/>
  <c r="I4" i="49"/>
  <c r="E5" i="49"/>
  <c r="J5" i="49"/>
  <c r="L5" i="49"/>
  <c r="K4" i="49"/>
  <c r="L4" i="49"/>
  <c r="N10" i="49"/>
  <c r="F22" i="30"/>
  <c r="E10" i="49"/>
  <c r="K10" i="49"/>
  <c r="L10" i="49"/>
  <c r="N9" i="49"/>
  <c r="E7" i="49"/>
  <c r="D7" i="49"/>
  <c r="G8" i="49"/>
  <c r="J10" i="49"/>
  <c r="M10" i="49"/>
  <c r="M7" i="49"/>
  <c r="C10" i="49"/>
  <c r="I14" i="49"/>
  <c r="M14" i="49"/>
  <c r="F12" i="49"/>
  <c r="E16" i="49"/>
  <c r="G16" i="49"/>
  <c r="I65" i="49"/>
  <c r="D65" i="49"/>
  <c r="D63" i="49"/>
  <c r="D64" i="49"/>
  <c r="I66" i="49"/>
  <c r="E66" i="49"/>
  <c r="D20" i="49"/>
  <c r="E23" i="49"/>
  <c r="D26" i="49"/>
  <c r="F26" i="49"/>
  <c r="I26" i="49"/>
  <c r="E26" i="49"/>
  <c r="F23" i="49"/>
  <c r="F24" i="49"/>
  <c r="C30" i="49"/>
  <c r="I30" i="49"/>
  <c r="E30" i="49"/>
  <c r="S32" i="49"/>
  <c r="N364" i="5"/>
  <c r="C32" i="49"/>
  <c r="AI32" i="49" s="1"/>
  <c r="D32" i="49"/>
  <c r="I32" i="49"/>
  <c r="S31" i="49"/>
  <c r="G49" i="49"/>
  <c r="I48" i="49"/>
  <c r="E49" i="49"/>
  <c r="C49" i="49"/>
  <c r="E51" i="49"/>
  <c r="E53" i="49"/>
  <c r="I51" i="49"/>
  <c r="E55" i="49"/>
  <c r="E57" i="49"/>
  <c r="D57" i="49"/>
  <c r="E56" i="49"/>
  <c r="D55" i="49"/>
  <c r="E58" i="49"/>
  <c r="E59" i="49"/>
  <c r="D60" i="49"/>
  <c r="L3" i="49"/>
  <c r="D4" i="49"/>
  <c r="C3" i="49"/>
  <c r="D3" i="49"/>
  <c r="C4" i="49"/>
  <c r="K5" i="49"/>
  <c r="C8" i="49"/>
  <c r="E8" i="49"/>
  <c r="N8" i="49"/>
  <c r="L8" i="49"/>
  <c r="J8" i="49"/>
  <c r="D8" i="49"/>
  <c r="F14" i="49"/>
  <c r="K11" i="42"/>
  <c r="E11" i="49"/>
  <c r="C12" i="49"/>
  <c r="E14" i="49"/>
  <c r="I11" i="49"/>
  <c r="C11" i="49"/>
  <c r="E12" i="49"/>
  <c r="M12" i="49"/>
  <c r="L11" i="49"/>
  <c r="J11" i="49"/>
  <c r="C22" i="30"/>
  <c r="F10" i="49"/>
  <c r="K3" i="49"/>
  <c r="E6" i="49"/>
  <c r="L6" i="49"/>
  <c r="J6" i="49"/>
  <c r="C34" i="49"/>
  <c r="AI34" i="49" s="1"/>
  <c r="I34" i="49"/>
  <c r="N366" i="5"/>
  <c r="E34" i="49"/>
  <c r="F43" i="49"/>
  <c r="C45" i="49"/>
  <c r="E45" i="49"/>
  <c r="I45" i="49"/>
  <c r="N45" i="49"/>
  <c r="F45" i="49"/>
  <c r="D45" i="49"/>
  <c r="G46" i="49"/>
  <c r="B11" i="52"/>
  <c r="J11" i="57"/>
  <c r="F28" i="30" s="1"/>
  <c r="I35" i="49"/>
  <c r="G35" i="49"/>
  <c r="D35" i="49"/>
  <c r="E35" i="49"/>
  <c r="F35" i="49"/>
  <c r="C35" i="49"/>
  <c r="G38" i="49"/>
  <c r="C38" i="49"/>
  <c r="G24" i="49"/>
  <c r="I24" i="49"/>
  <c r="E24" i="49"/>
  <c r="L11" i="53"/>
  <c r="F25" i="30" s="1"/>
  <c r="G10" i="49"/>
  <c r="D62" i="49"/>
  <c r="E62" i="49"/>
  <c r="C62" i="49"/>
  <c r="C61" i="49"/>
  <c r="C60" i="49"/>
  <c r="E60" i="49"/>
  <c r="C48" i="49"/>
  <c r="T48" i="49"/>
  <c r="F48" i="49"/>
  <c r="G48" i="49"/>
  <c r="F49" i="49"/>
  <c r="G50" i="49"/>
  <c r="D50" i="49"/>
  <c r="C50" i="49"/>
  <c r="I50" i="49"/>
  <c r="F50" i="49"/>
  <c r="T50" i="49"/>
  <c r="I49" i="49"/>
  <c r="D49" i="49"/>
  <c r="C11" i="58"/>
  <c r="F31" i="30" s="1"/>
  <c r="B11" i="58"/>
  <c r="C31" i="30" s="1"/>
  <c r="F46" i="49"/>
  <c r="C46" i="49"/>
  <c r="N46" i="49"/>
  <c r="I46" i="49"/>
  <c r="E46" i="49"/>
  <c r="G44" i="49"/>
  <c r="C11" i="52"/>
  <c r="F42" i="49"/>
  <c r="F41" i="49"/>
  <c r="E40" i="49"/>
  <c r="G42" i="49"/>
  <c r="E42" i="49"/>
  <c r="I42" i="49"/>
  <c r="D42" i="49"/>
  <c r="C41" i="49"/>
  <c r="G41" i="49"/>
  <c r="D41" i="49"/>
  <c r="D40" i="49"/>
  <c r="G40" i="49"/>
  <c r="F40" i="49"/>
  <c r="I40" i="49"/>
  <c r="I11" i="57"/>
  <c r="E28" i="30" s="1"/>
  <c r="I38" i="49"/>
  <c r="F38" i="49"/>
  <c r="E36" i="49"/>
  <c r="G36" i="49"/>
  <c r="I36" i="49"/>
  <c r="F36" i="49"/>
  <c r="C36" i="49"/>
  <c r="D38" i="49"/>
  <c r="E38" i="49"/>
  <c r="I37" i="49"/>
  <c r="C37" i="49"/>
  <c r="F37" i="49"/>
  <c r="G37" i="49"/>
  <c r="E37" i="49"/>
  <c r="C30" i="30"/>
  <c r="F30" i="30"/>
  <c r="S34" i="49"/>
  <c r="D29" i="49"/>
  <c r="I29" i="49"/>
  <c r="E29" i="49"/>
  <c r="D265" i="5"/>
  <c r="D263" i="5"/>
  <c r="I28" i="49"/>
  <c r="D28" i="49"/>
  <c r="G25" i="49"/>
  <c r="F25" i="49"/>
  <c r="E25" i="49"/>
  <c r="K11" i="53"/>
  <c r="E25" i="30" s="1"/>
  <c r="C25" i="49"/>
  <c r="D25" i="49"/>
  <c r="E326" i="5"/>
  <c r="O19" i="49" s="1"/>
  <c r="E329" i="5"/>
  <c r="O22" i="49" s="1"/>
  <c r="E22" i="49"/>
  <c r="I22" i="49"/>
  <c r="D21" i="49"/>
  <c r="I21" i="49"/>
  <c r="C21" i="49"/>
  <c r="E328" i="5"/>
  <c r="O21" i="49" s="1"/>
  <c r="AI54" i="49" l="1"/>
  <c r="AI53" i="49"/>
  <c r="AI52" i="49"/>
  <c r="AI51" i="49"/>
  <c r="L187" i="5"/>
  <c r="L195" i="5"/>
  <c r="L186" i="5"/>
  <c r="L194" i="5"/>
  <c r="L193" i="5"/>
  <c r="L201" i="5"/>
  <c r="M231" i="5" a="1"/>
  <c r="M231" i="5" s="1"/>
  <c r="L192" i="5"/>
  <c r="L191" i="5"/>
  <c r="L190" i="5"/>
  <c r="L196" i="5"/>
  <c r="L189" i="5"/>
  <c r="L197" i="5"/>
  <c r="L188" i="5"/>
  <c r="L202" i="5"/>
  <c r="L198" i="5"/>
  <c r="L199" i="5"/>
  <c r="L200" i="5"/>
  <c r="L203" i="5"/>
  <c r="K185" i="5"/>
  <c r="L184" i="5"/>
  <c r="M183" i="5"/>
  <c r="K186" i="5"/>
  <c r="L185" i="5"/>
  <c r="M184" i="5"/>
  <c r="N183" i="5"/>
  <c r="M188" i="5"/>
  <c r="M196" i="5"/>
  <c r="M232" i="5" a="1"/>
  <c r="M232" i="5" s="1"/>
  <c r="M187" i="5"/>
  <c r="M195" i="5"/>
  <c r="M186" i="5"/>
  <c r="M194" i="5"/>
  <c r="M185" i="5"/>
  <c r="M193" i="5"/>
  <c r="M192" i="5"/>
  <c r="M200" i="5"/>
  <c r="M191" i="5"/>
  <c r="M190" i="5"/>
  <c r="M189" i="5"/>
  <c r="M201" i="5"/>
  <c r="M198" i="5"/>
  <c r="M199" i="5"/>
  <c r="M203" i="5"/>
  <c r="M202" i="5"/>
  <c r="M197" i="5"/>
  <c r="N189" i="5"/>
  <c r="N188" i="5"/>
  <c r="N187" i="5"/>
  <c r="N195" i="5"/>
  <c r="N203" i="5"/>
  <c r="N190" i="5"/>
  <c r="N186" i="5"/>
  <c r="N194" i="5"/>
  <c r="N185" i="5"/>
  <c r="N193" i="5"/>
  <c r="N184" i="5"/>
  <c r="N192" i="5"/>
  <c r="N191" i="5"/>
  <c r="N199" i="5"/>
  <c r="M233" i="5" a="1"/>
  <c r="M233" i="5" s="1"/>
  <c r="N202" i="5"/>
  <c r="N200" i="5"/>
  <c r="N198" i="5"/>
  <c r="N196" i="5"/>
  <c r="N201" i="5"/>
  <c r="N197" i="5"/>
  <c r="L230" i="5" a="1"/>
  <c r="L230" i="5" s="1"/>
  <c r="K194" i="5"/>
  <c r="K202" i="5"/>
  <c r="K193" i="5"/>
  <c r="K192" i="5"/>
  <c r="K195" i="5"/>
  <c r="K191" i="5"/>
  <c r="K190" i="5"/>
  <c r="K198" i="5"/>
  <c r="M230" i="5" a="1"/>
  <c r="M230" i="5" s="1"/>
  <c r="K189" i="5"/>
  <c r="K197" i="5"/>
  <c r="K187" i="5"/>
  <c r="K188" i="5"/>
  <c r="K196" i="5"/>
  <c r="K200" i="5"/>
  <c r="K201" i="5"/>
  <c r="K203" i="5"/>
  <c r="K199" i="5"/>
  <c r="K184" i="5"/>
  <c r="L183" i="5"/>
  <c r="K183" i="5"/>
  <c r="L232" i="5" a="1"/>
  <c r="L232" i="5" s="1"/>
  <c r="L233" i="5" a="1"/>
  <c r="L233" i="5" s="1"/>
  <c r="L231" i="5" a="1"/>
  <c r="L231" i="5" s="1"/>
  <c r="J326" i="5"/>
  <c r="J8" i="47" s="1"/>
  <c r="J327" i="5"/>
  <c r="J9" i="47" s="1"/>
  <c r="J329" i="5"/>
  <c r="J11" i="47" s="1"/>
  <c r="J328" i="5"/>
  <c r="J10" i="47" s="1"/>
  <c r="B232" i="5"/>
  <c r="B233" i="5"/>
  <c r="B230" i="5"/>
  <c r="B231" i="5"/>
  <c r="J265" i="5"/>
  <c r="H264" i="5"/>
  <c r="H9" i="54" s="1"/>
  <c r="G264" i="5"/>
  <c r="G9" i="54" s="1"/>
  <c r="J10" i="59"/>
  <c r="G51" i="49"/>
  <c r="J7" i="59"/>
  <c r="J8" i="59"/>
  <c r="J9" i="59"/>
  <c r="C10" i="41"/>
  <c r="M11" i="53"/>
  <c r="N11" i="40"/>
  <c r="H262" i="5"/>
  <c r="H7" i="54" s="1"/>
  <c r="AH27" i="49" s="1"/>
  <c r="G262" i="5"/>
  <c r="G7" i="54" s="1"/>
  <c r="AI27" i="49" s="1"/>
  <c r="J263" i="5"/>
  <c r="J8" i="54" s="1"/>
  <c r="H11" i="59"/>
  <c r="G11" i="59"/>
  <c r="B49" i="31"/>
  <c r="E49" i="31" s="1"/>
  <c r="J49" i="31" s="1"/>
  <c r="J48" i="31" s="1"/>
  <c r="K48" i="31" s="1"/>
  <c r="B50" i="31"/>
  <c r="E50" i="31" s="1"/>
  <c r="J50" i="31" s="1"/>
  <c r="G20" i="49"/>
  <c r="G22" i="49"/>
  <c r="F31" i="49"/>
  <c r="C9" i="41"/>
  <c r="J24" i="31"/>
  <c r="F34" i="49"/>
  <c r="F33" i="49"/>
  <c r="H28" i="30"/>
  <c r="AC29" i="31"/>
  <c r="AD29" i="31" s="1"/>
  <c r="AE29" i="31" s="1"/>
  <c r="AG29" i="31" s="1"/>
  <c r="AH29" i="31" s="1"/>
  <c r="E29" i="31" s="1"/>
  <c r="J29" i="31" s="1"/>
  <c r="X29" i="31"/>
  <c r="Y29" i="31" s="1"/>
  <c r="H25" i="30"/>
  <c r="C39" i="31"/>
  <c r="C37" i="31"/>
  <c r="F24" i="30"/>
  <c r="D39" i="31" s="1"/>
  <c r="K39" i="31" s="1"/>
  <c r="H31" i="30"/>
  <c r="L8" i="55"/>
  <c r="H24" i="30"/>
  <c r="H22" i="30"/>
  <c r="AB31" i="31"/>
  <c r="AD31" i="31" s="1"/>
  <c r="AE31" i="31" s="1"/>
  <c r="AG31" i="31" s="1"/>
  <c r="AH31" i="31" s="1"/>
  <c r="E31" i="31" s="1"/>
  <c r="J31" i="31" s="1"/>
  <c r="AB30" i="31"/>
  <c r="AD30" i="31" s="1"/>
  <c r="AE30" i="31" s="1"/>
  <c r="AG30" i="31" s="1"/>
  <c r="AH30" i="31" s="1"/>
  <c r="E30" i="31" s="1"/>
  <c r="J30" i="31" s="1"/>
  <c r="W31" i="31"/>
  <c r="Y31" i="31" s="1"/>
  <c r="X30" i="31"/>
  <c r="W30" i="31"/>
  <c r="W32" i="31"/>
  <c r="X32" i="31"/>
  <c r="AC32" i="31"/>
  <c r="AB32" i="31"/>
  <c r="G52" i="49"/>
  <c r="I11" i="59"/>
  <c r="F32" i="30" s="1"/>
  <c r="G53" i="49"/>
  <c r="F11" i="59"/>
  <c r="G54" i="49"/>
  <c r="G33" i="49"/>
  <c r="G34" i="49"/>
  <c r="G31" i="49"/>
  <c r="F32" i="49"/>
  <c r="G32" i="49"/>
  <c r="K11" i="55"/>
  <c r="F27" i="30" l="1"/>
  <c r="Q232" i="5"/>
  <c r="O9" i="50" s="1"/>
  <c r="Q233" i="5"/>
  <c r="O10" i="50" s="1"/>
  <c r="Q230" i="5"/>
  <c r="O7" i="50" s="1"/>
  <c r="H265" i="5"/>
  <c r="H10" i="54" s="1"/>
  <c r="J10" i="54"/>
  <c r="C7" i="41"/>
  <c r="M7" i="42"/>
  <c r="Q231" i="5"/>
  <c r="O8" i="50" s="1"/>
  <c r="C8" i="41"/>
  <c r="G265" i="5"/>
  <c r="G10" i="54" s="1"/>
  <c r="I264" i="5"/>
  <c r="I9" i="54" s="1"/>
  <c r="D51" i="31"/>
  <c r="I262" i="5"/>
  <c r="I7" i="54" s="1"/>
  <c r="G27" i="49"/>
  <c r="H263" i="5"/>
  <c r="H8" i="54" s="1"/>
  <c r="G263" i="5"/>
  <c r="G8" i="54" s="1"/>
  <c r="D49" i="31"/>
  <c r="I12" i="47"/>
  <c r="G30" i="49"/>
  <c r="K12" i="47"/>
  <c r="F22" i="49"/>
  <c r="F21" i="49"/>
  <c r="M9" i="42"/>
  <c r="G13" i="49"/>
  <c r="M10" i="42"/>
  <c r="G14" i="49"/>
  <c r="M8" i="42"/>
  <c r="G12" i="49"/>
  <c r="G21" i="49"/>
  <c r="L7" i="55"/>
  <c r="L9" i="55"/>
  <c r="L10" i="55"/>
  <c r="G19" i="49"/>
  <c r="D38" i="31"/>
  <c r="K38" i="31" s="1"/>
  <c r="H32" i="30"/>
  <c r="D50" i="31"/>
  <c r="Y30" i="31"/>
  <c r="AD32" i="31"/>
  <c r="AE32" i="31" s="1"/>
  <c r="AG32" i="31" s="1"/>
  <c r="AH32" i="31" s="1"/>
  <c r="E32" i="31" s="1"/>
  <c r="J32" i="31" s="1"/>
  <c r="J28" i="31" s="1"/>
  <c r="Y32" i="31"/>
  <c r="F29" i="30" l="1"/>
  <c r="D40" i="31" s="1"/>
  <c r="K40" i="31" s="1"/>
  <c r="D29" i="30"/>
  <c r="O11" i="50"/>
  <c r="I265" i="5"/>
  <c r="I10" i="54" s="1"/>
  <c r="K10" i="54" s="1"/>
  <c r="F30" i="49"/>
  <c r="C11" i="41"/>
  <c r="C51" i="31"/>
  <c r="L11" i="42"/>
  <c r="F21" i="30" s="1"/>
  <c r="D37" i="31" s="1"/>
  <c r="K37" i="31" s="1"/>
  <c r="G11" i="49"/>
  <c r="L11" i="55"/>
  <c r="F29" i="49"/>
  <c r="G29" i="49"/>
  <c r="Z71" i="5"/>
  <c r="I12" i="62" s="1"/>
  <c r="AH64" i="49" s="1"/>
  <c r="Y71" i="5"/>
  <c r="H12" i="62" s="1"/>
  <c r="AI64" i="49" s="1"/>
  <c r="Z72" i="5"/>
  <c r="I13" i="62" s="1"/>
  <c r="AH65" i="49" s="1"/>
  <c r="Y72" i="5"/>
  <c r="H13" i="62" s="1"/>
  <c r="AI65" i="49" s="1"/>
  <c r="H11" i="54"/>
  <c r="G11" i="54"/>
  <c r="I263" i="5"/>
  <c r="I8" i="54" s="1"/>
  <c r="G28" i="49"/>
  <c r="H12" i="47"/>
  <c r="C29" i="30" s="1"/>
  <c r="C40" i="31" s="1"/>
  <c r="J12" i="47"/>
  <c r="E29" i="30" s="1"/>
  <c r="F19" i="49"/>
  <c r="L11" i="47"/>
  <c r="L8" i="47"/>
  <c r="F20" i="49"/>
  <c r="L9" i="47"/>
  <c r="L10" i="47"/>
  <c r="H21" i="30"/>
  <c r="P231" i="5"/>
  <c r="M8" i="50" s="1"/>
  <c r="O231" i="5"/>
  <c r="L8" i="50" s="1"/>
  <c r="P230" i="5"/>
  <c r="M7" i="50" s="1"/>
  <c r="O230" i="5"/>
  <c r="L7" i="50" s="1"/>
  <c r="P233" i="5"/>
  <c r="M10" i="50" s="1"/>
  <c r="O233" i="5"/>
  <c r="L10" i="50" s="1"/>
  <c r="P232" i="5"/>
  <c r="M9" i="50" s="1"/>
  <c r="O232" i="5"/>
  <c r="L9" i="50" s="1"/>
  <c r="H27" i="30"/>
  <c r="G65" i="49"/>
  <c r="L11" i="50" l="1"/>
  <c r="M11" i="50"/>
  <c r="F20" i="30" s="1"/>
  <c r="J11" i="54"/>
  <c r="F26" i="30" s="1"/>
  <c r="K9" i="54"/>
  <c r="AA72" i="5"/>
  <c r="J13" i="62" s="1"/>
  <c r="AA71" i="5"/>
  <c r="J12" i="62" s="1"/>
  <c r="Z73" i="5"/>
  <c r="I14" i="62" s="1"/>
  <c r="Y73" i="5"/>
  <c r="H14" i="62" s="1"/>
  <c r="Z70" i="5"/>
  <c r="I11" i="62" s="1"/>
  <c r="AH63" i="49" s="1"/>
  <c r="Y70" i="5"/>
  <c r="H11" i="62" s="1"/>
  <c r="AI63" i="49" s="1"/>
  <c r="G66" i="49"/>
  <c r="C49" i="31"/>
  <c r="C50" i="31"/>
  <c r="H29" i="30"/>
  <c r="N233" i="5"/>
  <c r="N10" i="50" s="1"/>
  <c r="P10" i="50" s="1"/>
  <c r="N232" i="5"/>
  <c r="N9" i="50" s="1"/>
  <c r="P9" i="50" s="1"/>
  <c r="N231" i="5"/>
  <c r="N8" i="50" s="1"/>
  <c r="P8" i="50" s="1"/>
  <c r="N230" i="5"/>
  <c r="N7" i="50" s="1"/>
  <c r="P7" i="50" s="1"/>
  <c r="G64" i="49"/>
  <c r="G5" i="49"/>
  <c r="G3" i="49"/>
  <c r="G4" i="49"/>
  <c r="G6" i="49"/>
  <c r="H15" i="62" l="1"/>
  <c r="C23" i="30" s="1"/>
  <c r="F5" i="49"/>
  <c r="F4" i="49"/>
  <c r="I15" i="62"/>
  <c r="D23" i="30" s="1"/>
  <c r="D36" i="30" s="1"/>
  <c r="L12" i="62"/>
  <c r="L13" i="62"/>
  <c r="AA73" i="5"/>
  <c r="J14" i="62" s="1"/>
  <c r="AA70" i="5"/>
  <c r="J11" i="62" s="1"/>
  <c r="F28" i="49"/>
  <c r="K8" i="54"/>
  <c r="K7" i="54"/>
  <c r="F27" i="49"/>
  <c r="I11" i="54"/>
  <c r="G63" i="49"/>
  <c r="F23" i="30"/>
  <c r="F36" i="30" s="1"/>
  <c r="D34" i="31"/>
  <c r="D35" i="31"/>
  <c r="K35" i="31" s="1"/>
  <c r="F6" i="49" l="1"/>
  <c r="J15" i="62"/>
  <c r="E23" i="30" s="1"/>
  <c r="F64" i="49"/>
  <c r="F65" i="49"/>
  <c r="F63" i="49"/>
  <c r="F66" i="49"/>
  <c r="L11" i="62"/>
  <c r="H26" i="30"/>
  <c r="F3" i="49"/>
  <c r="C20" i="30"/>
  <c r="C34" i="31" s="1"/>
  <c r="P11" i="50" l="1"/>
  <c r="L14" i="62"/>
  <c r="H23" i="30" s="1"/>
  <c r="H20" i="30"/>
  <c r="N11" i="50"/>
  <c r="E20" i="30" s="1"/>
  <c r="E36" i="30" s="1"/>
  <c r="C36" i="30"/>
  <c r="C35" i="31"/>
  <c r="Y57" i="49"/>
  <c r="Y56" i="49"/>
  <c r="Y55" i="49"/>
  <c r="Y58" i="49"/>
  <c r="H36" i="30" l="1"/>
  <c r="G36" i="30" s="1"/>
  <c r="L15" i="62"/>
  <c r="H45" i="49" l="1"/>
  <c r="AQ45" i="49" s="1"/>
  <c r="H42" i="49"/>
  <c r="AQ42" i="49" s="1"/>
  <c r="H43" i="49"/>
  <c r="AQ43" i="49" s="1"/>
  <c r="H47" i="49"/>
  <c r="Y47" i="49" s="1"/>
  <c r="H50" i="49"/>
  <c r="AQ50" i="49" s="1"/>
  <c r="H29" i="49"/>
  <c r="AQ29" i="49" s="1"/>
  <c r="H48" i="49"/>
  <c r="AQ48" i="49" s="1"/>
  <c r="H41" i="49"/>
  <c r="Y41" i="49" s="1"/>
  <c r="H44" i="49"/>
  <c r="AQ44" i="49" s="1"/>
  <c r="H46" i="49"/>
  <c r="AQ46" i="49" s="1"/>
  <c r="H30" i="49"/>
  <c r="Y30" i="49" s="1"/>
  <c r="H28" i="49"/>
  <c r="AQ28" i="49" s="1"/>
  <c r="H49" i="49"/>
  <c r="AQ49" i="49" s="1"/>
  <c r="Y48" i="49" l="1"/>
  <c r="Y46" i="49"/>
  <c r="Y29" i="49"/>
  <c r="Y43" i="49"/>
  <c r="Y45" i="49"/>
  <c r="AQ47" i="49"/>
  <c r="AQ30" i="49"/>
  <c r="Y50" i="49"/>
  <c r="Y49" i="49"/>
  <c r="Y44" i="49"/>
  <c r="Y28" i="49"/>
  <c r="AQ41" i="49"/>
  <c r="Y42" i="49"/>
  <c r="K10" i="59"/>
  <c r="H54" i="49" s="1"/>
  <c r="L8" i="57"/>
  <c r="H40" i="49" s="1"/>
  <c r="Y40" i="49" s="1"/>
  <c r="E7" i="52"/>
  <c r="O497" i="5"/>
  <c r="N10" i="66" s="1"/>
  <c r="H62" i="49" s="1"/>
  <c r="K8" i="59"/>
  <c r="H52" i="49" s="1"/>
  <c r="O494" i="5"/>
  <c r="N7" i="66" s="1"/>
  <c r="M11" i="47"/>
  <c r="H22" i="49" s="1"/>
  <c r="O496" i="5"/>
  <c r="N9" i="66" s="1"/>
  <c r="H61" i="49" s="1"/>
  <c r="M9" i="55"/>
  <c r="H33" i="49" s="1"/>
  <c r="M8" i="55"/>
  <c r="H32" i="49" s="1"/>
  <c r="AQ32" i="49" s="1"/>
  <c r="K7" i="59"/>
  <c r="O495" i="5"/>
  <c r="N8" i="66" s="1"/>
  <c r="H60" i="49" s="1"/>
  <c r="Y60" i="49" s="1"/>
  <c r="N9" i="42"/>
  <c r="H13" i="49" s="1"/>
  <c r="M10" i="47"/>
  <c r="M10" i="55"/>
  <c r="H34" i="49" s="1"/>
  <c r="AQ34" i="49" s="1"/>
  <c r="L10" i="46"/>
  <c r="H18" i="49" s="1"/>
  <c r="M8" i="47"/>
  <c r="H19" i="49" s="1"/>
  <c r="Q8" i="50"/>
  <c r="H4" i="49" s="1"/>
  <c r="M9" i="47"/>
  <c r="H20" i="49" s="1"/>
  <c r="Q10" i="50"/>
  <c r="H6" i="49" s="1"/>
  <c r="Y6" i="49" s="1"/>
  <c r="O9" i="40"/>
  <c r="H9" i="49" s="1"/>
  <c r="AQ9" i="49" s="1"/>
  <c r="M13" i="62"/>
  <c r="H65" i="49" s="1"/>
  <c r="AQ65" i="49" s="1"/>
  <c r="L9" i="46"/>
  <c r="H17" i="49" s="1"/>
  <c r="O8" i="40"/>
  <c r="H8" i="49" s="1"/>
  <c r="M14" i="62"/>
  <c r="H66" i="49" s="1"/>
  <c r="L8" i="46"/>
  <c r="N8" i="53"/>
  <c r="H24" i="49" s="1"/>
  <c r="O10" i="40"/>
  <c r="H10" i="49" s="1"/>
  <c r="AQ10" i="49" s="1"/>
  <c r="N7" i="56"/>
  <c r="N7" i="42"/>
  <c r="H11" i="49" s="1"/>
  <c r="Y11" i="49" s="1"/>
  <c r="N10" i="53"/>
  <c r="H26" i="49" s="1"/>
  <c r="Y26" i="49" s="1"/>
  <c r="N9" i="56"/>
  <c r="H37" i="49" s="1"/>
  <c r="AQ37" i="49" s="1"/>
  <c r="N9" i="53"/>
  <c r="H25" i="49" s="1"/>
  <c r="M7" i="55"/>
  <c r="N10" i="56"/>
  <c r="H38" i="49" s="1"/>
  <c r="AQ38" i="49" s="1"/>
  <c r="L7" i="46"/>
  <c r="H15" i="49" s="1"/>
  <c r="N8" i="42"/>
  <c r="H12" i="49" s="1"/>
  <c r="AQ12" i="49" s="1"/>
  <c r="N10" i="42"/>
  <c r="H14" i="49" s="1"/>
  <c r="L7" i="57"/>
  <c r="H39" i="49" s="1"/>
  <c r="Y39" i="49" s="1"/>
  <c r="Q9" i="50"/>
  <c r="H5" i="49" s="1"/>
  <c r="N8" i="56"/>
  <c r="H36" i="49" s="1"/>
  <c r="AQ36" i="49" s="1"/>
  <c r="I472" i="5"/>
  <c r="L10" i="65" s="1"/>
  <c r="M11" i="62"/>
  <c r="N7" i="53"/>
  <c r="H23" i="49" s="1"/>
  <c r="O7" i="40"/>
  <c r="H7" i="49" s="1"/>
  <c r="L7" i="54"/>
  <c r="K9" i="59"/>
  <c r="H53" i="49" s="1"/>
  <c r="M12" i="62"/>
  <c r="H64" i="49" s="1"/>
  <c r="E8" i="52"/>
  <c r="K10" i="64"/>
  <c r="E10" i="58"/>
  <c r="L9" i="57"/>
  <c r="E7" i="58"/>
  <c r="E8" i="58"/>
  <c r="E9" i="52"/>
  <c r="I469" i="5"/>
  <c r="L7" i="65" s="1"/>
  <c r="L10" i="54"/>
  <c r="L10" i="57"/>
  <c r="K7" i="64"/>
  <c r="K8" i="64"/>
  <c r="L8" i="54"/>
  <c r="I471" i="5"/>
  <c r="L9" i="65" s="1"/>
  <c r="K9" i="64"/>
  <c r="E10" i="52"/>
  <c r="E9" i="58"/>
  <c r="L9" i="54"/>
  <c r="Q7" i="50"/>
  <c r="I470" i="5"/>
  <c r="L8" i="65" s="1"/>
  <c r="K11" i="59" l="1"/>
  <c r="G20" i="30"/>
  <c r="E11" i="58"/>
  <c r="L11" i="46"/>
  <c r="L11" i="54"/>
  <c r="H16" i="49"/>
  <c r="G27" i="30"/>
  <c r="G26" i="30"/>
  <c r="L11" i="57"/>
  <c r="Y36" i="49"/>
  <c r="H27" i="49"/>
  <c r="AQ27" i="49" s="1"/>
  <c r="AQ39" i="49"/>
  <c r="N11" i="53"/>
  <c r="Y12" i="49"/>
  <c r="H3" i="49"/>
  <c r="AQ3" i="49" s="1"/>
  <c r="G29" i="30"/>
  <c r="G30" i="30"/>
  <c r="N11" i="42"/>
  <c r="L11" i="65"/>
  <c r="G33" i="30" s="1"/>
  <c r="K11" i="64"/>
  <c r="M15" i="62"/>
  <c r="H35" i="49"/>
  <c r="G31" i="30"/>
  <c r="AQ52" i="49"/>
  <c r="Y52" i="49"/>
  <c r="Y54" i="49"/>
  <c r="AQ54" i="49"/>
  <c r="AQ24" i="49"/>
  <c r="Y24" i="49"/>
  <c r="AQ4" i="49"/>
  <c r="Y4" i="49"/>
  <c r="AQ5" i="49"/>
  <c r="Y5" i="49"/>
  <c r="Y19" i="49"/>
  <c r="AQ19" i="49"/>
  <c r="AQ33" i="49"/>
  <c r="Y33" i="49"/>
  <c r="Y20" i="49"/>
  <c r="AQ20" i="49"/>
  <c r="AQ18" i="49"/>
  <c r="Y18" i="49"/>
  <c r="Y15" i="49"/>
  <c r="AQ15" i="49"/>
  <c r="Y62" i="49"/>
  <c r="AQ62" i="49"/>
  <c r="Y23" i="49"/>
  <c r="AQ23" i="49"/>
  <c r="Y14" i="49"/>
  <c r="AQ14" i="49"/>
  <c r="Y66" i="49"/>
  <c r="AQ66" i="49"/>
  <c r="Y61" i="49"/>
  <c r="AQ61" i="49"/>
  <c r="Y22" i="49"/>
  <c r="AQ22" i="49"/>
  <c r="AQ25" i="49"/>
  <c r="Y25" i="49"/>
  <c r="AQ64" i="49"/>
  <c r="Y64" i="49"/>
  <c r="Y17" i="49"/>
  <c r="AQ17" i="49"/>
  <c r="AQ13" i="49"/>
  <c r="Y13" i="49"/>
  <c r="N11" i="66"/>
  <c r="G34" i="30" s="1"/>
  <c r="AQ53" i="49"/>
  <c r="Y53" i="49"/>
  <c r="AQ8" i="49"/>
  <c r="Y8" i="49"/>
  <c r="Y7" i="49"/>
  <c r="AQ7" i="49"/>
  <c r="M11" i="55"/>
  <c r="AQ26" i="49"/>
  <c r="AQ11" i="49"/>
  <c r="Y9" i="49"/>
  <c r="H21" i="49"/>
  <c r="H59" i="49"/>
  <c r="H51" i="49"/>
  <c r="H63" i="49"/>
  <c r="H31" i="49"/>
  <c r="AQ6" i="49"/>
  <c r="M12" i="47"/>
  <c r="G32" i="30"/>
  <c r="E11" i="52"/>
  <c r="G22" i="30"/>
  <c r="G24" i="30"/>
  <c r="O11" i="40"/>
  <c r="G35" i="30"/>
  <c r="G21" i="30"/>
  <c r="Y10" i="49"/>
  <c r="AQ60" i="49"/>
  <c r="Y32" i="49"/>
  <c r="AQ40" i="49"/>
  <c r="G28" i="30"/>
  <c r="Q11" i="50"/>
  <c r="Y34" i="49"/>
  <c r="G23" i="30"/>
  <c r="Y38" i="49"/>
  <c r="Y37" i="49"/>
  <c r="N11" i="56"/>
  <c r="Y65" i="49"/>
  <c r="G25" i="30"/>
  <c r="AQ16" i="49" l="1"/>
  <c r="Y16" i="49"/>
  <c r="Y3" i="49"/>
  <c r="Y27" i="49"/>
  <c r="Y35" i="49"/>
  <c r="AQ35" i="49"/>
  <c r="AQ63" i="49"/>
  <c r="Y63" i="49"/>
  <c r="AQ59" i="49"/>
  <c r="Y59" i="49"/>
  <c r="Y51" i="49"/>
  <c r="AQ51" i="49"/>
  <c r="Y21" i="49"/>
  <c r="AQ21" i="49"/>
  <c r="Y31" i="49"/>
  <c r="AQ31"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Domanski</author>
  </authors>
  <commentList>
    <comment ref="W2" authorId="0" shapeId="0" xr:uid="{3C4D3B88-0B55-41DF-840D-0C34CE1EB7A6}">
      <text>
        <r>
          <rPr>
            <b/>
            <sz val="9"/>
            <color indexed="81"/>
            <rFont val="Tahoma"/>
            <family val="2"/>
          </rPr>
          <t>James Domanski:</t>
        </r>
        <r>
          <rPr>
            <sz val="9"/>
            <color indexed="81"/>
            <rFont val="Tahoma"/>
            <family val="2"/>
          </rPr>
          <t xml:space="preserve">
I didn't find and measure attributes captured for Bath Fans, so I put this in there to flag that.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Lathica Arunkumar</author>
  </authors>
  <commentList>
    <comment ref="E7" authorId="0" shapeId="0" xr:uid="{B290C1E8-0274-4D99-B6B8-BB66CDF5C71B}">
      <text>
        <r>
          <rPr>
            <b/>
            <sz val="9"/>
            <color indexed="81"/>
            <rFont val="Arial"/>
            <family val="2"/>
            <scheme val="minor"/>
          </rPr>
          <t>Refrigerated bottled or canned beverage vending machine</t>
        </r>
        <r>
          <rPr>
            <sz val="9"/>
            <color indexed="81"/>
            <rFont val="Arial"/>
            <family val="2"/>
            <scheme val="minor"/>
          </rPr>
          <t xml:space="preserve"> means a commercial refrigerator that cools bottled or canned beverages and dispenses the bottled or canned beverages (beverages in a sealed container) on payment</t>
        </r>
      </text>
    </comment>
    <comment ref="G7" authorId="0" shapeId="0" xr:uid="{7472B6B8-FDFA-4634-9B6D-E91A7B12F48E}">
      <text>
        <r>
          <rPr>
            <b/>
            <sz val="9"/>
            <color indexed="81"/>
            <rFont val="Arial"/>
            <family val="2"/>
            <scheme val="major"/>
          </rPr>
          <t xml:space="preserve">Class A </t>
        </r>
        <r>
          <rPr>
            <sz val="9"/>
            <color indexed="81"/>
            <rFont val="Arial"/>
            <family val="2"/>
            <scheme val="major"/>
          </rPr>
          <t xml:space="preserve">means a refrigerated bottled or canned beverage vending machine that is not a combination vending machine and in which 25% or more of the surface area on the front side of the beverage vending machine is transparent.
</t>
        </r>
        <r>
          <rPr>
            <b/>
            <sz val="9"/>
            <color indexed="81"/>
            <rFont val="Arial"/>
            <family val="2"/>
            <scheme val="major"/>
          </rPr>
          <t>Class B</t>
        </r>
        <r>
          <rPr>
            <sz val="9"/>
            <color indexed="81"/>
            <rFont val="Arial"/>
            <family val="2"/>
            <scheme val="major"/>
          </rPr>
          <t xml:space="preserve"> means a refrigerated bottled or canned beverage vending machine that is not considered to be Class A and is not a combination vending machine.
</t>
        </r>
        <r>
          <rPr>
            <b/>
            <sz val="9"/>
            <color indexed="81"/>
            <rFont val="Arial"/>
            <family val="2"/>
            <scheme val="major"/>
          </rPr>
          <t xml:space="preserve">Combination vending machine </t>
        </r>
        <r>
          <rPr>
            <sz val="9"/>
            <color indexed="81"/>
            <rFont val="Arial"/>
            <family val="2"/>
            <scheme val="major"/>
          </rPr>
          <t xml:space="preserve">means a bottled or canned beverage vending machine containing two or more compartments seperated by a solid partition, that may or may not share a product delivery chute, in which at least one compartment is designed to be refrigerated, as demonstrated by the presence of temperature controls, and at least one compartment is not.
</t>
        </r>
        <r>
          <rPr>
            <b/>
            <sz val="9"/>
            <color indexed="81"/>
            <rFont val="Arial"/>
            <family val="2"/>
            <scheme val="major"/>
          </rPr>
          <t xml:space="preserve">Combination A </t>
        </r>
        <r>
          <rPr>
            <sz val="9"/>
            <color indexed="81"/>
            <rFont val="Arial"/>
            <family val="2"/>
            <scheme val="major"/>
          </rPr>
          <t xml:space="preserve">means a combination vending machine where 25% or more of the surface area on the front side of the beverage vending machine is transparent.
</t>
        </r>
        <r>
          <rPr>
            <b/>
            <sz val="9"/>
            <color indexed="81"/>
            <rFont val="Arial"/>
            <family val="2"/>
            <scheme val="major"/>
          </rPr>
          <t xml:space="preserve">Combination B </t>
        </r>
        <r>
          <rPr>
            <sz val="9"/>
            <color indexed="81"/>
            <rFont val="Arial"/>
            <family val="2"/>
            <scheme val="major"/>
          </rPr>
          <t xml:space="preserve">means a combination vending machine that is not considered to be Combination A.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Boone Drummond</author>
  </authors>
  <commentList>
    <comment ref="G6" authorId="0" shapeId="0" xr:uid="{84728BE6-E650-4D9A-B2DF-38B3AE9E802B}">
      <text>
        <r>
          <rPr>
            <b/>
            <sz val="9"/>
            <color indexed="81"/>
            <rFont val="Tahoma"/>
            <family val="2"/>
          </rPr>
          <t xml:space="preserve">Class A </t>
        </r>
        <r>
          <rPr>
            <sz val="9"/>
            <color indexed="81"/>
            <rFont val="Tahoma"/>
            <family val="2"/>
          </rPr>
          <t>machine is defined as a refrigerated bottled or canned beverage vending machine that is fully cooled, and is not a combination vending machine.</t>
        </r>
        <r>
          <rPr>
            <b/>
            <sz val="9"/>
            <color indexed="81"/>
            <rFont val="Tahoma"/>
            <family val="2"/>
          </rPr>
          <t xml:space="preserve">
Class B </t>
        </r>
        <r>
          <rPr>
            <sz val="9"/>
            <color indexed="81"/>
            <rFont val="Tahoma"/>
            <family val="2"/>
          </rPr>
          <t xml:space="preserve">machine is defined as any refrigerated bottled or canned beverage vending machine not considered to be Class A, and is not a combination vending machine.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<sst xmlns="http://schemas.openxmlformats.org/spreadsheetml/2006/main" count="6580" uniqueCount="1023">
  <si>
    <t>Savings Methodologies</t>
  </si>
  <si>
    <t>ENERGY STAR Clothes Washer</t>
  </si>
  <si>
    <t>Controls: Beverage Machine Controls</t>
  </si>
  <si>
    <t>ENERGY STAR Office Equipment</t>
  </si>
  <si>
    <r>
      <rPr>
        <u/>
        <sz val="10"/>
        <color theme="1"/>
        <rFont val="Arial"/>
        <family val="2"/>
      </rPr>
      <t>Eligibility</t>
    </r>
    <r>
      <rPr>
        <sz val="10"/>
        <color theme="1"/>
        <rFont val="Arial"/>
        <family val="2"/>
      </rPr>
      <t xml:space="preserve">: To be eligible, steam cookers must meet minimum ENERGY STAR efficiency requirements. This protocol is limited to clothes washers in laundry rooms of multifamily complexes and commercial Laundromats.
</t>
    </r>
    <r>
      <rPr>
        <u/>
        <sz val="10"/>
        <color theme="1"/>
        <rFont val="Arial"/>
        <family val="2"/>
      </rPr>
      <t xml:space="preserve">
Methodology</t>
    </r>
    <r>
      <rPr>
        <sz val="10"/>
        <color theme="1"/>
        <rFont val="Arial"/>
        <family val="2"/>
      </rPr>
      <t xml:space="preserve">: The energy savings are obtained through the following formula per clothes washer-
</t>
    </r>
  </si>
  <si>
    <r>
      <rPr>
        <u/>
        <sz val="10"/>
        <color theme="1"/>
        <rFont val="Arial"/>
        <family val="2"/>
        <scheme val="minor"/>
      </rPr>
      <t>Methodology</t>
    </r>
    <r>
      <rPr>
        <sz val="10"/>
        <color theme="1"/>
        <rFont val="Arial"/>
        <family val="2"/>
        <scheme val="minor"/>
      </rPr>
      <t xml:space="preserve">: Energy savings are dependent on decreased machine lighting and cooling loads during times of lower customer sales. The savings will be dependent on the machine environment, noting that machines placed in locations such as a day-use office will result in greater savings than those placed in high-traffic areas such as hospitals that operate around the clock. The algorithm below takes into account varying scenarios and can be taken as representative of a typical application. 
The decrease in energy consumption due to the addition of a control system will depend on the number or hours per year during which lighting and refrigeration components of the beverage machine are powered down. The average decrease in energy use from refrigerated beverage vending machines with control systems installed is 46%.It should be noted that various studies found savings values ranging between 30-65%, most likely due to differences in customer occupation
</t>
    </r>
  </si>
  <si>
    <r>
      <rPr>
        <u/>
        <sz val="10"/>
        <color theme="1"/>
        <rFont val="Arial"/>
        <family val="2"/>
        <scheme val="minor"/>
      </rPr>
      <t>Eligibility</t>
    </r>
    <r>
      <rPr>
        <sz val="10"/>
        <color theme="1"/>
        <rFont val="Arial"/>
        <family val="2"/>
        <scheme val="minor"/>
      </rPr>
      <t xml:space="preserve">: This protocol estimates savings for installing ENERGY STAR office equipment compared to standard efficiency equipment. The measurement of energy and demand savings is based on a deemed savings value multiplied by the quantity of the measure..
</t>
    </r>
    <r>
      <rPr>
        <u/>
        <sz val="10"/>
        <color theme="1"/>
        <rFont val="Arial"/>
        <family val="2"/>
        <scheme val="minor"/>
      </rPr>
      <t>Methodology</t>
    </r>
    <r>
      <rPr>
        <sz val="10"/>
        <color theme="1"/>
        <rFont val="Arial"/>
        <family val="2"/>
        <scheme val="minor"/>
      </rPr>
      <t>: The general form of the equation for the ENERGY STAR Office Equipment measure savings’ algorithms is</t>
    </r>
  </si>
  <si>
    <t>ENERGY STAR Steam Cooker</t>
  </si>
  <si>
    <t>Office Equipment - Network Power Management Enabling</t>
  </si>
  <si>
    <r>
      <rPr>
        <u/>
        <sz val="10"/>
        <color theme="1"/>
        <rFont val="Arial"/>
        <family val="2"/>
        <scheme val="minor"/>
      </rPr>
      <t>Eligibility</t>
    </r>
    <r>
      <rPr>
        <sz val="10"/>
        <color theme="1"/>
        <rFont val="Arial"/>
        <family val="2"/>
        <scheme val="minor"/>
      </rPr>
      <t xml:space="preserve">: This measure applies to the installation of electric ENERGY STAR steam cookers as either a new item or replacement for an existing unit. Gas steam cookers are not eligible. The steam cookers must meet minimum ENERGY STAR efficiency requirements. A qualifying steam cooker must meet a minimum cooking efficiency of 50 percent and meet idle energy rates specified by pan capacity.
The baseline equipment is a unit with efficiency specifications that do not meet the minimum ENERGY STAR efficiency requirements.
</t>
    </r>
    <r>
      <rPr>
        <u/>
        <sz val="10"/>
        <color theme="1"/>
        <rFont val="Arial"/>
        <family val="2"/>
        <scheme val="minor"/>
      </rPr>
      <t>Methodology</t>
    </r>
    <r>
      <rPr>
        <sz val="10"/>
        <color theme="1"/>
        <rFont val="Arial"/>
        <family val="2"/>
        <scheme val="minor"/>
      </rPr>
      <t>: The savings depend on three main factors: pounds of food steam cooked per day, pan capacity, and cooking efficiency.</t>
    </r>
  </si>
  <si>
    <r>
      <rPr>
        <u/>
        <sz val="10"/>
        <color theme="1"/>
        <rFont val="Arial"/>
        <family val="2"/>
        <scheme val="minor"/>
      </rPr>
      <t>Eligibility</t>
    </r>
    <r>
      <rPr>
        <sz val="10"/>
        <color theme="1"/>
        <rFont val="Arial"/>
        <family val="2"/>
        <scheme val="minor"/>
      </rPr>
      <t xml:space="preserve">: The deemed savings reported in Table 3-149 are applicable to any software that meets the following Pacific Northwest Regional Technical Forum's (“RTF”) Networked Computer Power Management Control Software Specifications:
• Workstation is defined as the computer monitor and the PC box.
• The software shall have wake-on-LAN capability to allow networked workstations to be remotely wakened from or placed into any power-saving mode and to remotely boot or shut down ACPI-compliant workstations.
• The software shall give the IT administrator easily-accessible central control over the power management settings of networked workstations that optionally overrides settings made by users.
• The software shall be capable of applying specific power management policies to network groups, utilizing existing network grouping capabilities.
• The software shall be compatible with multiple operating systems and hardware configurations on the same network.
• The software shall monitor workstation keyboard, mouse, CPU and disk activity in determining workstation idleness.
</t>
    </r>
    <r>
      <rPr>
        <u/>
        <sz val="10"/>
        <color theme="1"/>
        <rFont val="Arial"/>
        <family val="2"/>
        <scheme val="minor"/>
      </rPr>
      <t xml:space="preserve">
Methodology</t>
    </r>
    <r>
      <rPr>
        <sz val="10"/>
        <color theme="1"/>
        <rFont val="Arial"/>
        <family val="2"/>
        <scheme val="minor"/>
      </rPr>
      <t>: The deemed savings for this measure are -</t>
    </r>
  </si>
  <si>
    <t>Smart Strip Plug Outlets</t>
  </si>
  <si>
    <r>
      <rPr>
        <u/>
        <sz val="10"/>
        <color theme="1"/>
        <rFont val="Arial"/>
        <family val="2"/>
        <scheme val="minor"/>
      </rPr>
      <t>Eligibility</t>
    </r>
    <r>
      <rPr>
        <sz val="10"/>
        <color theme="1"/>
        <rFont val="Arial"/>
        <family val="2"/>
        <scheme val="minor"/>
      </rPr>
      <t xml:space="preserve">: Qualified power strips must automatically turn off when equipment is unused / unoccupied.   
</t>
    </r>
    <r>
      <rPr>
        <u/>
        <sz val="10"/>
        <color theme="1"/>
        <rFont val="Arial"/>
        <family val="2"/>
        <scheme val="minor"/>
      </rPr>
      <t xml:space="preserve">
Methodology</t>
    </r>
    <r>
      <rPr>
        <sz val="10"/>
        <color theme="1"/>
        <rFont val="Arial"/>
        <family val="2"/>
        <scheme val="minor"/>
      </rPr>
      <t xml:space="preserve">: The deemed savings for this measure are: </t>
    </r>
  </si>
  <si>
    <t>Controls: Snack Machine Controls</t>
  </si>
  <si>
    <t>ENERGY STAR Refrigerated Beverage Machine</t>
  </si>
  <si>
    <t>ENERGY STAR Servers</t>
  </si>
  <si>
    <r>
      <rPr>
        <u/>
        <sz val="10"/>
        <color theme="1"/>
        <rFont val="Arial"/>
        <family val="2"/>
      </rPr>
      <t>Methodology</t>
    </r>
    <r>
      <rPr>
        <sz val="10"/>
        <color theme="1"/>
        <rFont val="Arial"/>
        <family val="2"/>
      </rPr>
      <t>: The energy savings for this measure result from reduced lighting operation.</t>
    </r>
  </si>
  <si>
    <r>
      <rPr>
        <u/>
        <sz val="10"/>
        <color theme="1"/>
        <rFont val="Arial"/>
        <family val="2"/>
        <scheme val="minor"/>
      </rPr>
      <t>Eligibility</t>
    </r>
    <r>
      <rPr>
        <sz val="10"/>
        <color theme="1"/>
        <rFont val="Arial"/>
        <family val="2"/>
        <scheme val="minor"/>
      </rPr>
      <t xml:space="preserve">: This measure is targeted to non-residential customers who purchase and install a beverage vending machine that meets ENERGY STAR specifications rather than a non-ENERGY STAR unit. The energy efficient refrigerated vending machine can be new or rebuilt.
</t>
    </r>
    <r>
      <rPr>
        <u/>
        <sz val="10"/>
        <color theme="1"/>
        <rFont val="Arial"/>
        <family val="2"/>
        <scheme val="minor"/>
      </rPr>
      <t xml:space="preserve">
Methodology</t>
    </r>
    <r>
      <rPr>
        <sz val="10"/>
        <color theme="1"/>
        <rFont val="Arial"/>
        <family val="2"/>
        <scheme val="minor"/>
      </rPr>
      <t xml:space="preserve">: Energy savings are dependent on decreased machine lighting and cooling loads during times of lower customer sales. </t>
    </r>
  </si>
  <si>
    <r>
      <rPr>
        <u/>
        <sz val="10"/>
        <color theme="1"/>
        <rFont val="Arial"/>
        <family val="2"/>
        <scheme val="minor"/>
      </rPr>
      <t>Eligibility</t>
    </r>
    <r>
      <rPr>
        <sz val="10"/>
        <color theme="1"/>
        <rFont val="Arial"/>
        <family val="2"/>
        <scheme val="minor"/>
      </rPr>
      <t xml:space="preserve">: New servers must be ENERGY STAR rated and replace non-ENERGY STAR servers of similar computing
</t>
    </r>
    <r>
      <rPr>
        <u/>
        <sz val="10"/>
        <color theme="1"/>
        <rFont val="Arial"/>
        <family val="2"/>
        <scheme val="minor"/>
      </rPr>
      <t>Methodology</t>
    </r>
    <r>
      <rPr>
        <sz val="10"/>
        <color theme="1"/>
        <rFont val="Arial"/>
        <family val="2"/>
        <scheme val="minor"/>
      </rPr>
      <t xml:space="preserve">: </t>
    </r>
  </si>
  <si>
    <t>The workbook is currenlty configured for:</t>
  </si>
  <si>
    <t>PPL</t>
  </si>
  <si>
    <t>Incentive Manager</t>
  </si>
  <si>
    <t>Workbook Headers (Named Range 'Logo')</t>
  </si>
  <si>
    <t>Report Logos (Named Range 'Report Logo')</t>
  </si>
  <si>
    <t>Utility</t>
  </si>
  <si>
    <t>$/kWh</t>
  </si>
  <si>
    <t>$/kW</t>
  </si>
  <si>
    <t>PPL Logo</t>
  </si>
  <si>
    <t>PECO</t>
  </si>
  <si>
    <t>First Energy</t>
  </si>
  <si>
    <t>PECO Logo</t>
  </si>
  <si>
    <t>First Energy Logo</t>
  </si>
  <si>
    <t>ZCTA</t>
  </si>
  <si>
    <t>Climate Region</t>
  </si>
  <si>
    <t>Reference Location</t>
  </si>
  <si>
    <t>H</t>
  </si>
  <si>
    <t>Pittsburgh</t>
  </si>
  <si>
    <t>E</t>
  </si>
  <si>
    <t>Harrisburg</t>
  </si>
  <si>
    <t>I</t>
  </si>
  <si>
    <t>Erie</t>
  </si>
  <si>
    <t>G</t>
  </si>
  <si>
    <t>Bradford</t>
  </si>
  <si>
    <t>F</t>
  </si>
  <si>
    <t>Williamsport</t>
  </si>
  <si>
    <t>B</t>
  </si>
  <si>
    <t>Scranton</t>
  </si>
  <si>
    <t>D</t>
  </si>
  <si>
    <t>Philadelphia</t>
  </si>
  <si>
    <t>C</t>
  </si>
  <si>
    <t>Allentown</t>
  </si>
  <si>
    <t>A</t>
  </si>
  <si>
    <t>Binghamton</t>
  </si>
  <si>
    <t>PPL Electric Estimator for Food Service Measures</t>
  </si>
  <si>
    <t xml:space="preserve">Note: This estimator is used for estimating savings and does not guarantee the estimated incentive. The methodology presented in this estimator is deemed acceptable for the PPL Electric Business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  </t>
  </si>
  <si>
    <t>Input Instructions</t>
  </si>
  <si>
    <t>Yellow cells indicate that user input is required. Cells with an asterisk (*) are required.</t>
  </si>
  <si>
    <t xml:space="preserve">Grey cells are calculated values. </t>
  </si>
  <si>
    <t>Worksheet Summary</t>
  </si>
  <si>
    <t>Methodology</t>
  </si>
  <si>
    <r>
      <t>All measures are based on either the Mid-Atlantic v7 TRM, PA 2016 TRM, or ENERGY STAR</t>
    </r>
    <r>
      <rPr>
        <sz val="11"/>
        <rFont val="Calibri"/>
        <family val="2"/>
      </rPr>
      <t>®</t>
    </r>
    <r>
      <rPr>
        <sz val="11"/>
        <rFont val="Arial"/>
        <family val="2"/>
      </rPr>
      <t xml:space="preserve"> requirements.</t>
    </r>
  </si>
  <si>
    <t>Summary</t>
  </si>
  <si>
    <t>Summary of Equipment Cost, estimator Savings, and Incentives.</t>
  </si>
  <si>
    <t>Estimator</t>
  </si>
  <si>
    <t>Summary of required inputs and outputs of the estimator</t>
  </si>
  <si>
    <t>estimations</t>
  </si>
  <si>
    <t>Summary of estimations Worksheet</t>
  </si>
  <si>
    <t>Version Log</t>
  </si>
  <si>
    <t>The Version Log Worksheet tracks updates and changes made to the workbook.</t>
  </si>
  <si>
    <t>Glossary of Inputs</t>
  </si>
  <si>
    <t># of Machines</t>
  </si>
  <si>
    <t>Total number of Vending Controls units for each Make and Model Number</t>
  </si>
  <si>
    <t># of Pans</t>
  </si>
  <si>
    <t>Total number of Pans in one unit for each Make and Model Number</t>
  </si>
  <si>
    <t># of Reach-ins</t>
  </si>
  <si>
    <t>Total number of Reach-in units for each Temperature, Door Type, Door Closure, and Volume combination</t>
  </si>
  <si>
    <t>Baseline Equipment</t>
  </si>
  <si>
    <t>Specific information of the existing equipment</t>
  </si>
  <si>
    <t>Baseline Type</t>
  </si>
  <si>
    <t>Existing equipment steam generation type</t>
  </si>
  <si>
    <t>Building Type</t>
  </si>
  <si>
    <t>Describes the use of the majority of building square footage</t>
  </si>
  <si>
    <t>Capacity</t>
  </si>
  <si>
    <t>Total number of beverages that type of the vending machine can hold</t>
  </si>
  <si>
    <t>Class Type</t>
  </si>
  <si>
    <t>Type of ENERGY STAR Beverage Vending Machine</t>
  </si>
  <si>
    <t>Control Type</t>
  </si>
  <si>
    <t>Method for controlling Anti-Sweater Heater</t>
  </si>
  <si>
    <t>Door Closed</t>
  </si>
  <si>
    <t>New unit hinge orientation on a Reach-in</t>
  </si>
  <si>
    <t>Door Type</t>
  </si>
  <si>
    <t>New unit material on the door</t>
  </si>
  <si>
    <t>Equipment Cost</t>
  </si>
  <si>
    <t>Total cost of equipment of each measure, excluding labor</t>
  </si>
  <si>
    <t>Harvest Rate (lbs/day)</t>
  </si>
  <si>
    <t>Total pounds of ice produced each day</t>
  </si>
  <si>
    <t>Height per Curtain (ft)</t>
  </si>
  <si>
    <t>Total height of doorway covered by one strip curtain</t>
  </si>
  <si>
    <t>Length per Case (ft)</t>
  </si>
  <si>
    <t>Horizontal length of one Display Case being covered</t>
  </si>
  <si>
    <t>Length per Curtain (ft)</t>
  </si>
  <si>
    <t>Total length of doorway covered by one strip curtain</t>
  </si>
  <si>
    <t>Make</t>
  </si>
  <si>
    <t>Manufacturer name of new equipment</t>
  </si>
  <si>
    <t>Model</t>
  </si>
  <si>
    <t>Manufacturer Model Number of new equipment</t>
  </si>
  <si>
    <t>New Equipment</t>
  </si>
  <si>
    <t>Specific information of the proposed or newly installed equipment</t>
  </si>
  <si>
    <t>Pre-existing Curtain</t>
  </si>
  <si>
    <t>Was there an existing curtain installed?</t>
  </si>
  <si>
    <t>QTY</t>
  </si>
  <si>
    <t>Quantity of new equipment per type</t>
  </si>
  <si>
    <t>Size</t>
  </si>
  <si>
    <t>Defined on new equipment qualified product list</t>
  </si>
  <si>
    <t>Temperature</t>
  </si>
  <si>
    <t>New equipment temperature setting</t>
  </si>
  <si>
    <t>Volume per Unit (ft3)</t>
  </si>
  <si>
    <t>Total cubic feet of each Make and Model Number</t>
  </si>
  <si>
    <t>Work Surface Area (ft2)</t>
  </si>
  <si>
    <t>Total square footage of work surface of each Make and Model Number</t>
  </si>
  <si>
    <t>Glossary of Outputs</t>
  </si>
  <si>
    <t>kW</t>
  </si>
  <si>
    <t>Peak Demand Reduction</t>
  </si>
  <si>
    <t>kWh</t>
  </si>
  <si>
    <t>Annual Energy Reduction</t>
  </si>
  <si>
    <t>$/year</t>
  </si>
  <si>
    <t>Incentive</t>
  </si>
  <si>
    <t>Eligible Program Incentive</t>
  </si>
  <si>
    <t>CHANGE INCENTIVES HERE TO CHANGE INCENTIVES ON ALL TABS</t>
  </si>
  <si>
    <t>Incentive / kWh</t>
  </si>
  <si>
    <t>Program Year</t>
  </si>
  <si>
    <t>Incentive / kW</t>
  </si>
  <si>
    <t>PY18</t>
  </si>
  <si>
    <t>Capped at</t>
  </si>
  <si>
    <t>PY19</t>
  </si>
  <si>
    <t>PY20</t>
  </si>
  <si>
    <t>PY21</t>
  </si>
  <si>
    <t>PY22</t>
  </si>
  <si>
    <t>Measure Name</t>
  </si>
  <si>
    <t>Savings</t>
  </si>
  <si>
    <t>Incentive Rate</t>
  </si>
  <si>
    <t>Total Equipment cost</t>
  </si>
  <si>
    <t>Incremental cost</t>
  </si>
  <si>
    <t>Cost Used</t>
  </si>
  <si>
    <t>cap</t>
  </si>
  <si>
    <t>w/o Cost Used</t>
  </si>
  <si>
    <t>eligible</t>
  </si>
  <si>
    <t>CEE Tiers</t>
  </si>
  <si>
    <t>Incentives</t>
  </si>
  <si>
    <t>Anti-Sweat Heater Control</t>
  </si>
  <si>
    <t>CONCATENATE</t>
  </si>
  <si>
    <t>min</t>
  </si>
  <si>
    <t>max</t>
  </si>
  <si>
    <t>a</t>
  </si>
  <si>
    <t>b</t>
  </si>
  <si>
    <t>Night Covers for Refrigerated Cases</t>
  </si>
  <si>
    <t>CEE Tier I</t>
  </si>
  <si>
    <t>Cube/Nugget</t>
  </si>
  <si>
    <t>Ice Making Head</t>
  </si>
  <si>
    <t>H &lt; 450</t>
  </si>
  <si>
    <t>Each</t>
  </si>
  <si>
    <t>Strip Curtains for Walk-In Coolers and Freezers</t>
  </si>
  <si>
    <t>450 ≤ H</t>
  </si>
  <si>
    <t>450 ≤ H &lt; 1,000</t>
  </si>
  <si>
    <t>Energy Star Commercial Fryers</t>
  </si>
  <si>
    <t>Remote Condensing w/o remote compressor</t>
  </si>
  <si>
    <t>H &lt; 1,000</t>
  </si>
  <si>
    <t>1,000 ≤ H</t>
  </si>
  <si>
    <t>CEE Tier II</t>
  </si>
  <si>
    <t>Remote Condensing w/ remote compressor</t>
  </si>
  <si>
    <t>H &lt; 934</t>
  </si>
  <si>
    <t>Energy Star Commercial Griddle</t>
  </si>
  <si>
    <t>934 ≤ H</t>
  </si>
  <si>
    <t>Ice Machine</t>
  </si>
  <si>
    <t>Ice Type</t>
  </si>
  <si>
    <t>Tier I HR</t>
  </si>
  <si>
    <t>kWh/day</t>
  </si>
  <si>
    <t>Tier II HR</t>
  </si>
  <si>
    <t>$/qty</t>
  </si>
  <si>
    <t>Self Contained</t>
  </si>
  <si>
    <t>H &lt; 175</t>
  </si>
  <si>
    <t>Flake</t>
  </si>
  <si>
    <t>175 ≤ H</t>
  </si>
  <si>
    <t>175 ≤ H &lt; 450</t>
  </si>
  <si>
    <t>Commercial Convection Oven</t>
  </si>
  <si>
    <t>Commercial Combination Oven</t>
  </si>
  <si>
    <t>Energy Star Steam Cooker</t>
  </si>
  <si>
    <t xml:space="preserve">Custom Lite Incentive Rate </t>
  </si>
  <si>
    <t>Prescriptive Incentive Rate</t>
  </si>
  <si>
    <t>Beverage Vending Machine Controls</t>
  </si>
  <si>
    <t>Snack Vending Machine Controls</t>
  </si>
  <si>
    <t xml:space="preserve">Office Equipment </t>
  </si>
  <si>
    <t>Energy Star Clothes Washer</t>
  </si>
  <si>
    <t>Hot Foods</t>
  </si>
  <si>
    <t>Total</t>
  </si>
  <si>
    <t>Energy Star Commercial Reach-ins</t>
  </si>
  <si>
    <t>Hot foods</t>
  </si>
  <si>
    <t>SolidRefrigerator&lt; 19 cubic ft</t>
  </si>
  <si>
    <t>0 &lt; V &lt; 13</t>
  </si>
  <si>
    <t>SolidRefrigerator19-20 cubic ft</t>
  </si>
  <si>
    <t>13 ≤ V &lt; 28</t>
  </si>
  <si>
    <t>SolidRefrigerator21-60 cubic ft</t>
  </si>
  <si>
    <t>28 ≤ V</t>
  </si>
  <si>
    <t>SolidRefrigerator60-90 cubic ft</t>
  </si>
  <si>
    <t>SolidFreezer&lt; 19 cubic ft</t>
  </si>
  <si>
    <t>SolidFreezer19-20 cubic ft</t>
  </si>
  <si>
    <t>SolidFreezer21-60 cubic ft</t>
  </si>
  <si>
    <t>Standard</t>
  </si>
  <si>
    <t>SolidFreezer60-90 cubic ft</t>
  </si>
  <si>
    <t>Large</t>
  </si>
  <si>
    <t>TransparentRefrigerator&lt; 19 cubic ft</t>
  </si>
  <si>
    <t>TransparentRefrigerator19-20 cubic ft</t>
  </si>
  <si>
    <t>TransparentRefrigerator21-60 cubic ft</t>
  </si>
  <si>
    <t>TransparentRefrigerator60-90 cubic ft</t>
  </si>
  <si>
    <t>TransparentFreezer&lt; 19 cubic ft</t>
  </si>
  <si>
    <t>TransparentFreezer19-20 cubic ft</t>
  </si>
  <si>
    <t>TransparentFreezer21-60 cubic ft</t>
  </si>
  <si>
    <t>TransparentFreezer60-90 cubic ft</t>
  </si>
  <si>
    <t>Table 3-3 Lighting HOU by Building Type for other General Service Lighting</t>
  </si>
  <si>
    <t>HOU_facility</t>
  </si>
  <si>
    <t>Education</t>
  </si>
  <si>
    <t>Exterior, Photocell-Controlled (All Building Types)</t>
  </si>
  <si>
    <t>Exterior (All Building Types)</t>
  </si>
  <si>
    <t>Grocery</t>
  </si>
  <si>
    <t>Health</t>
  </si>
  <si>
    <t>Industrial/Manufacturing - 1 Shift</t>
  </si>
  <si>
    <t>Industrial/Manufacturing - 2 Shift</t>
  </si>
  <si>
    <t>Industrial/Manufacturing - 3 Shift</t>
  </si>
  <si>
    <t>Institutional/Public Service</t>
  </si>
  <si>
    <t>Lodging</t>
  </si>
  <si>
    <t>Miscellaneous/Other</t>
  </si>
  <si>
    <t>Multifamily Common Areas</t>
  </si>
  <si>
    <t>Office</t>
  </si>
  <si>
    <t>Parking Garage</t>
  </si>
  <si>
    <t>Restaurant</t>
  </si>
  <si>
    <t>Retail</t>
  </si>
  <si>
    <t>Street Lighting (PPL)</t>
  </si>
  <si>
    <t>Warehouse</t>
  </si>
  <si>
    <t xml:space="preserve">Version </t>
  </si>
  <si>
    <t>Project Summary</t>
  </si>
  <si>
    <t>Last Updated</t>
  </si>
  <si>
    <t>Instructions: Enter the project information in the yellow cells below. Cells with a * are required. See Instructions Worksheet for more information.</t>
  </si>
  <si>
    <t>Date</t>
  </si>
  <si>
    <t>Project Name</t>
  </si>
  <si>
    <t>Installation Date</t>
  </si>
  <si>
    <t>Address</t>
  </si>
  <si>
    <t>Utility Rate Code*</t>
  </si>
  <si>
    <t>Site Zip Code*</t>
  </si>
  <si>
    <t>Project Incentive Code</t>
  </si>
  <si>
    <t>Project Cost*</t>
  </si>
  <si>
    <t>Facility Type</t>
  </si>
  <si>
    <t>Summer kW Peak Demand</t>
  </si>
  <si>
    <t xml:space="preserve">Winter kW Peak Demand </t>
  </si>
  <si>
    <t>Average kW Peak Demand</t>
  </si>
  <si>
    <t>Uncapped Incentive</t>
  </si>
  <si>
    <t>Induction Cooktops</t>
  </si>
  <si>
    <t>Quantity__c</t>
  </si>
  <si>
    <t>Description_Product_Style__c</t>
  </si>
  <si>
    <t xml:space="preserve">project_end_date_ea__c	</t>
  </si>
  <si>
    <t>Calculator_Version__c</t>
  </si>
  <si>
    <t>Average_Demand_Savings_kW__c</t>
  </si>
  <si>
    <t>Annual_Electric_Energy_Savings_kwh__c</t>
  </si>
  <si>
    <t>Total_Incentive_New__c</t>
  </si>
  <si>
    <t>Make__c</t>
  </si>
  <si>
    <t>efficient_ice_production_type__c</t>
  </si>
  <si>
    <t>efficient_ice_machine_type__c</t>
  </si>
  <si>
    <t>Ice_Machine_Harvest_Rate_lbs_day__c</t>
  </si>
  <si>
    <t>Vending_Machine_Type__c</t>
  </si>
  <si>
    <t>Factor_Text_2__c</t>
  </si>
  <si>
    <t>Factor_1__c</t>
  </si>
  <si>
    <t>Installed_Processors__c</t>
  </si>
  <si>
    <t>Factor_Text_Yes_No__c</t>
  </si>
  <si>
    <t>Type__c</t>
  </si>
  <si>
    <t>Strip_Type__c</t>
  </si>
  <si>
    <t>ENERGY_STAR_Unique_ID__c</t>
  </si>
  <si>
    <t>Incentive_Unit__c</t>
  </si>
  <si>
    <t>Number_of_Pans__c</t>
  </si>
  <si>
    <t>Efficient_Energy_Use_kWh_100_lbs_ice__c</t>
  </si>
  <si>
    <t>Efficient_Water_Use_gallons_rack__c</t>
  </si>
  <si>
    <t>Cooking_Energy_Efficiency__c</t>
  </si>
  <si>
    <t>Default_Idle_Energy_Rate_kW__c</t>
  </si>
  <si>
    <t>Production_Capacity__c</t>
  </si>
  <si>
    <t>Volume_cubic_feet__c</t>
  </si>
  <si>
    <t>Area_sqft__c</t>
  </si>
  <si>
    <t>WC_Peak_Demand_Savings_kW__c</t>
  </si>
  <si>
    <t>Summer_Coincident_Peak_Demand_Savings_kW__c</t>
  </si>
  <si>
    <t>Child___ETDF_Summer__c</t>
  </si>
  <si>
    <t>Child___ETDF_Winter__c</t>
  </si>
  <si>
    <t>Duty_Cycle__c</t>
  </si>
  <si>
    <t>Load_lbs__c</t>
  </si>
  <si>
    <t>Child___Efficient_Elec_Oven_Steam_Efficiency__c</t>
  </si>
  <si>
    <t>Child___Efficient_Elec_Steam_Idle_Energy_kW__c</t>
  </si>
  <si>
    <t>Child___Efficient_Steam_Mode_Prod_Cap_lbs_hr__c</t>
  </si>
  <si>
    <t>Date_Installed__c</t>
  </si>
  <si>
    <t>Measure Quantity</t>
  </si>
  <si>
    <t>Measure Code Measure Description</t>
  </si>
  <si>
    <t>Project End Date</t>
  </si>
  <si>
    <t>Estimator Version Number</t>
  </si>
  <si>
    <t>Total Energy Savings (kW)</t>
  </si>
  <si>
    <t>Total Energy Savings (kWh)</t>
  </si>
  <si>
    <t>Make/Manufacturer</t>
  </si>
  <si>
    <t>Ice Maker Type</t>
  </si>
  <si>
    <t>Ice Maker Sub-type</t>
  </si>
  <si>
    <t>Ice Harvest Rate</t>
  </si>
  <si>
    <t>Vending Machine Type</t>
  </si>
  <si>
    <t>Energy Star Office Equipment Specs</t>
  </si>
  <si>
    <t>Laundry Configuration</t>
  </si>
  <si>
    <t>Server Power Draw Idle Mode</t>
  </si>
  <si>
    <t>Number of Processors</t>
  </si>
  <si>
    <t>Is Server Managed</t>
  </si>
  <si>
    <t>Dishwasher Machine Type</t>
  </si>
  <si>
    <t>Workstation Type</t>
  </si>
  <si>
    <t>Strip Type</t>
  </si>
  <si>
    <t>Strip Use</t>
  </si>
  <si>
    <t>Bath Fan CFM Range</t>
  </si>
  <si>
    <t>Energy Star Product ID</t>
  </si>
  <si>
    <t>Incentive/Unit</t>
  </si>
  <si>
    <t>Quantity of Pans in New Unit</t>
  </si>
  <si>
    <t>High Efficiency Energy Usage/100lb of Ice</t>
  </si>
  <si>
    <t>Dishwasher Water Use</t>
  </si>
  <si>
    <t>Energy Efficiency of New Unit</t>
  </si>
  <si>
    <t>Idle Energy Rate of New Unit</t>
  </si>
  <si>
    <t>Production Capacity</t>
  </si>
  <si>
    <t>Volume of New Unit</t>
  </si>
  <si>
    <t>Area of Cooking Surface</t>
  </si>
  <si>
    <t>Winter kW</t>
  </si>
  <si>
    <t>Summer kW</t>
  </si>
  <si>
    <t>ETDFsummer</t>
  </si>
  <si>
    <t>ETDFwinter</t>
  </si>
  <si>
    <t>Duty Cycle of Ice Machine Expressed as % of time machine produces ice</t>
  </si>
  <si>
    <t>lbs of food cooked per day</t>
  </si>
  <si>
    <t>Energy Efficiency in Steam Mode</t>
  </si>
  <si>
    <t>Idle Energy Rate in Steam Mode</t>
  </si>
  <si>
    <t>Production Capacity in Steam Mode</t>
  </si>
  <si>
    <t>Date Installed</t>
  </si>
  <si>
    <t>Ice machine</t>
  </si>
  <si>
    <t>Steam Cooker</t>
  </si>
  <si>
    <t>Beverage Machine Controls</t>
  </si>
  <si>
    <t>Convection Oven</t>
  </si>
  <si>
    <t>Commercial Fryer</t>
  </si>
  <si>
    <t>Hot Food Holding Cabinet</t>
  </si>
  <si>
    <t>Commercial Dishwasher</t>
  </si>
  <si>
    <t>Energy Star Bath Fans</t>
  </si>
  <si>
    <t>Energy Star Griddle</t>
  </si>
  <si>
    <t>Office Equipment</t>
  </si>
  <si>
    <t>Network Power Management</t>
  </si>
  <si>
    <t>Advanced Power Strips</t>
  </si>
  <si>
    <t>Energy Star Servers</t>
  </si>
  <si>
    <t>N/A</t>
  </si>
  <si>
    <t>Server Virtualization</t>
  </si>
  <si>
    <t>Combinatin Oven</t>
  </si>
  <si>
    <t>Original Author:</t>
  </si>
  <si>
    <t>A. Boone Drummond</t>
  </si>
  <si>
    <t>QA/QC Engineer(s):</t>
  </si>
  <si>
    <t>Tom Cosgro</t>
  </si>
  <si>
    <t>Primary Developer:</t>
  </si>
  <si>
    <t>Isaac Agyepong</t>
  </si>
  <si>
    <t>Senior Engineer Approval:</t>
  </si>
  <si>
    <t>Current Version:</t>
  </si>
  <si>
    <t>Date Updated:</t>
  </si>
  <si>
    <t>Version</t>
  </si>
  <si>
    <t>Reason for Change</t>
  </si>
  <si>
    <t>Change Description</t>
  </si>
  <si>
    <t>Contact, Department</t>
  </si>
  <si>
    <t>Phase 5 launch</t>
  </si>
  <si>
    <t>ENERGY STAR Commercial Fryers</t>
  </si>
  <si>
    <t>Constants</t>
  </si>
  <si>
    <t>Table 3-179: Electric Fryer Performance Metrics: Baseline Default Values</t>
  </si>
  <si>
    <t>E_food</t>
  </si>
  <si>
    <t>kWh/lb</t>
  </si>
  <si>
    <t>Fryer size</t>
  </si>
  <si>
    <r>
      <t>HOURS</t>
    </r>
    <r>
      <rPr>
        <b/>
        <vertAlign val="subscript"/>
        <sz val="11"/>
        <color theme="1"/>
        <rFont val="Arial"/>
        <family val="2"/>
        <scheme val="minor"/>
      </rPr>
      <t>day</t>
    </r>
  </si>
  <si>
    <t>IDLE</t>
  </si>
  <si>
    <t>EFF</t>
  </si>
  <si>
    <t>PC</t>
  </si>
  <si>
    <t>Pounds</t>
  </si>
  <si>
    <t>lb</t>
  </si>
  <si>
    <t>Days</t>
  </si>
  <si>
    <t>days/yr</t>
  </si>
  <si>
    <r>
      <t>ETDF</t>
    </r>
    <r>
      <rPr>
        <vertAlign val="subscript"/>
        <sz val="12"/>
        <color theme="1"/>
        <rFont val="Arial"/>
        <family val="2"/>
        <scheme val="minor"/>
      </rPr>
      <t>summer</t>
    </r>
  </si>
  <si>
    <t>kW/kWh</t>
  </si>
  <si>
    <r>
      <t>ETDF</t>
    </r>
    <r>
      <rPr>
        <vertAlign val="subscript"/>
        <sz val="12"/>
        <color theme="1"/>
        <rFont val="Arial"/>
        <family val="2"/>
        <scheme val="minor"/>
      </rPr>
      <t>winter</t>
    </r>
  </si>
  <si>
    <t>Calculations</t>
  </si>
  <si>
    <t># of fryers</t>
  </si>
  <si>
    <t>Fryer Size</t>
  </si>
  <si>
    <t>Baseline</t>
  </si>
  <si>
    <t>New</t>
  </si>
  <si>
    <r>
      <t>kW</t>
    </r>
    <r>
      <rPr>
        <b/>
        <vertAlign val="subscript"/>
        <sz val="14"/>
        <color theme="1"/>
        <rFont val="Arial"/>
        <family val="2"/>
        <scheme val="minor"/>
      </rPr>
      <t>summer peak</t>
    </r>
  </si>
  <si>
    <r>
      <t>kW</t>
    </r>
    <r>
      <rPr>
        <b/>
        <vertAlign val="subscript"/>
        <sz val="14"/>
        <color theme="1"/>
        <rFont val="Arial"/>
        <family val="2"/>
        <scheme val="minor"/>
      </rPr>
      <t>winter peak</t>
    </r>
  </si>
  <si>
    <t>Idle Energy kWh</t>
  </si>
  <si>
    <t>Cooking Energy kWh</t>
  </si>
  <si>
    <t>kWh_i</t>
  </si>
  <si>
    <t>ENERGY STAR Commercial Convection Oven</t>
  </si>
  <si>
    <t>User Inputs List - Deemed Savings PA TRM V</t>
  </si>
  <si>
    <t>kW_summer_peak</t>
  </si>
  <si>
    <t>kW_winter_peak</t>
  </si>
  <si>
    <t>Hours</t>
  </si>
  <si>
    <t>Half-Size</t>
  </si>
  <si>
    <t>Full-Size &lt; 5 Pans</t>
  </si>
  <si>
    <t>Full-Size ≥ 5 Pans</t>
  </si>
  <si>
    <t>lbs/day</t>
  </si>
  <si>
    <t>ETDF_s</t>
  </si>
  <si>
    <t>ETDF_w</t>
  </si>
  <si>
    <t>Look- Up Table: Base</t>
  </si>
  <si>
    <t>Look-Up Table: EE</t>
  </si>
  <si>
    <t>Oven Size</t>
  </si>
  <si>
    <t>Base EFF</t>
  </si>
  <si>
    <t>Baseline ElecPC</t>
  </si>
  <si>
    <t>Efficient EFF</t>
  </si>
  <si>
    <t>Efficient PC</t>
  </si>
  <si>
    <t># of ovens</t>
  </si>
  <si>
    <t>Oven size</t>
  </si>
  <si>
    <t xml:space="preserve">Idle Energy kWh </t>
  </si>
  <si>
    <t xml:space="preserve">Cooking Energy kWh </t>
  </si>
  <si>
    <t>kWh_I</t>
  </si>
  <si>
    <t>ENERGY STAR Commercial Combination Oven</t>
  </si>
  <si>
    <t>User Inputs List</t>
  </si>
  <si>
    <t>Number of Pans</t>
  </si>
  <si>
    <t>days/year</t>
  </si>
  <si>
    <t>&lt; 15</t>
  </si>
  <si>
    <t>EFOOD_ConvElec</t>
  </si>
  <si>
    <t>Wh/lb</t>
  </si>
  <si>
    <t>15-28</t>
  </si>
  <si>
    <t>%_Conv</t>
  </si>
  <si>
    <t>%</t>
  </si>
  <si>
    <t>&gt; 28</t>
  </si>
  <si>
    <t>EFOOD_SteamElec</t>
  </si>
  <si>
    <t>W to kW conversion factor</t>
  </si>
  <si>
    <t>ETDF_summer</t>
  </si>
  <si>
    <t>ETDF_winter</t>
  </si>
  <si>
    <t>%_steam</t>
  </si>
  <si>
    <t>Look-Up Table: Base</t>
  </si>
  <si>
    <t>Pan Capacity Range</t>
  </si>
  <si>
    <t>Cooking Mode</t>
  </si>
  <si>
    <t>Efficient ElecPC</t>
  </si>
  <si>
    <t>Convection</t>
  </si>
  <si>
    <t>Steam</t>
  </si>
  <si>
    <t xml:space="preserve">Pan Capacity </t>
  </si>
  <si>
    <t>LB_Elec</t>
  </si>
  <si>
    <t>Quantity</t>
  </si>
  <si>
    <t>kW Summer</t>
  </si>
  <si>
    <t>kW Winter</t>
  </si>
  <si>
    <t>Idle Rate Eligibility Requirement (W)</t>
  </si>
  <si>
    <t>IDLE (ElecIDLE_ConvBase) (W)</t>
  </si>
  <si>
    <t>EFF (ElecEFF_ConvBase)</t>
  </si>
  <si>
    <t>PC (ElecPC_ConvBase)</t>
  </si>
  <si>
    <t>CookingEnergy_ConvElec</t>
  </si>
  <si>
    <t>Idle Rate Eligibility Requirement</t>
  </si>
  <si>
    <t>IDLE (ElecIDLE_SteamBase)</t>
  </si>
  <si>
    <t>EFF (ElecEFF_SteamBase)</t>
  </si>
  <si>
    <t>PC (ElecPC_SteamBase)</t>
  </si>
  <si>
    <t>CookingEnergy_SteamElec</t>
  </si>
  <si>
    <t>IDLE (ElecIDLE_ConvEE)</t>
  </si>
  <si>
    <t>EFF (ElecEFF_ConvEE)</t>
  </si>
  <si>
    <t>PC (ElecPC_ConvEE)</t>
  </si>
  <si>
    <t>IdleEnergy_ConvElec</t>
  </si>
  <si>
    <t>IDLE (ElecIDLE_SteamEE)</t>
  </si>
  <si>
    <t>EFF (ElecEFF_SteamEE)</t>
  </si>
  <si>
    <t>PC (ElecPC_SteamEE)</t>
  </si>
  <si>
    <t>IdleEnergy_SteamElec</t>
  </si>
  <si>
    <t>ENERGY STAR Electric Steam Cookers</t>
  </si>
  <si>
    <t>Table 3-168: Baseline Values for Electric Steam Cookers by Number of Pans</t>
  </si>
  <si>
    <t>Power_idle_base (kW)</t>
  </si>
  <si>
    <t>Term</t>
  </si>
  <si>
    <t>Value</t>
  </si>
  <si>
    <t>Unit</t>
  </si>
  <si>
    <t>lbsFood</t>
  </si>
  <si>
    <t>lbs</t>
  </si>
  <si>
    <t>EnergyToFood</t>
  </si>
  <si>
    <t>kWh/pound</t>
  </si>
  <si>
    <t>Eff_base</t>
  </si>
  <si>
    <t>%HOURS_consteam</t>
  </si>
  <si>
    <t>CAPY_base</t>
  </si>
  <si>
    <t>(lb/hr)/pan</t>
  </si>
  <si>
    <t>CAPY_ee</t>
  </si>
  <si>
    <t>Days/Year</t>
  </si>
  <si>
    <t>Eff_ee</t>
  </si>
  <si>
    <t>Power_idle_base</t>
  </si>
  <si>
    <t>Power_Idle_ee</t>
  </si>
  <si>
    <t>HOURS_op</t>
  </si>
  <si>
    <t>QTY_pans</t>
  </si>
  <si>
    <t>QTY_Steam Cookers</t>
  </si>
  <si>
    <t>Daily kWh_base</t>
  </si>
  <si>
    <t>Daily kWh_ee</t>
  </si>
  <si>
    <t>kWh_cooking</t>
  </si>
  <si>
    <t>kWh_idle</t>
  </si>
  <si>
    <t xml:space="preserve">kW Summer </t>
  </si>
  <si>
    <t>August_31__2012___January_7__2019</t>
  </si>
  <si>
    <t>Beverage &amp; Snack Vending Machine</t>
  </si>
  <si>
    <t>MDEC Values</t>
  </si>
  <si>
    <t>User inputs List</t>
  </si>
  <si>
    <t>Manufactured date</t>
  </si>
  <si>
    <t>Class</t>
  </si>
  <si>
    <t>MDEC Value</t>
  </si>
  <si>
    <t>Manufactured Date</t>
  </si>
  <si>
    <t>Before_August_31__2012</t>
  </si>
  <si>
    <t>On_or_after_January_8__2019</t>
  </si>
  <si>
    <t>Class A</t>
  </si>
  <si>
    <t>W_bulb</t>
  </si>
  <si>
    <t>W</t>
  </si>
  <si>
    <t>Not Eligible</t>
  </si>
  <si>
    <t>Class B</t>
  </si>
  <si>
    <t xml:space="preserve">V_Ref </t>
  </si>
  <si>
    <t>ft^3</t>
  </si>
  <si>
    <t>Combination A</t>
  </si>
  <si>
    <t>HOU_VM</t>
  </si>
  <si>
    <t>Hours/Year</t>
  </si>
  <si>
    <t>Combination B</t>
  </si>
  <si>
    <t xml:space="preserve">HOU_Facility </t>
  </si>
  <si>
    <t>Equipment Type</t>
  </si>
  <si>
    <t>Hours_Sleep</t>
  </si>
  <si>
    <t>Hours/Day</t>
  </si>
  <si>
    <t>Refrigerated Machine</t>
  </si>
  <si>
    <t>Non-refrigerated Machine</t>
  </si>
  <si>
    <t>Existing Machine Type</t>
  </si>
  <si>
    <t>MDEC</t>
  </si>
  <si>
    <t>kWh_Lighting</t>
  </si>
  <si>
    <t>kWh_Ref_BMC</t>
  </si>
  <si>
    <t>kWh Savings</t>
  </si>
  <si>
    <t>kW Savings</t>
  </si>
  <si>
    <t>ENERGY STAR Ice Machines</t>
  </si>
  <si>
    <t xml:space="preserve">EnergyStar website </t>
  </si>
  <si>
    <t>Values</t>
  </si>
  <si>
    <t>Units</t>
  </si>
  <si>
    <t>Existing Ice Machine Production Type</t>
  </si>
  <si>
    <t>Existing Ice Machine Type</t>
  </si>
  <si>
    <t>Efficient Ice Machine Type</t>
  </si>
  <si>
    <t>days</t>
  </si>
  <si>
    <t>Energy Efficient Ice Machine</t>
  </si>
  <si>
    <t>Energy Efficient Unit Ice Harvest Rate</t>
  </si>
  <si>
    <t>Batch Type</t>
  </si>
  <si>
    <t>Ice-Making Head</t>
  </si>
  <si>
    <t>ETDF Summer</t>
  </si>
  <si>
    <t>Continuous Type</t>
  </si>
  <si>
    <t>Remote-Condensing w/out remote compressor</t>
  </si>
  <si>
    <t>ETDF winter</t>
  </si>
  <si>
    <t>Remote-Condensing with remote compressor</t>
  </si>
  <si>
    <t>Self-Contained</t>
  </si>
  <si>
    <t>Baseline Energy Use List</t>
  </si>
  <si>
    <t>floor</t>
  </si>
  <si>
    <t>ceiling</t>
  </si>
  <si>
    <t>Measure</t>
  </si>
  <si>
    <t>Production Type</t>
  </si>
  <si>
    <t>Ice Machine Type</t>
  </si>
  <si>
    <t>Baseline Energy Use kWh 100 lbs ice</t>
  </si>
  <si>
    <t>Base</t>
  </si>
  <si>
    <t>Multiplier</t>
  </si>
  <si>
    <t>Ice Machine-Batch, Ice Make Head, LT 300 lbs/day</t>
  </si>
  <si>
    <t>Batch</t>
  </si>
  <si>
    <t>10.00 - 0.01233 * Ice_Machine_Harvest_Rate_lbs_day__c</t>
  </si>
  <si>
    <t>Ice Machine-Batch, Ice Make Head, GTET 300 lbs/day and LT 800 lbs/day</t>
  </si>
  <si>
    <t>7.05 - 0.00250 * Ice_Machine_Harvest_Rate_lbs_day__c</t>
  </si>
  <si>
    <t>Ice Machine-Batch, Ice Make Head, GTET 800 lbs/day and LT 1500 lbs/day</t>
  </si>
  <si>
    <t>5.55 - 0.00063 * Ice_Machine_Harvest_Rate_lbs_day__c</t>
  </si>
  <si>
    <t>Ice Machine-Batch, Ice Make Head, GTET 1500 lbs/day and LT 4000 lbs/day</t>
  </si>
  <si>
    <t>Ice Machine-Batch,Remote Condensing without Remote Compressor,LT 988 lbs/day</t>
  </si>
  <si>
    <t>7.97 - 0.00342 * Ice_Machine_Harvest_Rate_lbs_day__c</t>
  </si>
  <si>
    <t>Ice Machine-Batch,Remote Cond.,w/o Remote Comp.,GTET 988 lbs/day LT 4000 lbs/day</t>
  </si>
  <si>
    <t>Existing Ice Harvest Rate</t>
  </si>
  <si>
    <t>Efficient Production Type</t>
  </si>
  <si>
    <t>Ice Machine-Batch,Remote Condensing with Remote Compressor,LT 942 lbs/day</t>
  </si>
  <si>
    <t>Ice Machine-Batch,Remote Cond.,Remote Comp.,GTET 942 lbs/day LT 4000 lbs/day</t>
  </si>
  <si>
    <t>Ice Machine-Batch, Self-Contained, LT 110 lbs/day</t>
  </si>
  <si>
    <t>14.79 - 0.04690 * Ice_Machine_Harvest_Rate_lbs_day__c</t>
  </si>
  <si>
    <t>Ice Machine-Batch, Self-Contained, GTET 110 lbs/day and LT 200 lbs/day</t>
  </si>
  <si>
    <t>12.42 - 0.02533 * Ice_Machine_Harvest_Rate_lbs_day__c</t>
  </si>
  <si>
    <t>Ice Machine-Batch, Self-Contained, GTET 200 lbs/day and LT 4000 lbs/day</t>
  </si>
  <si>
    <t>Ice Machine-Cont., Ice Make Head, LT 310 lbs/day</t>
  </si>
  <si>
    <t>9.19 - 0.00629 * Ice_Machine_Harvest_Rate_lbs_day__c</t>
  </si>
  <si>
    <t>Ice Machine-Cont.,Ice Make Head,GTET 310 lbs/day and LT 820 lbs/day</t>
  </si>
  <si>
    <t>8.23 - 0.00320 * Ice_Machine_Harvest_Rate_lbs_day__c</t>
  </si>
  <si>
    <t>Ice Machine-Cont.,Ice Make Head,GTET 820 lbs/day and LT 4000 lbs/day</t>
  </si>
  <si>
    <t>Ice Machine-Cont.,Remote Cond. with Remote Comp.,LT 800 lbs/day</t>
  </si>
  <si>
    <t>9.90 - 0.00580 * Ice_Machine_Harvest_Rate_lbs_day__c</t>
  </si>
  <si>
    <t>Ice Machine-Cont.,Remote Cond.,Remote Comp.,GTET 800 lbs/day LT 4000 lbs/day</t>
  </si>
  <si>
    <t>Ice Machine-Cont., Self-Contained, LT 200 lbs/day</t>
  </si>
  <si>
    <t>14.22 - 0.03000 * Ice_Machine_Harvest_Rate_lbs_day__c</t>
  </si>
  <si>
    <t>Ice Machine-Cont.,Self-Contained,GTET 200 lbs/day and LT 700 lbs/day</t>
  </si>
  <si>
    <t>9.47 - 0.00624 * Ice_Machine_Harvest_Rate_lbs_day__c</t>
  </si>
  <si>
    <t>Ice Machine-Cont.,Self-Contained,GTET 700 lbs/day and LT 4000 lbs/day</t>
  </si>
  <si>
    <t>Efficient Energy Use List</t>
  </si>
  <si>
    <t>Efficient Energy Use kWh 100 lbs ice</t>
  </si>
  <si>
    <t>9.20 - 0.01134 * Ice_Machine_Harvest_Rate_lbs_day__c</t>
  </si>
  <si>
    <t>6.49 - 0.0023 * Ice_Machine_Harvest_Rate_lbs_day__c</t>
  </si>
  <si>
    <t>5.11 - 0.00058 * Ice_Machine_Harvest_Rate_lbs_day__c</t>
  </si>
  <si>
    <t>7.17 - 0.00308 * Ice_Machine_Harvest_Rate_lbs_day__c</t>
  </si>
  <si>
    <t>Ice Machine-Batch,Remote Condensing with Remote Compressor,LT 988 lbs/day</t>
  </si>
  <si>
    <t>Ice Machine-Batch,Remote Cond.,Remote Comp.,GTET 988 lbs/day LT 4000 lbs/day</t>
  </si>
  <si>
    <t>12.57 - 0.0399 * Ice_Machine_Harvest_Rate_lbs_day__c</t>
  </si>
  <si>
    <t>10.56 - 0.0215 * Ice_Machine_Harvest_Rate_lbs_day__c</t>
  </si>
  <si>
    <t>7.90 - 0.005409 * Ice_Machine_Harvest_Rate_lbs_day__c</t>
  </si>
  <si>
    <t>7.08 - 0.002752 * Ice_Machine_Harvest_Rate_lbs_day__c</t>
  </si>
  <si>
    <t>Ice Machine-Batch,Remote Condensing without Remote Compressor,LT 800 lbs/day</t>
  </si>
  <si>
    <t>7.76 - 0.00464 * Ice_Machine_Harvest_Rate_lbs_day__c</t>
  </si>
  <si>
    <t>Ice Machine-Batch,Remote Cond.,w/o Remote Comp.,GTET 800 lbs/day LT 4000 lbs/day</t>
  </si>
  <si>
    <t>Ice Machine-Batch,Remote Condensing with Remote Compressor,LT 800 lbs/day</t>
  </si>
  <si>
    <t>Ice Machine-Batch,Remote Cond.,Remote Comp.,GTET 800 lbs/day LT 4000 lbs/day</t>
  </si>
  <si>
    <t>12.37 - 0.0261 * Ice_Machine_Harvest_Rate_lbs_day__c</t>
  </si>
  <si>
    <t>8.24 - 0.005492 * Ice_Machine_Harvest_Rate_lbs_day__c</t>
  </si>
  <si>
    <t>Look-Up Table 1</t>
  </si>
  <si>
    <t>Lower Limit Ice Harvest Rate</t>
  </si>
  <si>
    <t>Upper Limit Ice Harvest Rate</t>
  </si>
  <si>
    <t>Baseline Energy Use per 100 lbs. of Ice</t>
  </si>
  <si>
    <t>kWh base a</t>
  </si>
  <si>
    <t>kWh base b</t>
  </si>
  <si>
    <t>kWhBase 1</t>
  </si>
  <si>
    <t>kWhBase 2</t>
  </si>
  <si>
    <t>kWhBase 3</t>
  </si>
  <si>
    <t>kWhBase 4</t>
  </si>
  <si>
    <t>kWhBase 5</t>
  </si>
  <si>
    <t>kWhBase 6</t>
  </si>
  <si>
    <t>&gt; 50 and &lt; 300</t>
  </si>
  <si>
    <t>10 - 0.01233</t>
  </si>
  <si>
    <t>≥ 300 and &lt; 800</t>
  </si>
  <si>
    <t>7.05 - 0.0025</t>
  </si>
  <si>
    <t>≥ 800 and &lt; 1,500</t>
  </si>
  <si>
    <t>5.55 - 0.00063</t>
  </si>
  <si>
    <t>≥ 1,500 and &lt; 4,000</t>
  </si>
  <si>
    <t>≥ 50 and &lt; 988</t>
  </si>
  <si>
    <t>7.97 - 0.00342</t>
  </si>
  <si>
    <t>≥ 988 and &lt; 4,000</t>
  </si>
  <si>
    <t>&gt; 50 and &lt; 930</t>
  </si>
  <si>
    <t>≥ 930 and &lt; 4,000</t>
  </si>
  <si>
    <t>&gt; 50 and &lt; 110</t>
  </si>
  <si>
    <t>14.79 - 0.0469</t>
  </si>
  <si>
    <t>≥ 110 and &lt; 200</t>
  </si>
  <si>
    <t>12.42 - 0.02533</t>
  </si>
  <si>
    <t>≥ 200 and &lt; 4,000</t>
  </si>
  <si>
    <t>&gt; 50 and &lt; 310</t>
  </si>
  <si>
    <t>9.19 - 0.00629</t>
  </si>
  <si>
    <t>≥ 310 and &lt; 820</t>
  </si>
  <si>
    <t>8.23 - 0.0032</t>
  </si>
  <si>
    <t>≥ 820 and &lt; 4,000</t>
  </si>
  <si>
    <t>&gt; 50 and &lt; 800</t>
  </si>
  <si>
    <t>9.7 - 0.0058</t>
  </si>
  <si>
    <t>≥ 800 and &lt; 4,000</t>
  </si>
  <si>
    <t>9.9 - 0.0058</t>
  </si>
  <si>
    <t>&gt; 50 and &lt; 200</t>
  </si>
  <si>
    <t>14.22 - 0.03</t>
  </si>
  <si>
    <t>≥ 200 and &lt; 700</t>
  </si>
  <si>
    <t>9.47 - 0.00624</t>
  </si>
  <si>
    <t>≥ 700 and &lt; 4,000</t>
  </si>
  <si>
    <t>Efficient Unit</t>
  </si>
  <si>
    <t>kWh ee a</t>
  </si>
  <si>
    <t>kWh ee b</t>
  </si>
  <si>
    <t>kWh ee 1</t>
  </si>
  <si>
    <t>kWh ee 2</t>
  </si>
  <si>
    <t>kWh ee 3</t>
  </si>
  <si>
    <t>kWh ee 4</t>
  </si>
  <si>
    <t>kWh ee 5</t>
  </si>
  <si>
    <t>kWh ee 6</t>
  </si>
  <si>
    <t>&lt; 300</t>
  </si>
  <si>
    <t>9.20 – 0.01134</t>
  </si>
  <si>
    <r>
      <t xml:space="preserve">≥ 300 and </t>
    </r>
    <r>
      <rPr>
        <sz val="11"/>
        <color theme="1"/>
        <rFont val="Aptos Narrow"/>
        <family val="2"/>
      </rPr>
      <t>≤</t>
    </r>
    <r>
      <rPr>
        <sz val="11"/>
        <color theme="1"/>
        <rFont val="Arial"/>
        <family val="2"/>
        <scheme val="minor"/>
      </rPr>
      <t xml:space="preserve"> 800</t>
    </r>
  </si>
  <si>
    <t>6.49 – 0.0023</t>
  </si>
  <si>
    <t>≥ 800 and ≤ 1,500</t>
  </si>
  <si>
    <t>5.11 – 0.00058</t>
  </si>
  <si>
    <t>≥ 1,500 and ≤ 4,000</t>
  </si>
  <si>
    <t>&lt; 988</t>
  </si>
  <si>
    <t>7.17 – 0.00308</t>
  </si>
  <si>
    <t>≥ 988 and ≤ 4,000</t>
  </si>
  <si>
    <t>&lt; 110</t>
  </si>
  <si>
    <t>12.57 – 0.0399</t>
  </si>
  <si>
    <t>≥ 110 and ≤ 200</t>
  </si>
  <si>
    <t>10.56 – 0.0215</t>
  </si>
  <si>
    <t>≥ 200 and ≤ 4,000</t>
  </si>
  <si>
    <t>&lt; 310</t>
  </si>
  <si>
    <t>7.90 – 0.005409</t>
  </si>
  <si>
    <t>≥ 310 and ≤ 820</t>
  </si>
  <si>
    <t>7.08 – 0.002752</t>
  </si>
  <si>
    <t>≥ 820 and ≤ 4,000</t>
  </si>
  <si>
    <t>&lt; 800</t>
  </si>
  <si>
    <t>7.76 – 0.00464</t>
  </si>
  <si>
    <t>≥ 800 and ≤ 4,000</t>
  </si>
  <si>
    <t>&lt; 200</t>
  </si>
  <si>
    <t>12.37 – 0.0261</t>
  </si>
  <si>
    <t>≥ 200 and ≤ 700</t>
  </si>
  <si>
    <t>8.24 – 0.005492</t>
  </si>
  <si>
    <t>≥ 700 and ≤ 4,000</t>
  </si>
  <si>
    <t>Duty Cycle</t>
  </si>
  <si>
    <t>kWh base</t>
  </si>
  <si>
    <t>kWh ee</t>
  </si>
  <si>
    <t>Mid Atlantic v7 pg440</t>
  </si>
  <si>
    <t>hrs/day</t>
  </si>
  <si>
    <t>W to kW Conversion</t>
  </si>
  <si>
    <t>kW/W</t>
  </si>
  <si>
    <t>Default Baseline and Efficient Value Equations</t>
  </si>
  <si>
    <t>Default Savings</t>
  </si>
  <si>
    <t>Internal Volume (min)</t>
  </si>
  <si>
    <r>
      <t>IDLE</t>
    </r>
    <r>
      <rPr>
        <b/>
        <vertAlign val="subscript"/>
        <sz val="11"/>
        <color theme="1"/>
        <rFont val="Arial"/>
        <family val="2"/>
        <scheme val="minor"/>
      </rPr>
      <t>base</t>
    </r>
    <r>
      <rPr>
        <b/>
        <sz val="11"/>
        <color theme="1"/>
        <rFont val="Arial"/>
        <family val="2"/>
        <scheme val="minor"/>
      </rPr>
      <t xml:space="preserve"> min</t>
    </r>
  </si>
  <si>
    <r>
      <t>IDLE</t>
    </r>
    <r>
      <rPr>
        <b/>
        <vertAlign val="subscript"/>
        <sz val="11"/>
        <color theme="1"/>
        <rFont val="Arial"/>
        <family val="2"/>
        <scheme val="minor"/>
      </rPr>
      <t>ee</t>
    </r>
    <r>
      <rPr>
        <b/>
        <sz val="11"/>
        <color theme="1"/>
        <rFont val="Arial"/>
        <family val="2"/>
        <scheme val="minor"/>
      </rPr>
      <t>min</t>
    </r>
  </si>
  <si>
    <r>
      <rPr>
        <b/>
        <sz val="11"/>
        <color theme="1"/>
        <rFont val="Aptos Narrow"/>
        <family val="2"/>
      </rPr>
      <t>Δ</t>
    </r>
    <r>
      <rPr>
        <b/>
        <sz val="9.9"/>
        <color theme="1"/>
        <rFont val="Arial"/>
        <family val="2"/>
      </rPr>
      <t>kWh min</t>
    </r>
  </si>
  <si>
    <r>
      <rPr>
        <b/>
        <sz val="11"/>
        <color theme="1"/>
        <rFont val="Aptos Narrow"/>
        <family val="2"/>
      </rPr>
      <t>Δ</t>
    </r>
    <r>
      <rPr>
        <b/>
        <sz val="9.9"/>
        <color theme="1"/>
        <rFont val="Arial"/>
        <family val="2"/>
      </rPr>
      <t>kW</t>
    </r>
    <r>
      <rPr>
        <b/>
        <vertAlign val="subscript"/>
        <sz val="9.9"/>
        <color theme="1"/>
        <rFont val="Arial"/>
        <family val="2"/>
      </rPr>
      <t>summer peak</t>
    </r>
  </si>
  <si>
    <r>
      <rPr>
        <b/>
        <sz val="11"/>
        <color theme="1"/>
        <rFont val="Aptos Narrow"/>
        <family val="2"/>
      </rPr>
      <t>Δ</t>
    </r>
    <r>
      <rPr>
        <b/>
        <sz val="9.9"/>
        <color theme="1"/>
        <rFont val="Arial"/>
        <family val="2"/>
      </rPr>
      <t>kW</t>
    </r>
    <r>
      <rPr>
        <b/>
        <vertAlign val="subscript"/>
        <sz val="9.9"/>
        <color theme="1"/>
        <rFont val="Arial"/>
        <family val="2"/>
      </rPr>
      <t>winter peak</t>
    </r>
  </si>
  <si>
    <t>Internal Volume (max)</t>
  </si>
  <si>
    <r>
      <t>IDLE</t>
    </r>
    <r>
      <rPr>
        <b/>
        <vertAlign val="subscript"/>
        <sz val="11"/>
        <color theme="1"/>
        <rFont val="Arial"/>
        <family val="2"/>
        <scheme val="minor"/>
      </rPr>
      <t>base</t>
    </r>
    <r>
      <rPr>
        <b/>
        <sz val="11"/>
        <color theme="1"/>
        <rFont val="Arial"/>
        <family val="2"/>
        <scheme val="minor"/>
      </rPr>
      <t xml:space="preserve"> max</t>
    </r>
  </si>
  <si>
    <r>
      <t>IDLE</t>
    </r>
    <r>
      <rPr>
        <b/>
        <vertAlign val="subscript"/>
        <sz val="11"/>
        <color theme="1"/>
        <rFont val="Arial"/>
        <family val="2"/>
        <scheme val="minor"/>
      </rPr>
      <t>ee</t>
    </r>
    <r>
      <rPr>
        <b/>
        <sz val="11"/>
        <color theme="1"/>
        <rFont val="Arial"/>
        <family val="2"/>
        <scheme val="minor"/>
      </rPr>
      <t>max</t>
    </r>
  </si>
  <si>
    <r>
      <rPr>
        <b/>
        <sz val="11"/>
        <color theme="1"/>
        <rFont val="Aptos Narrow"/>
        <family val="2"/>
      </rPr>
      <t>Δ</t>
    </r>
    <r>
      <rPr>
        <b/>
        <sz val="9.9"/>
        <color theme="1"/>
        <rFont val="Arial"/>
        <family val="2"/>
      </rPr>
      <t>kWh max</t>
    </r>
  </si>
  <si>
    <t>Internal Volume</t>
  </si>
  <si>
    <t>Actual Volume</t>
  </si>
  <si>
    <t>volume</t>
  </si>
  <si>
    <t>IDLEbase</t>
  </si>
  <si>
    <t>IDLEeff</t>
  </si>
  <si>
    <t>kWsummer peak</t>
  </si>
  <si>
    <t>kWwinter peak</t>
  </si>
  <si>
    <r>
      <rPr>
        <b/>
        <sz val="14"/>
        <color theme="1"/>
        <rFont val="Arial"/>
        <family val="2"/>
        <scheme val="minor"/>
      </rPr>
      <t>Office Equipment</t>
    </r>
    <r>
      <rPr>
        <b/>
        <sz val="16"/>
        <color theme="1"/>
        <rFont val="Arial"/>
        <family val="2"/>
        <scheme val="minor"/>
      </rPr>
      <t xml:space="preserve"> </t>
    </r>
  </si>
  <si>
    <t>Table 3-148: Energy Star Office Equipment Energy and Demand Savings Values (2021 TRM)</t>
  </si>
  <si>
    <t>Energy Savings (deemed) (kWh)</t>
  </si>
  <si>
    <t>Demand Savings (deemed)                                 (kW)</t>
  </si>
  <si>
    <t>Desktop Computer</t>
  </si>
  <si>
    <t>Computer</t>
  </si>
  <si>
    <t>Laptop Computer</t>
  </si>
  <si>
    <t>Laptop</t>
  </si>
  <si>
    <t>Fax Machine (laser)</t>
  </si>
  <si>
    <t>Fax</t>
  </si>
  <si>
    <t>Copier 1-25      images/min</t>
  </si>
  <si>
    <t>Copy</t>
  </si>
  <si>
    <t>Copier 26-50    images/min</t>
  </si>
  <si>
    <t>Copier 51+       images/min</t>
  </si>
  <si>
    <t>Copier 1-10      images/min</t>
  </si>
  <si>
    <t>Printer 11-20    images/min</t>
  </si>
  <si>
    <t>Print</t>
  </si>
  <si>
    <t>Printer 21-30    images/min</t>
  </si>
  <si>
    <t>Printer 31-40    images/min</t>
  </si>
  <si>
    <t>Printer 41-50    images/min</t>
  </si>
  <si>
    <t>Printer 51+       images/min</t>
  </si>
  <si>
    <t>Multifunction 1-10      images/min</t>
  </si>
  <si>
    <t>Multifnctn</t>
  </si>
  <si>
    <t>Multifunction 11-20    images/min</t>
  </si>
  <si>
    <t>Multifunction 21-44    images/min</t>
  </si>
  <si>
    <t>Multifunction 45-99    images/min</t>
  </si>
  <si>
    <t>Multifunction 100+     images/min</t>
  </si>
  <si>
    <t>Monitor Less than 12 inches</t>
  </si>
  <si>
    <t>Monitor</t>
  </si>
  <si>
    <t>Monitor 12.0 – 16.9 inches</t>
  </si>
  <si>
    <t>Monitor 17.0 – 22.9 inches</t>
  </si>
  <si>
    <t>Monitor 23.0 – 24.9 inches</t>
  </si>
  <si>
    <t>Monitor 25.0 – 60.9 inches</t>
  </si>
  <si>
    <t>Desktop Phone</t>
  </si>
  <si>
    <t>Conference Phone</t>
  </si>
  <si>
    <t xml:space="preserve">Measure </t>
  </si>
  <si>
    <t xml:space="preserve">Energy Savings </t>
  </si>
  <si>
    <t xml:space="preserve">Peak Demand </t>
  </si>
  <si>
    <t>Network PC Plug Load Power Management Software</t>
  </si>
  <si>
    <t>Workstation – Desktop Computer with Monitor</t>
  </si>
  <si>
    <t>Workstation – Laptop Computer with Monitor1</t>
  </si>
  <si>
    <t>Energy Star Commercial Clothes Washer</t>
  </si>
  <si>
    <t>Default Savings Lookup Table</t>
  </si>
  <si>
    <t>Fuel Source</t>
  </si>
  <si>
    <t>Lookup</t>
  </si>
  <si>
    <t>Energy Savings kWh</t>
  </si>
  <si>
    <t>Summer Peak Demand Savings (kW)</t>
  </si>
  <si>
    <t>Winter Peak Demand Savings (kW)</t>
  </si>
  <si>
    <t>Electric Hot Water Heater, Electric Dryer</t>
  </si>
  <si>
    <t>Electric Hot Water Heater, Gas Dryer</t>
  </si>
  <si>
    <t>Gas Hot Water Heater, Electric Dryer</t>
  </si>
  <si>
    <t>Gas Hot Water Heater, Gas Dryer</t>
  </si>
  <si>
    <t>Default (49% Electric WH 57% Electric Dryer)</t>
  </si>
  <si>
    <t>Fuel Type</t>
  </si>
  <si>
    <t xml:space="preserve">Area Description/Location </t>
  </si>
  <si>
    <t>Input</t>
  </si>
  <si>
    <t>Fuel Config</t>
  </si>
  <si>
    <t>Electric</t>
  </si>
  <si>
    <t>Multifamily</t>
  </si>
  <si>
    <t>Gas</t>
  </si>
  <si>
    <t>Laundromat</t>
  </si>
  <si>
    <t>Energy Star Commercial Dishwasher</t>
  </si>
  <si>
    <r>
      <rPr>
        <sz val="11"/>
        <color theme="1"/>
        <rFont val="Aptos Narrow"/>
        <family val="2"/>
      </rPr>
      <t>∆T</t>
    </r>
    <r>
      <rPr>
        <vertAlign val="subscript"/>
        <sz val="11"/>
        <color theme="1"/>
        <rFont val="Aptos Narrow"/>
        <family val="2"/>
      </rPr>
      <t>in</t>
    </r>
  </si>
  <si>
    <t>Building WH</t>
  </si>
  <si>
    <t>Booster WH</t>
  </si>
  <si>
    <t>RE</t>
  </si>
  <si>
    <t>Density of water</t>
  </si>
  <si>
    <t>lb/gal</t>
  </si>
  <si>
    <t>specific heat of water</t>
  </si>
  <si>
    <t>btu/(lb * F)</t>
  </si>
  <si>
    <t>kWh to Btu</t>
  </si>
  <si>
    <t>Btu/kWh</t>
  </si>
  <si>
    <t>hours to mins</t>
  </si>
  <si>
    <t>mins/hr</t>
  </si>
  <si>
    <t>Default Inputs</t>
  </si>
  <si>
    <t>Machine Type Temperature</t>
  </si>
  <si>
    <t>Machine Type</t>
  </si>
  <si>
    <r>
      <t>WU</t>
    </r>
    <r>
      <rPr>
        <vertAlign val="subscript"/>
        <sz val="11"/>
        <color theme="1"/>
        <rFont val="Arial"/>
        <family val="2"/>
        <scheme val="minor"/>
      </rPr>
      <t>base</t>
    </r>
  </si>
  <si>
    <r>
      <t>WU</t>
    </r>
    <r>
      <rPr>
        <vertAlign val="subscript"/>
        <sz val="11"/>
        <color theme="1"/>
        <rFont val="Arial"/>
        <family val="2"/>
        <scheme val="minor"/>
      </rPr>
      <t>ee</t>
    </r>
  </si>
  <si>
    <t>RW</t>
  </si>
  <si>
    <t>WT</t>
  </si>
  <si>
    <r>
      <t>KW</t>
    </r>
    <r>
      <rPr>
        <vertAlign val="subscript"/>
        <sz val="11"/>
        <color theme="1"/>
        <rFont val="Arial"/>
        <family val="2"/>
        <scheme val="minor"/>
      </rPr>
      <t>base</t>
    </r>
  </si>
  <si>
    <r>
      <t>KW</t>
    </r>
    <r>
      <rPr>
        <vertAlign val="subscript"/>
        <sz val="11"/>
        <color theme="1"/>
        <rFont val="Arial"/>
        <family val="2"/>
        <scheme val="minor"/>
      </rPr>
      <t>ee</t>
    </r>
  </si>
  <si>
    <t>Under Counter</t>
  </si>
  <si>
    <t>Stationary Single Tank Door</t>
  </si>
  <si>
    <t>Single Tank Conveyor</t>
  </si>
  <si>
    <t>Multi Tank Conveyor</t>
  </si>
  <si>
    <t xml:space="preserve"> </t>
  </si>
  <si>
    <t>Look-Up Table: Temperature</t>
  </si>
  <si>
    <t>Temp</t>
  </si>
  <si>
    <t>Pot, Pan, and Utensil</t>
  </si>
  <si>
    <t>Low Temperature</t>
  </si>
  <si>
    <t>High Temperature</t>
  </si>
  <si>
    <t xml:space="preserve">kWh water heater </t>
  </si>
  <si>
    <t>kWh booster heater</t>
  </si>
  <si>
    <t>kWh idle</t>
  </si>
  <si>
    <t>Total kWh</t>
  </si>
  <si>
    <r>
      <t>kW</t>
    </r>
    <r>
      <rPr>
        <b/>
        <vertAlign val="subscript"/>
        <sz val="12"/>
        <color theme="1"/>
        <rFont val="Arial"/>
        <family val="2"/>
        <scheme val="minor"/>
      </rPr>
      <t>summer peak</t>
    </r>
  </si>
  <si>
    <r>
      <t>kW</t>
    </r>
    <r>
      <rPr>
        <b/>
        <vertAlign val="subscript"/>
        <sz val="12"/>
        <color theme="1"/>
        <rFont val="Arial"/>
        <family val="2"/>
        <scheme val="minor"/>
      </rPr>
      <t>winter peak</t>
    </r>
  </si>
  <si>
    <r>
      <t>kWh</t>
    </r>
    <r>
      <rPr>
        <vertAlign val="subscript"/>
        <sz val="11"/>
        <color theme="1"/>
        <rFont val="Arial"/>
        <family val="2"/>
        <scheme val="minor"/>
      </rPr>
      <t>waterheater</t>
    </r>
  </si>
  <si>
    <r>
      <t>kWh</t>
    </r>
    <r>
      <rPr>
        <b/>
        <vertAlign val="subscript"/>
        <sz val="11"/>
        <color theme="1"/>
        <rFont val="Arial"/>
        <family val="2"/>
        <scheme val="minor"/>
      </rPr>
      <t>boosterheater</t>
    </r>
  </si>
  <si>
    <r>
      <t>kWh</t>
    </r>
    <r>
      <rPr>
        <b/>
        <vertAlign val="subscript"/>
        <sz val="11"/>
        <color theme="1"/>
        <rFont val="Arial"/>
        <family val="2"/>
        <scheme val="minor"/>
      </rPr>
      <t>idle</t>
    </r>
  </si>
  <si>
    <r>
      <t>kW</t>
    </r>
    <r>
      <rPr>
        <b/>
        <vertAlign val="subscript"/>
        <sz val="11"/>
        <color theme="1"/>
        <rFont val="Arial"/>
        <family val="2"/>
        <scheme val="minor"/>
      </rPr>
      <t>summer peak</t>
    </r>
  </si>
  <si>
    <r>
      <t>kW</t>
    </r>
    <r>
      <rPr>
        <b/>
        <vertAlign val="subscript"/>
        <sz val="11"/>
        <color theme="1"/>
        <rFont val="Arial"/>
        <family val="2"/>
        <scheme val="minor"/>
      </rPr>
      <t>winter peak</t>
    </r>
  </si>
  <si>
    <t>Commerical Induction Cooktop</t>
  </si>
  <si>
    <t>Default Values</t>
  </si>
  <si>
    <t>kWh/burner</t>
  </si>
  <si>
    <t>lbs/day/burner</t>
  </si>
  <si>
    <r>
      <t>kW</t>
    </r>
    <r>
      <rPr>
        <vertAlign val="subscript"/>
        <sz val="11"/>
        <color theme="1"/>
        <rFont val="Arial"/>
        <family val="2"/>
        <scheme val="minor"/>
      </rPr>
      <t>summer</t>
    </r>
  </si>
  <si>
    <t>kW_summer/burner</t>
  </si>
  <si>
    <t>kWh/pounds</t>
  </si>
  <si>
    <r>
      <t>kW</t>
    </r>
    <r>
      <rPr>
        <vertAlign val="subscript"/>
        <sz val="11"/>
        <color theme="1"/>
        <rFont val="Arial"/>
        <family val="2"/>
        <scheme val="minor"/>
      </rPr>
      <t>winter</t>
    </r>
  </si>
  <si>
    <t>kW_winter/burner</t>
  </si>
  <si>
    <r>
      <t>ETDF</t>
    </r>
    <r>
      <rPr>
        <vertAlign val="subscript"/>
        <sz val="11"/>
        <color theme="1"/>
        <rFont val="Arial"/>
        <family val="2"/>
        <scheme val="minor"/>
      </rPr>
      <t>summer</t>
    </r>
  </si>
  <si>
    <r>
      <t>Eff</t>
    </r>
    <r>
      <rPr>
        <vertAlign val="subscript"/>
        <sz val="11"/>
        <color theme="1"/>
        <rFont val="Arial"/>
        <family val="2"/>
        <scheme val="minor"/>
      </rPr>
      <t>ee</t>
    </r>
  </si>
  <si>
    <r>
      <t>ETDF</t>
    </r>
    <r>
      <rPr>
        <vertAlign val="subscript"/>
        <sz val="11"/>
        <color theme="1"/>
        <rFont val="Arial"/>
        <family val="2"/>
        <scheme val="minor"/>
      </rPr>
      <t>winter</t>
    </r>
  </si>
  <si>
    <r>
      <t>Eff</t>
    </r>
    <r>
      <rPr>
        <vertAlign val="subscript"/>
        <sz val="11"/>
        <color theme="1"/>
        <rFont val="Arial"/>
        <family val="2"/>
        <scheme val="minor"/>
      </rPr>
      <t>base</t>
    </r>
  </si>
  <si>
    <t>%elec</t>
  </si>
  <si>
    <t># of burners</t>
  </si>
  <si>
    <t>kWsummer</t>
  </si>
  <si>
    <t>kWwinter</t>
  </si>
  <si>
    <t xml:space="preserve">Energy Star Bath Fans </t>
  </si>
  <si>
    <t>CFM</t>
  </si>
  <si>
    <t>HOU (Annual Hours of Use)</t>
  </si>
  <si>
    <t>ŋ_ee (Energy Star Fan Efficiency)</t>
  </si>
  <si>
    <t>ŋ_base</t>
  </si>
  <si>
    <t>CFM/W</t>
  </si>
  <si>
    <t>W to kW converstion factor</t>
  </si>
  <si>
    <t>Griddle Type</t>
  </si>
  <si>
    <r>
      <t>PC</t>
    </r>
    <r>
      <rPr>
        <vertAlign val="subscript"/>
        <sz val="11"/>
        <color theme="1"/>
        <rFont val="Arial"/>
        <family val="2"/>
        <scheme val="minor"/>
      </rPr>
      <t>base</t>
    </r>
  </si>
  <si>
    <r>
      <t>PC</t>
    </r>
    <r>
      <rPr>
        <vertAlign val="subscript"/>
        <sz val="11"/>
        <color theme="1"/>
        <rFont val="Arial"/>
        <family val="2"/>
        <scheme val="minor"/>
      </rPr>
      <t>ee</t>
    </r>
  </si>
  <si>
    <t>Lbf</t>
  </si>
  <si>
    <t>Single Sided</t>
  </si>
  <si>
    <t>Double Sided</t>
  </si>
  <si>
    <r>
      <t>I</t>
    </r>
    <r>
      <rPr>
        <vertAlign val="subscript"/>
        <sz val="11"/>
        <color theme="1"/>
        <rFont val="Arial"/>
        <family val="2"/>
        <scheme val="minor"/>
      </rPr>
      <t>base</t>
    </r>
  </si>
  <si>
    <t>w/ft2</t>
  </si>
  <si>
    <r>
      <t>I</t>
    </r>
    <r>
      <rPr>
        <vertAlign val="subscript"/>
        <sz val="11"/>
        <color theme="1"/>
        <rFont val="Arial"/>
        <family val="2"/>
        <scheme val="minor"/>
      </rPr>
      <t>ee</t>
    </r>
  </si>
  <si>
    <t>ft2</t>
  </si>
  <si>
    <t>OH</t>
  </si>
  <si>
    <t>hours/day</t>
  </si>
  <si>
    <t>PHN</t>
  </si>
  <si>
    <t>Preheats/Day</t>
  </si>
  <si>
    <t>PHT</t>
  </si>
  <si>
    <t>minutes/Preheat</t>
  </si>
  <si>
    <r>
      <t>PHE</t>
    </r>
    <r>
      <rPr>
        <vertAlign val="subscript"/>
        <sz val="11"/>
        <color theme="1"/>
        <rFont val="Arial"/>
        <family val="2"/>
        <scheme val="minor"/>
      </rPr>
      <t>base</t>
    </r>
  </si>
  <si>
    <t>Wh/Preheat</t>
  </si>
  <si>
    <t>User Input List - Default Savings</t>
  </si>
  <si>
    <r>
      <t>PHE</t>
    </r>
    <r>
      <rPr>
        <vertAlign val="subscript"/>
        <sz val="11"/>
        <color theme="1"/>
        <rFont val="Arial"/>
        <family val="2"/>
        <scheme val="minor"/>
      </rPr>
      <t>ee</t>
    </r>
  </si>
  <si>
    <r>
      <t>∆</t>
    </r>
    <r>
      <rPr>
        <b/>
        <sz val="9"/>
        <color rgb="FF000000"/>
        <rFont val="Arial"/>
        <family val="2"/>
      </rPr>
      <t>Wh</t>
    </r>
    <r>
      <rPr>
        <b/>
        <vertAlign val="subscript"/>
        <sz val="9"/>
        <color rgb="FF000000"/>
        <rFont val="Arial"/>
        <family val="2"/>
      </rPr>
      <t>Cooking</t>
    </r>
  </si>
  <si>
    <r>
      <t>∆Wh</t>
    </r>
    <r>
      <rPr>
        <b/>
        <vertAlign val="subscript"/>
        <sz val="9"/>
        <color rgb="FF000000"/>
        <rFont val="Arial"/>
        <family val="2"/>
      </rPr>
      <t>Idle</t>
    </r>
  </si>
  <si>
    <r>
      <t>∆Wh</t>
    </r>
    <r>
      <rPr>
        <b/>
        <vertAlign val="subscript"/>
        <sz val="9"/>
        <color rgb="FF000000"/>
        <rFont val="Arial"/>
        <family val="2"/>
      </rPr>
      <t>PreHeat</t>
    </r>
  </si>
  <si>
    <t>Energy Savings (kWh)</t>
  </si>
  <si>
    <r>
      <t>kW</t>
    </r>
    <r>
      <rPr>
        <vertAlign val="subscript"/>
        <sz val="11"/>
        <color theme="1"/>
        <rFont val="Arial"/>
        <family val="2"/>
        <scheme val="minor"/>
      </rPr>
      <t>summer peak</t>
    </r>
  </si>
  <si>
    <r>
      <t>kW</t>
    </r>
    <r>
      <rPr>
        <vertAlign val="subscript"/>
        <sz val="11"/>
        <color theme="1"/>
        <rFont val="Arial"/>
        <family val="2"/>
        <scheme val="minor"/>
      </rPr>
      <t>winter peak</t>
    </r>
  </si>
  <si>
    <r>
      <t>Eff</t>
    </r>
    <r>
      <rPr>
        <vertAlign val="subscript"/>
        <sz val="11"/>
        <color rgb="FF7030A0"/>
        <rFont val="Arial"/>
        <family val="2"/>
        <scheme val="minor"/>
      </rPr>
      <t>base</t>
    </r>
  </si>
  <si>
    <r>
      <t>Eff</t>
    </r>
    <r>
      <rPr>
        <vertAlign val="subscript"/>
        <sz val="11"/>
        <color rgb="FF7030A0"/>
        <rFont val="Arial"/>
        <family val="2"/>
        <scheme val="minor"/>
      </rPr>
      <t>ee</t>
    </r>
  </si>
  <si>
    <r>
      <t>PC</t>
    </r>
    <r>
      <rPr>
        <vertAlign val="subscript"/>
        <sz val="11"/>
        <color rgb="FF7030A0"/>
        <rFont val="Arial"/>
        <family val="2"/>
        <scheme val="minor"/>
      </rPr>
      <t>base</t>
    </r>
  </si>
  <si>
    <r>
      <t>PC</t>
    </r>
    <r>
      <rPr>
        <b/>
        <vertAlign val="subscript"/>
        <sz val="11"/>
        <color rgb="FF7030A0"/>
        <rFont val="Arial"/>
        <family val="2"/>
        <scheme val="minor"/>
      </rPr>
      <t>ee</t>
    </r>
  </si>
  <si>
    <r>
      <t>∆Wh</t>
    </r>
    <r>
      <rPr>
        <b/>
        <vertAlign val="subscript"/>
        <sz val="9"/>
        <rFont val="Arial"/>
        <family val="2"/>
      </rPr>
      <t>Idle</t>
    </r>
  </si>
  <si>
    <t>∆kWh</t>
  </si>
  <si>
    <t>Energy Star Server</t>
  </si>
  <si>
    <t>Summer ETDF</t>
  </si>
  <si>
    <t>Winter ETDF</t>
  </si>
  <si>
    <t>Standard Unit Energy Savings Values</t>
  </si>
  <si>
    <t>Processors</t>
  </si>
  <si>
    <t>Use</t>
  </si>
  <si>
    <t>One Installed Processor</t>
  </si>
  <si>
    <t>Rack</t>
  </si>
  <si>
    <t>Tower</t>
  </si>
  <si>
    <t>Resilient</t>
  </si>
  <si>
    <t>Two Installed Processors</t>
  </si>
  <si>
    <t>Blade or Multi-node</t>
  </si>
  <si>
    <t>Greater Than Two Installed Processors</t>
  </si>
  <si>
    <t>Summer kW Savings</t>
  </si>
  <si>
    <t>Winter kW Savings</t>
  </si>
  <si>
    <t>Average kW Savings</t>
  </si>
  <si>
    <t>Eligible Incentive</t>
  </si>
  <si>
    <t>Utlization of Single Application Server</t>
  </si>
  <si>
    <t>Utlization of Virtualized Host Server</t>
  </si>
  <si>
    <t>Annual Hours of Operation</t>
  </si>
  <si>
    <t>hrs/yr</t>
  </si>
  <si>
    <t>Server Ratio of Idle Power to Full Load Power Factors</t>
  </si>
  <si>
    <t>Server Installed Processors</t>
  </si>
  <si>
    <t>Ratio of Idle Power to Full Load Power for Server</t>
  </si>
  <si>
    <t>One</t>
  </si>
  <si>
    <t>Two or more</t>
  </si>
  <si>
    <t>P-Idle</t>
  </si>
  <si>
    <t>V-Idle</t>
  </si>
  <si>
    <t>m</t>
  </si>
  <si>
    <t>Base kW</t>
  </si>
  <si>
    <t>EE kW</t>
  </si>
  <si>
    <t>Average kW</t>
  </si>
  <si>
    <t>Annual Consumption of Workstation</t>
  </si>
  <si>
    <t>Impact Factors for APS Strip Types</t>
  </si>
  <si>
    <t>ERP (%)</t>
  </si>
  <si>
    <t>Tier 1</t>
  </si>
  <si>
    <t>Workstation</t>
  </si>
  <si>
    <t>Workstation with power management (network or local)</t>
  </si>
  <si>
    <t xml:space="preserve">Workstation with unknown power management </t>
  </si>
  <si>
    <t>Tier 2</t>
  </si>
  <si>
    <t>Calculations for APS Strip Types</t>
  </si>
  <si>
    <t>Summer Demand Savings (kW)</t>
  </si>
  <si>
    <t>Winter Demand Savings (kW)</t>
  </si>
  <si>
    <t>Average Demand Savings (kW)</t>
  </si>
  <si>
    <t>APPLICATION_TYPE_NM</t>
  </si>
  <si>
    <t>PPL Measure_End_Use</t>
  </si>
  <si>
    <t>PPL MEASURE_CATEGORY_NM</t>
  </si>
  <si>
    <t>PPL MEASURE_SUB_CATEGORY_NAME</t>
  </si>
  <si>
    <t>PPL MEASURE_CODE</t>
  </si>
  <si>
    <t>PPL MEASURE_DESC</t>
  </si>
  <si>
    <t>DSMT Description/Product Style</t>
  </si>
  <si>
    <t>Commercial Other</t>
  </si>
  <si>
    <t>Electronics</t>
  </si>
  <si>
    <t>Servers</t>
  </si>
  <si>
    <t>Server</t>
  </si>
  <si>
    <t>Domestic Hot Water</t>
  </si>
  <si>
    <t>Appliances</t>
  </si>
  <si>
    <t>Laundry</t>
  </si>
  <si>
    <t>CommWashMMMF</t>
  </si>
  <si>
    <t>ENERGY STAR Clothes washer</t>
  </si>
  <si>
    <t>CommWashLaundromat</t>
  </si>
  <si>
    <t>Ice Maker</t>
  </si>
  <si>
    <t>CommIceMaker</t>
  </si>
  <si>
    <t>ENERGY STAR Ice machines</t>
  </si>
  <si>
    <t>Vending Machine Controls</t>
  </si>
  <si>
    <t>RefBevVendCntrl</t>
  </si>
  <si>
    <t>Beverage machine controls</t>
  </si>
  <si>
    <t>Refrigerated Beverage Vending Machine Controls</t>
  </si>
  <si>
    <t>Glass front Refrigerated Beverage Vending Machine Controls</t>
  </si>
  <si>
    <t>SnackVendCntrl</t>
  </si>
  <si>
    <t>Snack machine controls</t>
  </si>
  <si>
    <t>C&amp;I Kitchen Appliances</t>
  </si>
  <si>
    <t>CommSteamCook</t>
  </si>
  <si>
    <t>ENERGY STAR Electric steam cooker</t>
  </si>
  <si>
    <t>Energy Star Combination Oven</t>
  </si>
  <si>
    <t>ESCombOvn</t>
  </si>
  <si>
    <t>Energy Star Commercial Convection Oven</t>
  </si>
  <si>
    <t>ESConvOvnFs</t>
  </si>
  <si>
    <t>ESConvOvnHs</t>
  </si>
  <si>
    <t>Energy Star Commercial Fryer</t>
  </si>
  <si>
    <t>ESFryerStd</t>
  </si>
  <si>
    <t>ESFryerLV</t>
  </si>
  <si>
    <t>Energy Star Commercial hot food holding cabinet</t>
  </si>
  <si>
    <t>ESHotFoodHC</t>
  </si>
  <si>
    <t>Energy Star Commercial dishwasher</t>
  </si>
  <si>
    <t>ESDishwasher</t>
  </si>
  <si>
    <t>ESGriddle</t>
  </si>
  <si>
    <t>Insulation</t>
  </si>
  <si>
    <t>Wall and ceiling insulation</t>
  </si>
  <si>
    <t>WallCeilingIns</t>
  </si>
  <si>
    <t>ENERGY STAR Office equipment</t>
  </si>
  <si>
    <t>Fax Machine</t>
  </si>
  <si>
    <t>Copier</t>
  </si>
  <si>
    <t>Printer</t>
  </si>
  <si>
    <t>Multifunction</t>
  </si>
  <si>
    <t>Power Management</t>
  </si>
  <si>
    <t>PCPwrMgmt</t>
  </si>
  <si>
    <t>Office Equipment - Network power management enabling</t>
  </si>
  <si>
    <t>Smart Strip</t>
  </si>
  <si>
    <t>SmartStrip</t>
  </si>
  <si>
    <t>Advanced power strips</t>
  </si>
  <si>
    <t>Server virtualization</t>
  </si>
  <si>
    <t>ServerVir</t>
  </si>
  <si>
    <t>Energy Star Bathroom Ventilation fan in commercial applications</t>
  </si>
  <si>
    <t>ESBathVent</t>
  </si>
  <si>
    <t>Instructions: Enter all the project information in the yellow cells below.</t>
  </si>
  <si>
    <t>kWh_ee Ice Machine Energy usage per 100lbs. Of Ice (If Known)</t>
  </si>
  <si>
    <t>Duty Cycle (Decimal If Known)</t>
  </si>
  <si>
    <t xml:space="preserve">Beverage &amp; Snack Vending Machine Controls </t>
  </si>
  <si>
    <t>Equipment Manufactured Date</t>
  </si>
  <si>
    <t>KW Winter</t>
  </si>
  <si>
    <t>Combination Oven</t>
  </si>
  <si>
    <t>Description:</t>
  </si>
  <si>
    <t>A device that combines the function of hot air convection (oven mode), steam heating (steam mode), and a combination of both (combination mode), which includes high and low temperature steaming, baking, roasting, rethermalizing, and proofing of various food products. In general, the term combination oven is used to describe this type of equipment, which is self-contained. The combination oven is also referred to as a combination oven/steamer, combi, or combo.</t>
  </si>
  <si>
    <t>ENERGY STAR Combination Oven</t>
  </si>
  <si>
    <t>Daily Operating Hours</t>
  </si>
  <si>
    <t>ENERGY STAR Bath Fans</t>
  </si>
  <si>
    <t xml:space="preserve">CFM </t>
  </si>
  <si>
    <t>Energy Star Fan Efficiency</t>
  </si>
  <si>
    <t xml:space="preserve">ENERGY STAR Steam Cooker </t>
  </si>
  <si>
    <t xml:space="preserve">Cooking Energy Efficiency  </t>
  </si>
  <si>
    <t>Idle Power (kW)</t>
  </si>
  <si>
    <t>Daily Hours of Operation</t>
  </si>
  <si>
    <t>Quantity  of Pans (must be 3 or more)</t>
  </si>
  <si>
    <t>Quantity of Steam Cookers</t>
  </si>
  <si>
    <t>ENERGY STAR Convection Oven</t>
  </si>
  <si>
    <t>Beverage Vending Machine Calculator</t>
  </si>
  <si>
    <t>Total Projected Cost</t>
  </si>
  <si>
    <t>ENERGY STAR Commercial Fryer</t>
  </si>
  <si>
    <t>Averag kW</t>
  </si>
  <si>
    <t>ENERGY STAR Hot Food Holding Cabinet</t>
  </si>
  <si>
    <t>Volume (Cubic Ft)</t>
  </si>
  <si>
    <t>ENERGY STAR Commercial Dishwasher</t>
  </si>
  <si>
    <t>Dishwasher Temperature</t>
  </si>
  <si>
    <t>ENERGY STAR Griddle</t>
  </si>
  <si>
    <t xml:space="preserve">ENERGY STAR Clothes Washer </t>
  </si>
  <si>
    <t xml:space="preserve">Area Description/ Location </t>
  </si>
  <si>
    <t>Hot Water Fuel Type</t>
  </si>
  <si>
    <t>Dryer Fuel Type</t>
  </si>
  <si>
    <t>Equipment type*</t>
  </si>
  <si>
    <t>Commercial Induction Cooktops</t>
  </si>
  <si>
    <t>Commerical Induction Cooktops</t>
  </si>
  <si>
    <t>Number of burners</t>
  </si>
  <si>
    <t>End Use type*</t>
  </si>
  <si>
    <t>Strip Type*</t>
  </si>
  <si>
    <t>Power Draw of Single Application Server in Idle Mode (kW)</t>
  </si>
  <si>
    <t>Number of Single Application Servers</t>
  </si>
  <si>
    <t>Power Draw of Virtualized Server in Idle Mode (kW)</t>
  </si>
  <si>
    <t>Number of Server Installed Processors</t>
  </si>
  <si>
    <t>Uncapped Incnentive</t>
  </si>
  <si>
    <r>
      <t>kW</t>
    </r>
    <r>
      <rPr>
        <vertAlign val="subscript"/>
        <sz val="11"/>
        <color theme="0"/>
        <rFont val="Arial"/>
        <family val="2"/>
        <scheme val="minor"/>
      </rPr>
      <t>summer peak</t>
    </r>
  </si>
  <si>
    <r>
      <t>kW</t>
    </r>
    <r>
      <rPr>
        <vertAlign val="subscript"/>
        <sz val="11"/>
        <color theme="0"/>
        <rFont val="Arial"/>
        <family val="2"/>
        <scheme val="minor"/>
      </rPr>
      <t>winter peak</t>
    </r>
  </si>
  <si>
    <r>
      <t xml:space="preserve">IDLE </t>
    </r>
    <r>
      <rPr>
        <sz val="11"/>
        <color theme="0"/>
        <rFont val="Arial"/>
        <family val="2"/>
        <scheme val="minor"/>
      </rPr>
      <t>(Idle Energy Rate)</t>
    </r>
  </si>
  <si>
    <r>
      <t xml:space="preserve">EFF </t>
    </r>
    <r>
      <rPr>
        <sz val="11"/>
        <color theme="0"/>
        <rFont val="Arial"/>
        <family val="2"/>
        <scheme val="minor"/>
      </rPr>
      <t>(Heavy Load Cooking Energy Efficiency)</t>
    </r>
  </si>
  <si>
    <r>
      <rPr>
        <b/>
        <sz val="10"/>
        <color rgb="FF001489"/>
        <rFont val="Arial"/>
        <family val="2"/>
      </rPr>
      <t>Requirements:</t>
    </r>
    <r>
      <rPr>
        <sz val="10"/>
        <color rgb="FF001489"/>
        <rFont val="Arial"/>
        <family val="2"/>
      </rPr>
      <t xml:space="preserve"> Unit must meet ENERGY STAR or ENERGY STAR Most Efficient requirements.  It must be installed in multifamily laundry rooms or commercial laundromats.</t>
    </r>
  </si>
  <si>
    <t>Filter restriction on Combination oven sheet allowed for customer input</t>
  </si>
  <si>
    <t>Filter Restriction</t>
  </si>
  <si>
    <t>Nick Momenee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</si>
</sst>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0.0"/>
    <numFmt numFmtId="168" formatCode="0.0000"/>
    <numFmt numFmtId="169" formatCode="&quot;$&quot;#,##0.00"/>
    <numFmt numFmtId="170" formatCode="#,##0.0000"/>
    <numFmt numFmtId="171" formatCode="&quot;$&quot;#,##0"/>
    <numFmt numFmtId="172" formatCode="0.000"/>
    <numFmt numFmtId="173" formatCode="_(* #,##0.00_);_(* \(#,##0.00\);_(* \-??_);_(@_)"/>
    <numFmt numFmtId="174" formatCode="_(\$* #,##0.00_);_(\$* \(#,##0.00\);_(\$* \-??_);_(@_)"/>
    <numFmt numFmtId="175" formatCode="0.0000000000"/>
    <numFmt numFmtId="176" formatCode="m\-d\-yy"/>
    <numFmt numFmtId="177" formatCode="_(* #,##0.0_);_(* \(#,##0.00\);_(* &quot;-&quot;??_);_(@_)"/>
    <numFmt numFmtId="178" formatCode="General_)"/>
    <numFmt numFmtId="179" formatCode="&quot;fl&quot;#,##0_);\(&quot;fl&quot;#,##0\)"/>
    <numFmt numFmtId="180" formatCode="&quot;fl&quot;#,##0_);[Red]\(&quot;fl&quot;#,##0\)"/>
    <numFmt numFmtId="181" formatCode="_-* #,##0.0_-;\-* #,##0.0_-;_-* &quot;-&quot;??_-;_-@_-"/>
    <numFmt numFmtId="182" formatCode="#,##0.00&quot; $&quot;;\-#,##0.00&quot; $&quot;"/>
    <numFmt numFmtId="183" formatCode="0.00_)"/>
    <numFmt numFmtId="184" formatCode="dd"/>
    <numFmt numFmtId="185" formatCode="_(&quot;$&quot;* #,##0.00000_);_(&quot;$&quot;* \(#,##0.00000\);_(&quot;$&quot;* &quot;-&quot;??_);_(@_)"/>
    <numFmt numFmtId="186" formatCode="_(&quot;$&quot;* #,##0.0000_);_(&quot;$&quot;* \(#,##0.0000\);_(&quot;$&quot;* &quot;-&quot;??_);_(@_)"/>
    <numFmt numFmtId="187" formatCode="0.0000000"/>
    <numFmt numFmtId="188" formatCode="&quot;$&quot;#,##0.000"/>
    <numFmt numFmtId="189" formatCode="0.00000"/>
    <numFmt numFmtId="190" formatCode="#,##0.000000"/>
    <numFmt numFmtId="191" formatCode="0.000000"/>
    <numFmt numFmtId="192" formatCode="0.00000000"/>
    <numFmt numFmtId="193" formatCode="_(* #,##0.0000_);_(* \(#,##0.0000\);_(* &quot;-&quot;??_);_(@_)"/>
    <numFmt numFmtId="194" formatCode="#,##0.000"/>
  </numFmts>
  <fonts count="150">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b/>
      <u/>
      <sz val="14"/>
      <color theme="5"/>
      <name val="Arial"/>
      <family val="2"/>
      <scheme val="minor"/>
    </font>
    <font>
      <sz val="14"/>
      <color theme="1"/>
      <name val="Arial"/>
      <family val="2"/>
      <scheme val="minor"/>
    </font>
    <font>
      <b/>
      <sz val="12"/>
      <color theme="1"/>
      <name val="Arial"/>
      <family val="2"/>
      <scheme val="minor"/>
    </font>
    <font>
      <b/>
      <sz val="14"/>
      <color theme="5"/>
      <name val="Arial"/>
      <family val="2"/>
      <scheme val="minor"/>
    </font>
    <font>
      <sz val="11"/>
      <name val="Arial"/>
      <family val="2"/>
      <scheme val="minor"/>
    </font>
    <font>
      <b/>
      <sz val="11"/>
      <name val="Arial"/>
      <family val="2"/>
      <scheme val="minor"/>
    </font>
    <font>
      <sz val="11"/>
      <name val="Calibri"/>
      <family val="2"/>
    </font>
    <font>
      <sz val="9"/>
      <color indexed="81"/>
      <name val="Tahoma"/>
      <family val="2"/>
    </font>
    <font>
      <sz val="9"/>
      <color theme="1"/>
      <name val="Arial"/>
      <family val="2"/>
      <scheme val="minor"/>
    </font>
    <font>
      <b/>
      <sz val="9"/>
      <color theme="1"/>
      <name val="Arial"/>
      <family val="2"/>
      <scheme val="minor"/>
    </font>
    <font>
      <b/>
      <sz val="14"/>
      <color theme="6"/>
      <name val="Arial"/>
      <family val="2"/>
    </font>
    <font>
      <sz val="14"/>
      <color theme="6"/>
      <name val="Arial"/>
      <family val="2"/>
    </font>
    <font>
      <sz val="14"/>
      <color theme="6"/>
      <name val="Arial"/>
      <family val="2"/>
      <scheme val="minor"/>
    </font>
    <font>
      <b/>
      <sz val="9"/>
      <color indexed="81"/>
      <name val="Tahoma"/>
      <family val="2"/>
    </font>
    <font>
      <sz val="10"/>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1"/>
      <color rgb="FF3083BD"/>
      <name val="Arial"/>
      <family val="2"/>
    </font>
    <font>
      <sz val="11"/>
      <color theme="1"/>
      <name val="Arial"/>
      <family val="2"/>
      <scheme val="major"/>
    </font>
    <font>
      <b/>
      <sz val="16"/>
      <color theme="1"/>
      <name val="Arial"/>
      <family val="2"/>
      <scheme val="minor"/>
    </font>
    <font>
      <b/>
      <sz val="14"/>
      <color theme="1"/>
      <name val="Arial"/>
      <family val="2"/>
      <scheme val="minor"/>
    </font>
    <font>
      <u/>
      <sz val="11"/>
      <color theme="1"/>
      <name val="Arial"/>
      <family val="2"/>
      <scheme val="minor"/>
    </font>
    <font>
      <sz val="10"/>
      <color theme="1"/>
      <name val="Arial"/>
      <family val="2"/>
    </font>
    <font>
      <b/>
      <sz val="18"/>
      <color rgb="FF00539F"/>
      <name val="Arial"/>
      <family val="2"/>
    </font>
    <font>
      <u/>
      <sz val="10"/>
      <color theme="1"/>
      <name val="Arial"/>
      <family val="2"/>
    </font>
    <font>
      <u/>
      <sz val="10"/>
      <color theme="1"/>
      <name val="Arial"/>
      <family val="2"/>
      <scheme val="minor"/>
    </font>
    <font>
      <sz val="18"/>
      <color theme="5"/>
      <name val="Arial"/>
      <family val="2"/>
      <scheme val="minor"/>
    </font>
    <font>
      <sz val="16"/>
      <color theme="5"/>
      <name val="Arial"/>
      <family val="2"/>
    </font>
    <font>
      <b/>
      <sz val="9"/>
      <color rgb="FF000000"/>
      <name val="Arial"/>
      <family val="2"/>
    </font>
    <font>
      <b/>
      <vertAlign val="subscript"/>
      <sz val="9"/>
      <color rgb="FF000000"/>
      <name val="Arial"/>
      <family val="2"/>
    </font>
    <font>
      <b/>
      <sz val="11"/>
      <color rgb="FFFF0000"/>
      <name val="Arial"/>
      <family val="2"/>
      <scheme val="minor"/>
    </font>
    <font>
      <sz val="8"/>
      <name val="Arial"/>
      <family val="2"/>
      <scheme val="minor"/>
    </font>
    <font>
      <u/>
      <sz val="11"/>
      <color theme="10"/>
      <name val="Arial"/>
      <family val="2"/>
      <scheme val="minor"/>
    </font>
    <font>
      <u/>
      <sz val="11"/>
      <name val="Arial"/>
      <family val="2"/>
      <scheme val="minor"/>
    </font>
    <font>
      <sz val="12"/>
      <color theme="1"/>
      <name val="Arial"/>
      <family val="2"/>
      <scheme val="minor"/>
    </font>
    <font>
      <vertAlign val="subscript"/>
      <sz val="11"/>
      <color theme="1"/>
      <name val="Arial"/>
      <family val="2"/>
      <scheme val="minor"/>
    </font>
    <font>
      <b/>
      <sz val="14"/>
      <color rgb="FFFF0000"/>
      <name val="Arial"/>
      <family val="2"/>
      <scheme val="minor"/>
    </font>
    <font>
      <sz val="11"/>
      <color rgb="FF7030A0"/>
      <name val="Arial"/>
      <family val="2"/>
      <scheme val="minor"/>
    </font>
    <font>
      <b/>
      <sz val="14"/>
      <color rgb="FF7030A0"/>
      <name val="Arial"/>
      <family val="2"/>
      <scheme val="minor"/>
    </font>
    <font>
      <sz val="11"/>
      <color theme="1"/>
      <name val="Aptos Narrow"/>
      <family val="2"/>
    </font>
    <font>
      <b/>
      <sz val="11"/>
      <color rgb="FF7030A0"/>
      <name val="Arial"/>
      <family val="2"/>
      <scheme val="minor"/>
    </font>
    <font>
      <b/>
      <vertAlign val="subscript"/>
      <sz val="14"/>
      <color theme="1"/>
      <name val="Arial"/>
      <family val="2"/>
      <scheme val="minor"/>
    </font>
    <font>
      <b/>
      <vertAlign val="subscript"/>
      <sz val="12"/>
      <color theme="1"/>
      <name val="Arial"/>
      <family val="2"/>
      <scheme val="minor"/>
    </font>
    <font>
      <b/>
      <vertAlign val="subscript"/>
      <sz val="11"/>
      <color rgb="FF7030A0"/>
      <name val="Arial"/>
      <family val="2"/>
      <scheme val="minor"/>
    </font>
    <font>
      <vertAlign val="subscript"/>
      <sz val="12"/>
      <color theme="1"/>
      <name val="Arial"/>
      <family val="2"/>
      <scheme val="minor"/>
    </font>
    <font>
      <b/>
      <u/>
      <sz val="11"/>
      <name val="Arial"/>
      <family val="2"/>
      <scheme val="minor"/>
    </font>
    <font>
      <b/>
      <vertAlign val="subscript"/>
      <sz val="11"/>
      <color theme="1"/>
      <name val="Arial"/>
      <family val="2"/>
      <scheme val="minor"/>
    </font>
    <font>
      <b/>
      <vertAlign val="subscript"/>
      <sz val="9.9"/>
      <color theme="1"/>
      <name val="Arial"/>
      <family val="2"/>
    </font>
    <font>
      <b/>
      <sz val="11"/>
      <color theme="1"/>
      <name val="Aptos Narrow"/>
      <family val="2"/>
    </font>
    <font>
      <b/>
      <sz val="9.9"/>
      <color theme="1"/>
      <name val="Arial"/>
      <family val="2"/>
    </font>
    <font>
      <b/>
      <sz val="11"/>
      <color theme="1"/>
      <name val="Arial"/>
      <family val="2"/>
    </font>
    <font>
      <vertAlign val="subscript"/>
      <sz val="11"/>
      <color rgb="FF7030A0"/>
      <name val="Arial"/>
      <family val="2"/>
      <scheme val="minor"/>
    </font>
    <font>
      <sz val="11"/>
      <color theme="4"/>
      <name val="Arial"/>
      <family val="2"/>
      <scheme val="minor"/>
    </font>
    <font>
      <sz val="9"/>
      <color indexed="81"/>
      <name val="Arial"/>
      <family val="2"/>
      <scheme val="minor"/>
    </font>
    <font>
      <b/>
      <sz val="9"/>
      <color indexed="81"/>
      <name val="Arial"/>
      <family val="2"/>
      <scheme val="minor"/>
    </font>
    <font>
      <b/>
      <sz val="9"/>
      <color indexed="81"/>
      <name val="Arial"/>
      <family val="2"/>
      <scheme val="major"/>
    </font>
    <font>
      <sz val="9"/>
      <color indexed="81"/>
      <name val="Arial"/>
      <family val="2"/>
      <scheme val="major"/>
    </font>
    <font>
      <sz val="12"/>
      <color theme="5"/>
      <name val="Arial"/>
      <family val="2"/>
      <scheme val="minor"/>
    </font>
    <font>
      <vertAlign val="subscript"/>
      <sz val="11"/>
      <color theme="1"/>
      <name val="Aptos Narrow"/>
      <family val="2"/>
    </font>
    <font>
      <b/>
      <sz val="14"/>
      <name val="Arial"/>
      <family val="2"/>
      <scheme val="minor"/>
    </font>
    <font>
      <b/>
      <vertAlign val="subscript"/>
      <sz val="9"/>
      <name val="Arial"/>
      <family val="2"/>
    </font>
    <font>
      <b/>
      <sz val="10"/>
      <color rgb="FF000000"/>
      <name val="Arial"/>
      <family val="2"/>
    </font>
    <font>
      <sz val="11"/>
      <color rgb="FF000000"/>
      <name val="Arial"/>
      <family val="2"/>
    </font>
    <font>
      <i/>
      <sz val="11"/>
      <color theme="1"/>
      <name val="Arial"/>
      <family val="2"/>
      <scheme val="minor"/>
    </font>
    <font>
      <sz val="9"/>
      <color theme="1"/>
      <name val="Arial"/>
      <family val="2"/>
    </font>
    <font>
      <b/>
      <u/>
      <sz val="14"/>
      <color theme="0"/>
      <name val="Arial"/>
      <family val="2"/>
      <scheme val="minor"/>
    </font>
    <font>
      <b/>
      <sz val="18"/>
      <color rgb="FF001489"/>
      <name val="Arial"/>
      <family val="2"/>
      <scheme val="minor"/>
    </font>
    <font>
      <b/>
      <u/>
      <sz val="27"/>
      <color rgb="FF001489"/>
      <name val="Arial"/>
      <family val="2"/>
      <scheme val="minor"/>
    </font>
    <font>
      <sz val="11"/>
      <color rgb="FF001489"/>
      <name val="Arial"/>
      <family val="2"/>
      <scheme val="minor"/>
    </font>
    <font>
      <u/>
      <sz val="11"/>
      <color theme="0"/>
      <name val="Arial"/>
      <family val="2"/>
      <scheme val="minor"/>
    </font>
    <font>
      <b/>
      <sz val="12"/>
      <color theme="0"/>
      <name val="Arial"/>
      <family val="2"/>
      <scheme val="minor"/>
    </font>
    <font>
      <b/>
      <u/>
      <sz val="14"/>
      <color rgb="FF001489"/>
      <name val="Arial"/>
      <family val="2"/>
      <scheme val="minor"/>
    </font>
    <font>
      <b/>
      <sz val="11"/>
      <color rgb="FF001489"/>
      <name val="Arial"/>
      <family val="2"/>
      <scheme val="minor"/>
    </font>
    <font>
      <vertAlign val="subscript"/>
      <sz val="11"/>
      <color theme="0"/>
      <name val="Arial"/>
      <family val="2"/>
      <scheme val="minor"/>
    </font>
    <font>
      <sz val="14"/>
      <color rgb="FF001489"/>
      <name val="Arial"/>
      <family val="2"/>
      <scheme val="minor"/>
    </font>
    <font>
      <i/>
      <u/>
      <sz val="11"/>
      <color theme="0"/>
      <name val="Arial"/>
      <family val="2"/>
      <scheme val="minor"/>
    </font>
    <font>
      <sz val="10"/>
      <color rgb="FF001489"/>
      <name val="Arial"/>
      <family val="2"/>
    </font>
    <font>
      <b/>
      <sz val="10"/>
      <color rgb="FF001489"/>
      <name val="Arial"/>
      <family val="2"/>
    </font>
    <font>
      <sz val="10"/>
      <color rgb="FF001489"/>
      <name val="Arial"/>
      <family val="2"/>
      <scheme val="minor"/>
    </font>
    <font>
      <b/>
      <u/>
      <sz val="11"/>
      <color theme="0"/>
      <name val="Arial"/>
      <family val="2"/>
      <scheme val="minor"/>
    </font>
    <font>
      <b/>
      <u/>
      <sz val="20"/>
      <color rgb="FF001489"/>
      <name val="Arial"/>
      <family val="2"/>
      <scheme val="minor"/>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539F"/>
        <bgColor indexed="64"/>
      </patternFill>
    </fill>
    <fill>
      <patternFill patternType="solid">
        <fgColor rgb="FF6A6A6A"/>
        <bgColor indexed="64"/>
      </patternFill>
    </fill>
    <fill>
      <patternFill patternType="solid">
        <fgColor rgb="FF002060"/>
        <bgColor indexed="64"/>
      </patternFill>
    </fill>
    <fill>
      <patternFill patternType="solid">
        <fgColor rgb="FFFF0000"/>
        <bgColor indexed="64"/>
      </patternFill>
    </fill>
    <fill>
      <patternFill patternType="solid">
        <fgColor rgb="FFFFF8CA"/>
        <bgColor indexed="64"/>
      </patternFill>
    </fill>
    <fill>
      <patternFill patternType="solid">
        <fgColor theme="6" tint="0.79998168889431442"/>
        <bgColor indexed="64"/>
      </patternFill>
    </fill>
    <fill>
      <patternFill patternType="solid">
        <fgColor theme="5" tint="0.499984740745262"/>
        <bgColor indexed="64"/>
      </patternFill>
    </fill>
    <fill>
      <patternFill patternType="solid">
        <fgColor rgb="FFC9E7A7"/>
        <bgColor indexed="64"/>
      </patternFill>
    </fill>
    <fill>
      <patternFill patternType="solid">
        <fgColor rgb="FFA6A6A6"/>
        <bgColor rgb="FF000000"/>
      </patternFill>
    </fill>
    <fill>
      <patternFill patternType="solid">
        <fgColor theme="9" tint="0.59999389629810485"/>
        <bgColor indexed="64"/>
      </patternFill>
    </fill>
    <fill>
      <patternFill patternType="solid">
        <fgColor rgb="FF1E427C"/>
        <bgColor indexed="64"/>
      </patternFill>
    </fill>
    <fill>
      <patternFill patternType="solid">
        <fgColor rgb="FFFFFFCC"/>
        <bgColor indexed="64"/>
      </patternFill>
    </fill>
    <fill>
      <patternFill patternType="solid">
        <fgColor rgb="FF001489"/>
        <bgColor indexed="64"/>
      </patternFill>
    </fill>
    <fill>
      <patternFill patternType="solid">
        <fgColor rgb="FF6E06C1"/>
        <bgColor indexed="64"/>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thin">
        <color auto="1"/>
      </left>
      <right style="medium">
        <color indexed="64"/>
      </right>
      <top/>
      <bottom style="thin">
        <color auto="1"/>
      </bottom>
      <diagonal/>
    </border>
    <border>
      <left style="thin">
        <color indexed="64"/>
      </left>
      <right style="thin">
        <color indexed="64"/>
      </right>
      <top style="thin">
        <color indexed="64"/>
      </top>
      <bottom style="double">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style="medium">
        <color indexed="64"/>
      </right>
      <top/>
      <bottom style="thin">
        <color indexed="64"/>
      </bottom>
      <diagonal/>
    </border>
  </borders>
  <cellStyleXfs count="2605">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0" fontId="19" fillId="0" borderId="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9" fillId="38" borderId="0" applyNumberFormat="0" applyBorder="0" applyAlignment="0" applyProtection="0"/>
    <xf numFmtId="0" fontId="30" fillId="55" borderId="16" applyNumberFormat="0" applyAlignment="0" applyProtection="0"/>
    <xf numFmtId="0" fontId="31" fillId="56" borderId="17" applyNumberFormat="0" applyAlignment="0" applyProtection="0"/>
    <xf numFmtId="44" fontId="19" fillId="0" borderId="0" applyFont="0" applyFill="0" applyBorder="0" applyAlignment="0" applyProtection="0"/>
    <xf numFmtId="44" fontId="27" fillId="0" borderId="0" applyFont="0" applyFill="0" applyBorder="0" applyAlignment="0" applyProtection="0"/>
    <xf numFmtId="0" fontId="32" fillId="0" borderId="0" applyNumberFormat="0" applyFill="0" applyBorder="0" applyAlignment="0" applyProtection="0"/>
    <xf numFmtId="0" fontId="33" fillId="39" borderId="0" applyNumberFormat="0" applyBorder="0" applyAlignment="0" applyProtection="0"/>
    <xf numFmtId="0" fontId="34" fillId="0" borderId="18" applyNumberFormat="0" applyFill="0" applyAlignment="0" applyProtection="0"/>
    <xf numFmtId="0" fontId="35" fillId="0" borderId="19" applyNumberFormat="0" applyFill="0" applyAlignment="0" applyProtection="0"/>
    <xf numFmtId="0" fontId="36" fillId="0" borderId="20" applyNumberFormat="0" applyFill="0" applyAlignment="0" applyProtection="0"/>
    <xf numFmtId="0" fontId="36" fillId="0" borderId="0" applyNumberFormat="0" applyFill="0" applyBorder="0" applyAlignment="0" applyProtection="0"/>
    <xf numFmtId="0" fontId="37" fillId="42" borderId="16" applyNumberFormat="0" applyAlignment="0" applyProtection="0"/>
    <xf numFmtId="0" fontId="38" fillId="0" borderId="21" applyNumberFormat="0" applyFill="0" applyAlignment="0" applyProtection="0"/>
    <xf numFmtId="0" fontId="39" fillId="5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58" borderId="22" applyNumberFormat="0" applyFont="0" applyAlignment="0" applyProtection="0"/>
    <xf numFmtId="0" fontId="40" fillId="55" borderId="23" applyNumberFormat="0" applyAlignment="0" applyProtection="0"/>
    <xf numFmtId="9" fontId="19" fillId="0" borderId="0" applyFont="0" applyFill="0" applyBorder="0" applyAlignment="0" applyProtection="0"/>
    <xf numFmtId="0" fontId="41" fillId="0" borderId="0" applyNumberFormat="0" applyFill="0" applyBorder="0" applyAlignment="0" applyProtection="0"/>
    <xf numFmtId="0" fontId="42" fillId="0" borderId="24" applyNumberFormat="0" applyFill="0" applyAlignment="0" applyProtection="0"/>
    <xf numFmtId="0" fontId="43" fillId="0" borderId="0" applyNumberFormat="0" applyFill="0" applyBorder="0" applyAlignment="0" applyProtection="0"/>
    <xf numFmtId="0" fontId="19" fillId="0" borderId="0"/>
    <xf numFmtId="0" fontId="60" fillId="0" borderId="0"/>
    <xf numFmtId="0" fontId="1" fillId="0" borderId="0"/>
    <xf numFmtId="0" fontId="27" fillId="0" borderId="0"/>
    <xf numFmtId="173" fontId="2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64"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64" fillId="0" borderId="0" applyFill="0" applyBorder="0" applyAlignment="0" applyProtection="0"/>
    <xf numFmtId="43" fontId="19"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43" fontId="27"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4" fontId="64"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64" fillId="0" borderId="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64" fillId="0" borderId="0" applyFill="0" applyBorder="0" applyAlignment="0" applyProtection="0"/>
    <xf numFmtId="44" fontId="27"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37" fontId="68" fillId="0" borderId="0"/>
    <xf numFmtId="0" fontId="69" fillId="0" borderId="0"/>
    <xf numFmtId="0" fontId="70" fillId="0" borderId="0"/>
    <xf numFmtId="0" fontId="70" fillId="0" borderId="0"/>
    <xf numFmtId="0" fontId="70" fillId="0" borderId="0"/>
    <xf numFmtId="0" fontId="70" fillId="0" borderId="0"/>
    <xf numFmtId="0" fontId="70" fillId="0" borderId="0"/>
    <xf numFmtId="0" fontId="1" fillId="0" borderId="0"/>
    <xf numFmtId="0" fontId="1"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4"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7" fontId="71" fillId="0" borderId="0" applyFont="0" applyFill="0" applyBorder="0" applyAlignment="0" applyProtection="0">
      <alignment horizontal="right"/>
    </xf>
    <xf numFmtId="2" fontId="71" fillId="0" borderId="0" applyFont="0" applyFill="0" applyBorder="0" applyAlignment="0" applyProtection="0">
      <alignment horizontal="right"/>
    </xf>
    <xf numFmtId="0" fontId="1"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7"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1" fillId="45" borderId="0" applyNumberFormat="0" applyBorder="0" applyAlignment="0" applyProtection="0"/>
    <xf numFmtId="0" fontId="17" fillId="45" borderId="0" applyNumberFormat="0" applyBorder="0" applyAlignment="0" applyProtection="0"/>
    <xf numFmtId="0" fontId="28" fillId="45"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28"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28" fillId="50" borderId="0" applyNumberFormat="0" applyBorder="0" applyAlignment="0" applyProtection="0"/>
    <xf numFmtId="0" fontId="17" fillId="50" borderId="0" applyNumberFormat="0" applyBorder="0" applyAlignment="0" applyProtection="0"/>
    <xf numFmtId="175" fontId="72" fillId="66" borderId="39">
      <alignment horizontal="center" vertical="center"/>
    </xf>
    <xf numFmtId="176" fontId="63" fillId="66" borderId="39">
      <alignment horizontal="center" vertical="center"/>
    </xf>
    <xf numFmtId="177" fontId="73" fillId="0" borderId="0" applyFill="0" applyBorder="0" applyAlignment="0"/>
    <xf numFmtId="178" fontId="73" fillId="0" borderId="0" applyFill="0" applyBorder="0" applyAlignment="0"/>
    <xf numFmtId="172" fontId="73" fillId="0" borderId="0" applyFill="0" applyBorder="0" applyAlignment="0"/>
    <xf numFmtId="179" fontId="73" fillId="0" borderId="0" applyFill="0" applyBorder="0" applyAlignment="0"/>
    <xf numFmtId="180" fontId="73" fillId="0" borderId="0" applyFill="0" applyBorder="0" applyAlignment="0"/>
    <xf numFmtId="177" fontId="73" fillId="0" borderId="0" applyFill="0" applyBorder="0" applyAlignment="0"/>
    <xf numFmtId="180" fontId="74" fillId="0" borderId="0" applyFill="0" applyBorder="0" applyAlignment="0"/>
    <xf numFmtId="178" fontId="73" fillId="0" borderId="0" applyFill="0" applyBorder="0" applyAlignment="0"/>
    <xf numFmtId="177" fontId="7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71" fillId="0" borderId="0" applyFont="0" applyFill="0" applyBorder="0" applyAlignment="0" applyProtection="0">
      <alignment horizontal="right"/>
    </xf>
    <xf numFmtId="178" fontId="7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1" fontId="71" fillId="0" borderId="0"/>
    <xf numFmtId="6" fontId="76" fillId="0" borderId="0">
      <protection locked="0"/>
    </xf>
    <xf numFmtId="14" fontId="77" fillId="0" borderId="0" applyFill="0" applyBorder="0" applyAlignment="0"/>
    <xf numFmtId="164" fontId="19" fillId="0" borderId="40">
      <alignment vertical="center"/>
    </xf>
    <xf numFmtId="177" fontId="73" fillId="0" borderId="0" applyFill="0" applyBorder="0" applyAlignment="0"/>
    <xf numFmtId="178" fontId="73" fillId="0" borderId="0" applyFill="0" applyBorder="0" applyAlignment="0"/>
    <xf numFmtId="177" fontId="73" fillId="0" borderId="0" applyFill="0" applyBorder="0" applyAlignment="0"/>
    <xf numFmtId="180" fontId="74" fillId="0" borderId="0" applyFill="0" applyBorder="0" applyAlignment="0"/>
    <xf numFmtId="178" fontId="73" fillId="0" borderId="0" applyFill="0" applyBorder="0" applyAlignment="0"/>
    <xf numFmtId="181" fontId="19" fillId="0" borderId="0">
      <protection locked="0"/>
    </xf>
    <xf numFmtId="38" fontId="71" fillId="65" borderId="0" applyNumberFormat="0" applyBorder="0" applyAlignment="0" applyProtection="0"/>
    <xf numFmtId="38" fontId="71" fillId="65" borderId="0" applyNumberFormat="0" applyBorder="0" applyAlignment="0" applyProtection="0"/>
    <xf numFmtId="0" fontId="78" fillId="0" borderId="0" applyNumberFormat="0" applyFill="0" applyBorder="0" applyAlignment="0" applyProtection="0"/>
    <xf numFmtId="0" fontId="61" fillId="0" borderId="38" applyNumberFormat="0" applyAlignment="0" applyProtection="0">
      <alignment horizontal="left" vertical="center"/>
    </xf>
    <xf numFmtId="0" fontId="61" fillId="0" borderId="27">
      <alignment horizontal="left" vertical="center"/>
    </xf>
    <xf numFmtId="0" fontId="61" fillId="0" borderId="27">
      <alignment horizontal="left" vertical="center"/>
    </xf>
    <xf numFmtId="182" fontId="19" fillId="0" borderId="0">
      <protection locked="0"/>
    </xf>
    <xf numFmtId="182" fontId="19" fillId="0" borderId="0">
      <protection locked="0"/>
    </xf>
    <xf numFmtId="0" fontId="79" fillId="0" borderId="41" applyNumberFormat="0" applyFill="0" applyAlignment="0" applyProtection="0"/>
    <xf numFmtId="10" fontId="71" fillId="67" borderId="10" applyNumberFormat="0" applyBorder="0" applyAlignment="0" applyProtection="0"/>
    <xf numFmtId="10" fontId="71" fillId="67" borderId="10" applyNumberFormat="0" applyBorder="0" applyAlignment="0" applyProtection="0"/>
    <xf numFmtId="177" fontId="73" fillId="0" borderId="0" applyFill="0" applyBorder="0" applyAlignment="0"/>
    <xf numFmtId="178" fontId="73" fillId="0" borderId="0" applyFill="0" applyBorder="0" applyAlignment="0"/>
    <xf numFmtId="177" fontId="73" fillId="0" borderId="0" applyFill="0" applyBorder="0" applyAlignment="0"/>
    <xf numFmtId="180" fontId="74" fillId="0" borderId="0" applyFill="0" applyBorder="0" applyAlignment="0"/>
    <xf numFmtId="178" fontId="73" fillId="0" borderId="0" applyFill="0" applyBorder="0" applyAlignment="0"/>
    <xf numFmtId="183" fontId="80"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19" fillId="0" borderId="0"/>
    <xf numFmtId="0" fontId="8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71" fillId="0" borderId="0"/>
    <xf numFmtId="0" fontId="71" fillId="0" borderId="0"/>
    <xf numFmtId="0" fontId="19" fillId="0" borderId="0"/>
    <xf numFmtId="0" fontId="81" fillId="0" borderId="0"/>
    <xf numFmtId="0" fontId="19" fillId="0" borderId="0" applyNumberFormat="0" applyFill="0" applyBorder="0" applyAlignment="0" applyProtection="0"/>
    <xf numFmtId="0" fontId="1" fillId="0" borderId="0"/>
    <xf numFmtId="0" fontId="82" fillId="0" borderId="0"/>
    <xf numFmtId="0" fontId="1" fillId="0" borderId="0"/>
    <xf numFmtId="0" fontId="19" fillId="0" borderId="0" applyNumberFormat="0" applyFill="0" applyBorder="0" applyAlignment="0" applyProtection="0"/>
    <xf numFmtId="0" fontId="19" fillId="0" borderId="0"/>
    <xf numFmtId="0" fontId="19" fillId="0" borderId="0"/>
    <xf numFmtId="0" fontId="19" fillId="0" borderId="0"/>
    <xf numFmtId="0" fontId="1" fillId="0" borderId="0"/>
    <xf numFmtId="0" fontId="1" fillId="0" borderId="0"/>
    <xf numFmtId="0" fontId="1" fillId="0" borderId="0"/>
    <xf numFmtId="0" fontId="37" fillId="42" borderId="58" applyNumberFormat="0" applyAlignment="0" applyProtection="0"/>
    <xf numFmtId="0" fontId="61" fillId="0" borderId="57">
      <alignment horizontal="left" vertical="center"/>
    </xf>
    <xf numFmtId="0" fontId="37" fillId="42" borderId="44" applyNumberFormat="0" applyAlignment="0" applyProtection="0"/>
    <xf numFmtId="0" fontId="61" fillId="0" borderId="43">
      <alignment horizontal="left" vertical="center"/>
    </xf>
    <xf numFmtId="0" fontId="61" fillId="0" borderId="43">
      <alignment horizontal="left" vertical="center"/>
    </xf>
    <xf numFmtId="0" fontId="40" fillId="55" borderId="69" applyNumberFormat="0" applyAlignment="0" applyProtection="0"/>
    <xf numFmtId="0" fontId="40" fillId="55" borderId="65" applyNumberFormat="0" applyAlignment="0" applyProtection="0"/>
    <xf numFmtId="0" fontId="19" fillId="58" borderId="68" applyNumberFormat="0" applyFont="0" applyAlignment="0" applyProtection="0"/>
    <xf numFmtId="0" fontId="40" fillId="55" borderId="56" applyNumberFormat="0" applyAlignment="0" applyProtection="0"/>
    <xf numFmtId="0" fontId="61" fillId="0" borderId="62">
      <alignment horizontal="left" vertical="center"/>
    </xf>
    <xf numFmtId="0" fontId="19" fillId="58" borderId="50" applyNumberFormat="0" applyFont="0" applyAlignment="0" applyProtection="0"/>
    <xf numFmtId="0" fontId="40" fillId="55" borderId="51" applyNumberFormat="0" applyAlignment="0" applyProtection="0"/>
    <xf numFmtId="0" fontId="30" fillId="55" borderId="44" applyNumberFormat="0" applyAlignment="0" applyProtection="0"/>
    <xf numFmtId="0" fontId="19" fillId="58" borderId="55" applyNumberFormat="0" applyFont="0" applyAlignment="0" applyProtection="0"/>
    <xf numFmtId="0" fontId="19" fillId="0" borderId="0"/>
    <xf numFmtId="0" fontId="42" fillId="0" borderId="70" applyNumberFormat="0" applyFill="0" applyAlignment="0" applyProtection="0"/>
    <xf numFmtId="0" fontId="40" fillId="55" borderId="60" applyNumberFormat="0" applyAlignment="0" applyProtection="0"/>
    <xf numFmtId="0" fontId="19" fillId="0" borderId="0"/>
    <xf numFmtId="0" fontId="19" fillId="0" borderId="0"/>
    <xf numFmtId="0" fontId="27" fillId="0" borderId="0"/>
    <xf numFmtId="0" fontId="1" fillId="0" borderId="0"/>
    <xf numFmtId="0" fontId="1" fillId="0" borderId="0"/>
    <xf numFmtId="0" fontId="1" fillId="0" borderId="0"/>
    <xf numFmtId="0" fontId="19" fillId="58" borderId="68" applyNumberFormat="0" applyFont="0" applyAlignment="0" applyProtection="0"/>
    <xf numFmtId="0" fontId="19" fillId="0" borderId="0"/>
    <xf numFmtId="0" fontId="30" fillId="55" borderId="63" applyNumberFormat="0" applyAlignment="0" applyProtection="0"/>
    <xf numFmtId="0" fontId="30" fillId="55" borderId="58" applyNumberFormat="0" applyAlignment="0" applyProtection="0"/>
    <xf numFmtId="0" fontId="1" fillId="0" borderId="0"/>
    <xf numFmtId="0" fontId="27" fillId="8" borderId="8" applyNumberFormat="0" applyFont="0" applyAlignment="0" applyProtection="0"/>
    <xf numFmtId="0" fontId="19" fillId="58" borderId="22" applyNumberFormat="0" applyFont="0" applyAlignment="0" applyProtection="0"/>
    <xf numFmtId="0" fontId="27" fillId="8" borderId="8" applyNumberFormat="0" applyFont="0" applyAlignment="0" applyProtection="0"/>
    <xf numFmtId="0" fontId="83" fillId="0" borderId="15" applyFill="0" applyProtection="0">
      <alignment horizontal="right" wrapText="1"/>
    </xf>
    <xf numFmtId="180" fontId="73" fillId="0" borderId="0" applyFont="0" applyFill="0" applyBorder="0" applyAlignment="0" applyProtection="0"/>
    <xf numFmtId="184"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73" fillId="0" borderId="0" applyFill="0" applyBorder="0" applyAlignment="0"/>
    <xf numFmtId="178" fontId="73" fillId="0" borderId="0" applyFill="0" applyBorder="0" applyAlignment="0"/>
    <xf numFmtId="177" fontId="73" fillId="0" borderId="0" applyFill="0" applyBorder="0" applyAlignment="0"/>
    <xf numFmtId="180" fontId="74" fillId="0" borderId="0" applyFill="0" applyBorder="0" applyAlignment="0"/>
    <xf numFmtId="178" fontId="73" fillId="0" borderId="0" applyFill="0" applyBorder="0" applyAlignment="0"/>
    <xf numFmtId="0" fontId="84" fillId="0" borderId="0" applyFill="0" applyBorder="0" applyProtection="0">
      <alignment horizontal="left" wrapText="1"/>
    </xf>
    <xf numFmtId="49" fontId="77" fillId="0" borderId="0" applyFill="0" applyBorder="0" applyAlignment="0"/>
    <xf numFmtId="185" fontId="19" fillId="0" borderId="0" applyFill="0" applyBorder="0" applyAlignment="0"/>
    <xf numFmtId="186" fontId="19" fillId="0" borderId="0" applyFill="0" applyBorder="0" applyAlignment="0"/>
    <xf numFmtId="182" fontId="19" fillId="0" borderId="42">
      <protection locked="0"/>
    </xf>
    <xf numFmtId="37" fontId="71" fillId="68" borderId="0" applyNumberFormat="0" applyBorder="0" applyAlignment="0" applyProtection="0"/>
    <xf numFmtId="37" fontId="71" fillId="68" borderId="0" applyNumberFormat="0" applyBorder="0" applyAlignment="0" applyProtection="0"/>
    <xf numFmtId="37" fontId="71" fillId="0" borderId="0"/>
    <xf numFmtId="3" fontId="85" fillId="0" borderId="41" applyProtection="0"/>
    <xf numFmtId="0" fontId="61" fillId="0" borderId="57">
      <alignment horizontal="left" vertical="center"/>
    </xf>
    <xf numFmtId="0" fontId="30" fillId="55" borderId="16" applyNumberFormat="0" applyAlignment="0" applyProtection="0"/>
    <xf numFmtId="10" fontId="71" fillId="67" borderId="10" applyNumberFormat="0" applyBorder="0" applyAlignment="0" applyProtection="0"/>
    <xf numFmtId="10" fontId="71" fillId="67" borderId="10" applyNumberFormat="0" applyBorder="0" applyAlignment="0" applyProtection="0"/>
    <xf numFmtId="0" fontId="37" fillId="42" borderId="16" applyNumberFormat="0" applyAlignment="0" applyProtection="0"/>
    <xf numFmtId="0" fontId="37" fillId="42" borderId="16" applyNumberFormat="0" applyAlignment="0" applyProtection="0"/>
    <xf numFmtId="0" fontId="30" fillId="55" borderId="16" applyNumberFormat="0" applyAlignment="0" applyProtection="0"/>
    <xf numFmtId="0" fontId="19" fillId="58" borderId="22" applyNumberFormat="0" applyFont="0" applyAlignment="0" applyProtection="0"/>
    <xf numFmtId="0" fontId="83" fillId="0" borderId="15" applyFill="0" applyProtection="0">
      <alignment horizontal="right" wrapText="1"/>
    </xf>
    <xf numFmtId="0" fontId="40" fillId="55" borderId="23" applyNumberFormat="0" applyAlignment="0" applyProtection="0"/>
    <xf numFmtId="0" fontId="19" fillId="58" borderId="22" applyNumberFormat="0" applyFont="0" applyAlignment="0" applyProtection="0"/>
    <xf numFmtId="0" fontId="83" fillId="0" borderId="15" applyFill="0" applyProtection="0">
      <alignment horizontal="right" wrapText="1"/>
    </xf>
    <xf numFmtId="0" fontId="40" fillId="55" borderId="23" applyNumberFormat="0" applyAlignment="0" applyProtection="0"/>
    <xf numFmtId="0" fontId="42" fillId="0" borderId="6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61" fillId="0" borderId="62">
      <alignment horizontal="left" vertical="center"/>
    </xf>
    <xf numFmtId="0" fontId="61" fillId="0" borderId="62">
      <alignment horizontal="left" vertical="center"/>
    </xf>
    <xf numFmtId="0" fontId="61" fillId="0" borderId="53">
      <alignment horizontal="left" vertical="center"/>
    </xf>
    <xf numFmtId="0" fontId="61" fillId="0" borderId="53">
      <alignment horizontal="left" vertical="center"/>
    </xf>
    <xf numFmtId="0" fontId="37" fillId="42" borderId="49" applyNumberFormat="0" applyAlignment="0" applyProtection="0"/>
    <xf numFmtId="0" fontId="61" fillId="0" borderId="48">
      <alignment horizontal="left" vertical="center"/>
    </xf>
    <xf numFmtId="0" fontId="61" fillId="0" borderId="48">
      <alignment horizontal="left" vertical="center"/>
    </xf>
    <xf numFmtId="0" fontId="61" fillId="0" borderId="71">
      <alignment horizontal="left" vertical="center"/>
    </xf>
    <xf numFmtId="0" fontId="61" fillId="0" borderId="71">
      <alignment horizontal="left" vertical="center"/>
    </xf>
    <xf numFmtId="10" fontId="71" fillId="67" borderId="47" applyNumberFormat="0" applyBorder="0" applyAlignment="0" applyProtection="0"/>
    <xf numFmtId="0" fontId="30" fillId="55" borderId="49" applyNumberFormat="0" applyAlignment="0" applyProtection="0"/>
    <xf numFmtId="0" fontId="37" fillId="42" borderId="63" applyNumberFormat="0" applyAlignment="0" applyProtection="0"/>
    <xf numFmtId="0" fontId="30" fillId="55" borderId="49" applyNumberFormat="0" applyAlignment="0" applyProtection="0"/>
    <xf numFmtId="10" fontId="71" fillId="67" borderId="52" applyNumberFormat="0" applyBorder="0" applyAlignment="0" applyProtection="0"/>
    <xf numFmtId="10" fontId="71" fillId="67" borderId="52" applyNumberFormat="0" applyBorder="0" applyAlignment="0" applyProtection="0"/>
    <xf numFmtId="0" fontId="37" fillId="42" borderId="49" applyNumberFormat="0" applyAlignment="0" applyProtection="0"/>
    <xf numFmtId="0" fontId="37" fillId="42" borderId="49" applyNumberFormat="0" applyAlignment="0" applyProtection="0"/>
    <xf numFmtId="0" fontId="19" fillId="58" borderId="45" applyNumberFormat="0" applyFont="0" applyAlignment="0" applyProtection="0"/>
    <xf numFmtId="0" fontId="40" fillId="55" borderId="46" applyNumberFormat="0" applyAlignment="0" applyProtection="0"/>
    <xf numFmtId="0" fontId="19" fillId="58" borderId="64" applyNumberFormat="0" applyFont="0" applyAlignment="0" applyProtection="0"/>
    <xf numFmtId="0" fontId="19" fillId="58" borderId="59" applyNumberFormat="0" applyFont="0" applyAlignment="0" applyProtection="0"/>
    <xf numFmtId="0" fontId="61" fillId="0" borderId="71">
      <alignment horizontal="left" vertical="center"/>
    </xf>
    <xf numFmtId="0" fontId="30" fillId="55" borderId="54" applyNumberFormat="0" applyAlignment="0" applyProtection="0"/>
    <xf numFmtId="0" fontId="61" fillId="0" borderId="71">
      <alignment horizontal="left" vertical="center"/>
    </xf>
    <xf numFmtId="10" fontId="71" fillId="67" borderId="10" applyNumberFormat="0" applyBorder="0" applyAlignment="0" applyProtection="0"/>
    <xf numFmtId="0" fontId="37" fillId="42" borderId="54" applyNumberFormat="0" applyAlignment="0" applyProtection="0"/>
    <xf numFmtId="0" fontId="61" fillId="0" borderId="62">
      <alignment horizontal="left" vertical="center"/>
    </xf>
    <xf numFmtId="10" fontId="71" fillId="67" borderId="47" applyNumberFormat="0" applyBorder="0" applyAlignment="0" applyProtection="0"/>
    <xf numFmtId="0" fontId="30" fillId="55" borderId="44" applyNumberFormat="0" applyAlignment="0" applyProtection="0"/>
    <xf numFmtId="10" fontId="71" fillId="67" borderId="47" applyNumberFormat="0" applyBorder="0" applyAlignment="0" applyProtection="0"/>
    <xf numFmtId="10" fontId="71" fillId="67" borderId="47" applyNumberFormat="0" applyBorder="0" applyAlignment="0" applyProtection="0"/>
    <xf numFmtId="0" fontId="37" fillId="42" borderId="44" applyNumberFormat="0" applyAlignment="0" applyProtection="0"/>
    <xf numFmtId="0" fontId="37" fillId="42" borderId="44" applyNumberFormat="0" applyAlignment="0" applyProtection="0"/>
    <xf numFmtId="0" fontId="30" fillId="55" borderId="44" applyNumberFormat="0" applyAlignment="0" applyProtection="0"/>
    <xf numFmtId="0" fontId="19" fillId="58" borderId="45" applyNumberFormat="0" applyFont="0" applyAlignment="0" applyProtection="0"/>
    <xf numFmtId="0" fontId="40" fillId="55" borderId="46" applyNumberFormat="0" applyAlignment="0" applyProtection="0"/>
    <xf numFmtId="0" fontId="19" fillId="58" borderId="45" applyNumberFormat="0" applyFont="0" applyAlignment="0" applyProtection="0"/>
    <xf numFmtId="0" fontId="40" fillId="55" borderId="46" applyNumberFormat="0" applyAlignment="0" applyProtection="0"/>
    <xf numFmtId="0" fontId="30" fillId="55" borderId="49" applyNumberFormat="0" applyAlignment="0" applyProtection="0"/>
    <xf numFmtId="0" fontId="19" fillId="58" borderId="50" applyNumberFormat="0" applyFont="0" applyAlignment="0" applyProtection="0"/>
    <xf numFmtId="0" fontId="40" fillId="55" borderId="51" applyNumberFormat="0" applyAlignment="0" applyProtection="0"/>
    <xf numFmtId="0" fontId="19" fillId="58" borderId="50" applyNumberFormat="0" applyFont="0" applyAlignment="0" applyProtection="0"/>
    <xf numFmtId="0" fontId="40" fillId="55" borderId="51" applyNumberFormat="0" applyAlignment="0" applyProtection="0"/>
    <xf numFmtId="0" fontId="30" fillId="55" borderId="54" applyNumberFormat="0" applyAlignment="0" applyProtection="0"/>
    <xf numFmtId="0" fontId="37" fillId="42" borderId="54" applyNumberFormat="0" applyAlignment="0" applyProtection="0"/>
    <xf numFmtId="0" fontId="37" fillId="42" borderId="54" applyNumberFormat="0" applyAlignment="0" applyProtection="0"/>
    <xf numFmtId="0" fontId="30" fillId="55" borderId="54" applyNumberFormat="0" applyAlignment="0" applyProtection="0"/>
    <xf numFmtId="0" fontId="19" fillId="58" borderId="55" applyNumberFormat="0" applyFont="0" applyAlignment="0" applyProtection="0"/>
    <xf numFmtId="0" fontId="40" fillId="55" borderId="56" applyNumberFormat="0" applyAlignment="0" applyProtection="0"/>
    <xf numFmtId="0" fontId="19" fillId="58" borderId="55" applyNumberFormat="0" applyFont="0" applyAlignment="0" applyProtection="0"/>
    <xf numFmtId="0" fontId="40" fillId="55" borderId="56" applyNumberFormat="0" applyAlignment="0" applyProtection="0"/>
    <xf numFmtId="0" fontId="30" fillId="55" borderId="58" applyNumberFormat="0" applyAlignment="0" applyProtection="0"/>
    <xf numFmtId="10" fontId="71" fillId="67" borderId="61" applyNumberFormat="0" applyBorder="0" applyAlignment="0" applyProtection="0"/>
    <xf numFmtId="10" fontId="71" fillId="67" borderId="61" applyNumberFormat="0" applyBorder="0" applyAlignment="0" applyProtection="0"/>
    <xf numFmtId="0" fontId="37" fillId="42" borderId="58" applyNumberFormat="0" applyAlignment="0" applyProtection="0"/>
    <xf numFmtId="0" fontId="37" fillId="42" borderId="58" applyNumberFormat="0" applyAlignment="0" applyProtection="0"/>
    <xf numFmtId="0" fontId="30" fillId="55" borderId="58" applyNumberFormat="0" applyAlignment="0" applyProtection="0"/>
    <xf numFmtId="0" fontId="19" fillId="58" borderId="59" applyNumberFormat="0" applyFont="0" applyAlignment="0" applyProtection="0"/>
    <xf numFmtId="0" fontId="40" fillId="55" borderId="60" applyNumberFormat="0" applyAlignment="0" applyProtection="0"/>
    <xf numFmtId="0" fontId="19" fillId="58" borderId="59" applyNumberFormat="0" applyFont="0" applyAlignment="0" applyProtection="0"/>
    <xf numFmtId="0" fontId="40" fillId="55" borderId="60" applyNumberFormat="0" applyAlignment="0" applyProtection="0"/>
    <xf numFmtId="10" fontId="71" fillId="67" borderId="10" applyNumberFormat="0" applyBorder="0" applyAlignment="0" applyProtection="0"/>
    <xf numFmtId="0" fontId="37" fillId="42" borderId="67" applyNumberFormat="0" applyAlignment="0" applyProtection="0"/>
    <xf numFmtId="0" fontId="30" fillId="55" borderId="67" applyNumberFormat="0" applyAlignment="0" applyProtection="0"/>
    <xf numFmtId="0" fontId="30" fillId="55" borderId="63" applyNumberFormat="0" applyAlignment="0" applyProtection="0"/>
    <xf numFmtId="0" fontId="37" fillId="42" borderId="63" applyNumberFormat="0" applyAlignment="0" applyProtection="0"/>
    <xf numFmtId="0" fontId="37" fillId="42" borderId="63" applyNumberFormat="0" applyAlignment="0" applyProtection="0"/>
    <xf numFmtId="0" fontId="30" fillId="55" borderId="63" applyNumberFormat="0" applyAlignment="0" applyProtection="0"/>
    <xf numFmtId="0" fontId="19" fillId="58" borderId="64" applyNumberFormat="0" applyFont="0" applyAlignment="0" applyProtection="0"/>
    <xf numFmtId="0" fontId="40" fillId="55" borderId="65" applyNumberFormat="0" applyAlignment="0" applyProtection="0"/>
    <xf numFmtId="0" fontId="19" fillId="58" borderId="64" applyNumberFormat="0" applyFont="0" applyAlignment="0" applyProtection="0"/>
    <xf numFmtId="0" fontId="40" fillId="55" borderId="65" applyNumberFormat="0" applyAlignment="0" applyProtection="0"/>
    <xf numFmtId="0" fontId="30" fillId="55" borderId="67" applyNumberFormat="0" applyAlignment="0" applyProtection="0"/>
    <xf numFmtId="0" fontId="37" fillId="42" borderId="67" applyNumberFormat="0" applyAlignment="0" applyProtection="0"/>
    <xf numFmtId="0" fontId="37" fillId="42" borderId="67" applyNumberFormat="0" applyAlignment="0" applyProtection="0"/>
    <xf numFmtId="0" fontId="30" fillId="55" borderId="67" applyNumberFormat="0" applyAlignment="0" applyProtection="0"/>
    <xf numFmtId="0" fontId="19" fillId="58" borderId="68" applyNumberFormat="0" applyFont="0" applyAlignment="0" applyProtection="0"/>
    <xf numFmtId="0" fontId="40" fillId="55" borderId="69" applyNumberFormat="0" applyAlignment="0" applyProtection="0"/>
    <xf numFmtId="0" fontId="19" fillId="58" borderId="68" applyNumberFormat="0" applyFont="0" applyAlignment="0" applyProtection="0"/>
    <xf numFmtId="0" fontId="40" fillId="55" borderId="69" applyNumberFormat="0" applyAlignment="0" applyProtection="0"/>
    <xf numFmtId="10" fontId="71" fillId="67" borderId="10" applyNumberFormat="0" applyBorder="0" applyAlignment="0" applyProtection="0"/>
    <xf numFmtId="10" fontId="71" fillId="67" borderId="10" applyNumberFormat="0" applyBorder="0" applyAlignment="0" applyProtection="0"/>
    <xf numFmtId="0" fontId="101" fillId="0" borderId="0" applyNumberFormat="0" applyFill="0" applyBorder="0" applyAlignment="0" applyProtection="0"/>
    <xf numFmtId="9" fontId="1" fillId="0" borderId="0" applyFont="0" applyFill="0" applyBorder="0" applyAlignment="0" applyProtection="0"/>
    <xf numFmtId="0" fontId="103" fillId="0" borderId="0"/>
    <xf numFmtId="44" fontId="1" fillId="0" borderId="0" applyFont="0" applyFill="0" applyBorder="0" applyAlignment="0" applyProtection="0"/>
    <xf numFmtId="165" fontId="1" fillId="0" borderId="0" applyFont="0" applyFill="0" applyBorder="0" applyAlignment="0" applyProtection="0"/>
  </cellStyleXfs>
  <cellXfs count="885">
    <xf numFmtId="0" fontId="0" fillId="0" borderId="0" xfId="0"/>
    <xf numFmtId="0" fontId="0" fillId="34" borderId="0" xfId="0" applyFill="1"/>
    <xf numFmtId="0" fontId="22" fillId="34" borderId="0" xfId="43" applyFont="1" applyFill="1" applyAlignment="1" applyProtection="1">
      <alignment horizontal="left" vertical="center" wrapText="1" indent="2"/>
      <protection hidden="1"/>
    </xf>
    <xf numFmtId="0" fontId="16" fillId="34" borderId="0" xfId="0" applyFont="1" applyFill="1" applyAlignment="1">
      <alignment horizontal="left"/>
    </xf>
    <xf numFmtId="0" fontId="23" fillId="0" borderId="0" xfId="43" applyFont="1" applyAlignment="1">
      <alignment vertical="center"/>
    </xf>
    <xf numFmtId="0" fontId="23" fillId="34" borderId="0" xfId="43" applyFont="1" applyFill="1" applyAlignment="1">
      <alignment vertical="center"/>
    </xf>
    <xf numFmtId="0" fontId="17" fillId="34" borderId="0" xfId="0" applyFont="1" applyFill="1"/>
    <xf numFmtId="0" fontId="18" fillId="34" borderId="0" xfId="0" applyFont="1" applyFill="1"/>
    <xf numFmtId="0" fontId="0" fillId="34" borderId="0" xfId="0" applyFill="1" applyAlignment="1">
      <alignment vertical="center"/>
    </xf>
    <xf numFmtId="0" fontId="13" fillId="34" borderId="0" xfId="0" applyFont="1" applyFill="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16" fillId="34" borderId="0" xfId="0" applyFont="1" applyFill="1" applyAlignment="1">
      <alignment vertical="top"/>
    </xf>
    <xf numFmtId="0" fontId="16" fillId="34" borderId="0" xfId="0" applyFont="1" applyFill="1"/>
    <xf numFmtId="0" fontId="16" fillId="34" borderId="25"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26" xfId="0" applyFont="1" applyFill="1" applyBorder="1" applyAlignment="1">
      <alignment horizontal="center" vertical="center"/>
    </xf>
    <xf numFmtId="0" fontId="16" fillId="34" borderId="0" xfId="0" applyFont="1" applyFill="1" applyAlignment="1">
      <alignment horizontal="left" vertical="top"/>
    </xf>
    <xf numFmtId="0" fontId="16" fillId="34" borderId="0" xfId="0" applyFont="1" applyFill="1" applyAlignment="1">
      <alignment horizontal="left" vertical="top" indent="18"/>
    </xf>
    <xf numFmtId="0" fontId="16" fillId="34" borderId="0" xfId="0" applyFont="1" applyFill="1" applyAlignment="1">
      <alignment horizontal="left" vertical="top" wrapText="1" indent="18"/>
    </xf>
    <xf numFmtId="0" fontId="0" fillId="35" borderId="0" xfId="0" applyFill="1"/>
    <xf numFmtId="0" fontId="46" fillId="34" borderId="0" xfId="0" applyFont="1" applyFill="1"/>
    <xf numFmtId="0" fontId="47" fillId="34" borderId="0" xfId="0" applyFont="1" applyFill="1"/>
    <xf numFmtId="0" fontId="13" fillId="34" borderId="0" xfId="0" applyFont="1" applyFill="1"/>
    <xf numFmtId="0" fontId="16" fillId="34" borderId="25" xfId="0" applyFont="1" applyFill="1" applyBorder="1" applyAlignment="1">
      <alignment horizontal="center"/>
    </xf>
    <xf numFmtId="4" fontId="0" fillId="34" borderId="0" xfId="0" applyNumberFormat="1" applyFill="1" applyAlignment="1">
      <alignment horizontal="left" vertical="center" indent="1"/>
    </xf>
    <xf numFmtId="0" fontId="0" fillId="0" borderId="0" xfId="0" applyAlignment="1">
      <alignment vertical="center"/>
    </xf>
    <xf numFmtId="0" fontId="16" fillId="0" borderId="31" xfId="0" applyFont="1" applyBorder="1"/>
    <xf numFmtId="0" fontId="0" fillId="0" borderId="32" xfId="0" applyBorder="1"/>
    <xf numFmtId="0" fontId="0" fillId="0" borderId="33" xfId="0" applyBorder="1"/>
    <xf numFmtId="0" fontId="0" fillId="0" borderId="34" xfId="0" applyBorder="1"/>
    <xf numFmtId="0" fontId="0" fillId="0" borderId="36" xfId="0" applyBorder="1"/>
    <xf numFmtId="0" fontId="0" fillId="0" borderId="28" xfId="0" applyBorder="1"/>
    <xf numFmtId="2" fontId="0" fillId="0" borderId="0" xfId="0" applyNumberFormat="1"/>
    <xf numFmtId="2" fontId="0" fillId="0" borderId="28" xfId="0" applyNumberFormat="1" applyBorder="1"/>
    <xf numFmtId="0" fontId="0" fillId="61" borderId="0" xfId="0" applyFill="1"/>
    <xf numFmtId="0" fontId="0" fillId="36" borderId="0" xfId="0" applyFill="1"/>
    <xf numFmtId="0" fontId="0" fillId="63" borderId="0" xfId="0" applyFill="1"/>
    <xf numFmtId="0" fontId="0" fillId="0" borderId="31" xfId="0" applyBorder="1"/>
    <xf numFmtId="43" fontId="0" fillId="0" borderId="32" xfId="0" applyNumberFormat="1" applyBorder="1"/>
    <xf numFmtId="2" fontId="0" fillId="0" borderId="35" xfId="0" applyNumberFormat="1" applyBorder="1"/>
    <xf numFmtId="2" fontId="0" fillId="0" borderId="37" xfId="0" applyNumberFormat="1" applyBorder="1"/>
    <xf numFmtId="4" fontId="16" fillId="34" borderId="0" xfId="0" applyNumberFormat="1" applyFont="1" applyFill="1" applyAlignment="1">
      <alignment horizontal="center"/>
    </xf>
    <xf numFmtId="4" fontId="46" fillId="34" borderId="0" xfId="0" applyNumberFormat="1" applyFont="1" applyFill="1"/>
    <xf numFmtId="4" fontId="0" fillId="34" borderId="0" xfId="0" applyNumberFormat="1" applyFill="1"/>
    <xf numFmtId="170" fontId="16" fillId="34" borderId="0" xfId="0" applyNumberFormat="1" applyFont="1" applyFill="1" applyAlignment="1">
      <alignment horizontal="center"/>
    </xf>
    <xf numFmtId="170" fontId="45" fillId="34" borderId="0" xfId="0" applyNumberFormat="1" applyFont="1" applyFill="1" applyAlignment="1">
      <alignment horizontal="left"/>
    </xf>
    <xf numFmtId="170" fontId="0" fillId="34" borderId="0" xfId="0" applyNumberFormat="1" applyFill="1"/>
    <xf numFmtId="2" fontId="0" fillId="34" borderId="0" xfId="0" applyNumberFormat="1" applyFill="1" applyAlignment="1">
      <alignment horizontal="left" vertical="center" indent="1"/>
    </xf>
    <xf numFmtId="0" fontId="14" fillId="34" borderId="0" xfId="0" applyFont="1" applyFill="1"/>
    <xf numFmtId="169" fontId="0" fillId="0" borderId="0" xfId="0" applyNumberFormat="1"/>
    <xf numFmtId="169" fontId="0" fillId="0" borderId="32" xfId="0" applyNumberFormat="1" applyBorder="1"/>
    <xf numFmtId="169" fontId="0" fillId="0" borderId="33" xfId="0" applyNumberFormat="1" applyBorder="1"/>
    <xf numFmtId="169" fontId="0" fillId="0" borderId="28" xfId="0" applyNumberFormat="1" applyBorder="1"/>
    <xf numFmtId="169" fontId="0" fillId="0" borderId="35" xfId="0" applyNumberFormat="1" applyBorder="1"/>
    <xf numFmtId="169" fontId="0" fillId="0" borderId="37" xfId="0" applyNumberFormat="1" applyBorder="1"/>
    <xf numFmtId="169" fontId="0" fillId="60" borderId="0" xfId="0" applyNumberFormat="1" applyFill="1"/>
    <xf numFmtId="169" fontId="0" fillId="60" borderId="32" xfId="0" applyNumberFormat="1" applyFill="1" applyBorder="1"/>
    <xf numFmtId="0" fontId="0" fillId="60" borderId="0" xfId="0" applyFill="1"/>
    <xf numFmtId="0" fontId="21" fillId="34" borderId="0" xfId="43" applyFont="1" applyFill="1" applyAlignment="1" applyProtection="1">
      <alignment horizontal="left" vertical="center" wrapText="1" indent="2"/>
      <protection hidden="1"/>
    </xf>
    <xf numFmtId="4" fontId="0" fillId="60" borderId="0" xfId="0" applyNumberFormat="1" applyFill="1"/>
    <xf numFmtId="169" fontId="0" fillId="60" borderId="28" xfId="0" applyNumberFormat="1" applyFill="1" applyBorder="1"/>
    <xf numFmtId="0" fontId="0" fillId="34" borderId="15" xfId="0" applyFill="1" applyBorder="1" applyAlignment="1">
      <alignment horizontal="right" vertical="center"/>
    </xf>
    <xf numFmtId="0" fontId="0" fillId="34" borderId="15" xfId="0" applyFill="1" applyBorder="1" applyAlignment="1">
      <alignment horizontal="center"/>
    </xf>
    <xf numFmtId="14" fontId="0" fillId="34" borderId="15" xfId="0" applyNumberFormat="1" applyFill="1" applyBorder="1" applyAlignment="1">
      <alignment horizontal="center"/>
    </xf>
    <xf numFmtId="0" fontId="53" fillId="34" borderId="0" xfId="0" applyFont="1" applyFill="1"/>
    <xf numFmtId="0" fontId="0" fillId="62" borderId="0" xfId="0" applyFill="1"/>
    <xf numFmtId="0" fontId="55" fillId="34" borderId="0" xfId="43" applyFont="1" applyFill="1" applyAlignment="1" applyProtection="1">
      <alignment horizontal="left" vertical="center" wrapText="1" indent="2"/>
      <protection hidden="1"/>
    </xf>
    <xf numFmtId="0" fontId="56" fillId="34" borderId="0" xfId="43" applyFont="1" applyFill="1" applyAlignment="1" applyProtection="1">
      <alignment horizontal="left" vertical="center" wrapText="1" indent="2"/>
      <protection hidden="1"/>
    </xf>
    <xf numFmtId="0" fontId="57" fillId="34" borderId="0" xfId="0" applyFont="1" applyFill="1"/>
    <xf numFmtId="4" fontId="59" fillId="34" borderId="0" xfId="0" applyNumberFormat="1" applyFont="1" applyFill="1"/>
    <xf numFmtId="0" fontId="24" fillId="34" borderId="15" xfId="43" applyFont="1" applyFill="1" applyBorder="1" applyAlignment="1" applyProtection="1">
      <alignment vertical="center"/>
      <protection hidden="1"/>
    </xf>
    <xf numFmtId="0" fontId="24" fillId="34" borderId="0" xfId="43" applyFont="1" applyFill="1" applyAlignment="1" applyProtection="1">
      <alignment vertical="center"/>
      <protection hidden="1"/>
    </xf>
    <xf numFmtId="0" fontId="86" fillId="34" borderId="0" xfId="43" applyFont="1" applyFill="1" applyAlignment="1" applyProtection="1">
      <alignment horizontal="left" vertical="center" indent="2"/>
      <protection hidden="1"/>
    </xf>
    <xf numFmtId="170" fontId="0" fillId="36" borderId="12" xfId="0" applyNumberFormat="1" applyFill="1" applyBorder="1" applyAlignment="1">
      <alignment horizontal="center" vertical="center"/>
    </xf>
    <xf numFmtId="4" fontId="0" fillId="36" borderId="13" xfId="0" applyNumberFormat="1" applyFill="1" applyBorder="1" applyAlignment="1">
      <alignment horizontal="center" vertical="center"/>
    </xf>
    <xf numFmtId="0" fontId="0" fillId="36" borderId="13" xfId="0" applyFill="1" applyBorder="1" applyAlignment="1">
      <alignment horizontal="center" vertical="center"/>
    </xf>
    <xf numFmtId="0" fontId="0" fillId="36" borderId="14" xfId="0" applyFill="1" applyBorder="1" applyAlignment="1">
      <alignment horizontal="center" vertical="center"/>
    </xf>
    <xf numFmtId="0" fontId="48" fillId="34" borderId="28" xfId="0" applyFont="1" applyFill="1" applyBorder="1" applyAlignment="1">
      <alignment horizontal="left"/>
    </xf>
    <xf numFmtId="0" fontId="26" fillId="34" borderId="0" xfId="0" applyFont="1" applyFill="1" applyAlignment="1">
      <alignment horizontal="left" vertical="center" wrapText="1"/>
    </xf>
    <xf numFmtId="0" fontId="90" fillId="34" borderId="0" xfId="0" applyFont="1" applyFill="1"/>
    <xf numFmtId="0" fontId="90" fillId="34" borderId="28" xfId="0" applyFont="1" applyFill="1" applyBorder="1"/>
    <xf numFmtId="0" fontId="16" fillId="34" borderId="28" xfId="0" applyFont="1" applyFill="1" applyBorder="1"/>
    <xf numFmtId="0" fontId="89" fillId="34" borderId="0" xfId="0" applyFont="1" applyFill="1"/>
    <xf numFmtId="0" fontId="89" fillId="34" borderId="28" xfId="0" applyFont="1" applyFill="1" applyBorder="1"/>
    <xf numFmtId="0" fontId="0" fillId="34" borderId="28" xfId="0" applyFill="1" applyBorder="1"/>
    <xf numFmtId="0" fontId="0" fillId="36" borderId="74" xfId="0" applyFill="1" applyBorder="1" applyAlignment="1">
      <alignment horizontal="center" vertical="center"/>
    </xf>
    <xf numFmtId="4" fontId="0" fillId="0" borderId="32" xfId="0" applyNumberFormat="1" applyBorder="1"/>
    <xf numFmtId="4" fontId="0" fillId="0" borderId="0" xfId="0" applyNumberFormat="1"/>
    <xf numFmtId="2" fontId="0" fillId="0" borderId="32" xfId="0" applyNumberFormat="1" applyBorder="1"/>
    <xf numFmtId="0" fontId="0" fillId="0" borderId="0" xfId="0" applyAlignment="1">
      <alignment wrapText="1"/>
    </xf>
    <xf numFmtId="0" fontId="13" fillId="69" borderId="0" xfId="0" applyFont="1" applyFill="1" applyAlignment="1">
      <alignment vertical="center"/>
    </xf>
    <xf numFmtId="0" fontId="13" fillId="0" borderId="0" xfId="0" applyFont="1" applyAlignment="1">
      <alignment vertical="center"/>
    </xf>
    <xf numFmtId="0" fontId="0" fillId="70" borderId="0" xfId="0" applyFill="1"/>
    <xf numFmtId="0" fontId="0" fillId="0" borderId="0" xfId="0" applyAlignment="1">
      <alignment vertical="top" wrapText="1"/>
    </xf>
    <xf numFmtId="0" fontId="13" fillId="0" borderId="0" xfId="0" applyFont="1" applyAlignment="1">
      <alignment wrapText="1"/>
    </xf>
    <xf numFmtId="0" fontId="13" fillId="70" borderId="0" xfId="0" applyFont="1" applyFill="1"/>
    <xf numFmtId="0" fontId="13" fillId="0" borderId="0" xfId="0" applyFont="1"/>
    <xf numFmtId="0" fontId="0" fillId="71" borderId="0" xfId="0" applyFill="1"/>
    <xf numFmtId="0" fontId="95" fillId="34" borderId="0" xfId="0" applyFont="1" applyFill="1"/>
    <xf numFmtId="0" fontId="96" fillId="34" borderId="0" xfId="1899" applyFont="1" applyFill="1" applyAlignment="1" applyProtection="1">
      <alignment vertical="center"/>
      <protection hidden="1"/>
    </xf>
    <xf numFmtId="0" fontId="26" fillId="0" borderId="0" xfId="0" applyFont="1"/>
    <xf numFmtId="0" fontId="26" fillId="34" borderId="0" xfId="0" applyFont="1" applyFill="1"/>
    <xf numFmtId="0" fontId="25" fillId="34" borderId="0" xfId="0" applyFont="1" applyFill="1" applyAlignment="1">
      <alignment horizontal="left" vertical="center"/>
    </xf>
    <xf numFmtId="3" fontId="0" fillId="34" borderId="0" xfId="0" applyNumberFormat="1" applyFill="1"/>
    <xf numFmtId="43" fontId="0" fillId="34" borderId="0" xfId="0" applyNumberFormat="1" applyFill="1"/>
    <xf numFmtId="0" fontId="47" fillId="34" borderId="0" xfId="0" applyFont="1" applyFill="1" applyAlignment="1">
      <alignment vertical="center"/>
    </xf>
    <xf numFmtId="4" fontId="47" fillId="59" borderId="76" xfId="1" applyNumberFormat="1" applyFont="1" applyFill="1" applyBorder="1" applyAlignment="1" applyProtection="1">
      <alignment horizontal="center" vertical="center"/>
    </xf>
    <xf numFmtId="170" fontId="0" fillId="35" borderId="0" xfId="0" applyNumberFormat="1" applyFill="1" applyAlignment="1">
      <alignment horizontal="center" vertical="center"/>
    </xf>
    <xf numFmtId="170" fontId="0" fillId="34" borderId="0" xfId="0" applyNumberFormat="1" applyFill="1" applyAlignment="1">
      <alignment horizontal="center" vertical="center"/>
    </xf>
    <xf numFmtId="4" fontId="0" fillId="36" borderId="13" xfId="0" applyNumberFormat="1" applyFill="1" applyBorder="1" applyAlignment="1">
      <alignment horizontal="center" vertical="center" wrapText="1"/>
    </xf>
    <xf numFmtId="43" fontId="16" fillId="34" borderId="0" xfId="1" applyFont="1" applyFill="1" applyBorder="1" applyAlignment="1">
      <alignment horizontal="center" vertical="center" wrapText="1"/>
    </xf>
    <xf numFmtId="0" fontId="0" fillId="34" borderId="0" xfId="0" applyFill="1" applyAlignment="1">
      <alignment wrapText="1"/>
    </xf>
    <xf numFmtId="0" fontId="0" fillId="34" borderId="0" xfId="0" applyFill="1" applyAlignment="1">
      <alignment horizontal="right" vertical="center"/>
    </xf>
    <xf numFmtId="0" fontId="16" fillId="36" borderId="0" xfId="0" applyFont="1" applyFill="1"/>
    <xf numFmtId="0" fontId="54" fillId="34" borderId="0" xfId="0" applyFont="1" applyFill="1" applyAlignment="1">
      <alignment horizontal="right"/>
    </xf>
    <xf numFmtId="14" fontId="53" fillId="34" borderId="0" xfId="0" applyNumberFormat="1" applyFont="1" applyFill="1" applyAlignment="1">
      <alignment horizontal="center"/>
    </xf>
    <xf numFmtId="0" fontId="16" fillId="34" borderId="0" xfId="0" applyFont="1" applyFill="1" applyAlignment="1">
      <alignment horizontal="center"/>
    </xf>
    <xf numFmtId="169" fontId="47" fillId="59" borderId="72" xfId="1" applyNumberFormat="1" applyFont="1" applyFill="1" applyBorder="1" applyAlignment="1" applyProtection="1">
      <alignment horizontal="center" vertical="center"/>
    </xf>
    <xf numFmtId="4" fontId="0" fillId="36" borderId="30" xfId="0" applyNumberFormat="1" applyFill="1" applyBorder="1" applyAlignment="1">
      <alignment horizontal="center" vertical="center"/>
    </xf>
    <xf numFmtId="0" fontId="0" fillId="36" borderId="80" xfId="0" applyFill="1" applyBorder="1" applyAlignment="1">
      <alignment horizontal="center" vertical="center"/>
    </xf>
    <xf numFmtId="0" fontId="26" fillId="34" borderId="0" xfId="0" applyFont="1" applyFill="1" applyAlignment="1">
      <alignment vertical="center" wrapText="1"/>
    </xf>
    <xf numFmtId="0" fontId="25" fillId="34" borderId="0" xfId="0" applyFont="1" applyFill="1" applyAlignment="1">
      <alignment vertical="center"/>
    </xf>
    <xf numFmtId="0" fontId="59" fillId="34" borderId="0" xfId="0" applyFont="1" applyFill="1" applyAlignment="1">
      <alignment vertical="center" wrapText="1"/>
    </xf>
    <xf numFmtId="169" fontId="47" fillId="59" borderId="76" xfId="1" applyNumberFormat="1" applyFont="1" applyFill="1" applyBorder="1" applyAlignment="1" applyProtection="1">
      <alignment horizontal="center" vertical="center"/>
    </xf>
    <xf numFmtId="4" fontId="102" fillId="36" borderId="30" xfId="2600" applyNumberFormat="1" applyFont="1" applyFill="1" applyBorder="1" applyAlignment="1" applyProtection="1">
      <alignment horizontal="center" vertical="center"/>
    </xf>
    <xf numFmtId="0" fontId="25" fillId="34" borderId="0" xfId="0" applyFont="1" applyFill="1"/>
    <xf numFmtId="0" fontId="88" fillId="0" borderId="0" xfId="0" applyFont="1" applyAlignment="1">
      <alignment horizontal="right"/>
    </xf>
    <xf numFmtId="188" fontId="88" fillId="0" borderId="0" xfId="0" applyNumberFormat="1" applyFont="1"/>
    <xf numFmtId="169" fontId="88" fillId="0" borderId="0" xfId="0" applyNumberFormat="1" applyFont="1"/>
    <xf numFmtId="14" fontId="0" fillId="34" borderId="0" xfId="0" applyNumberFormat="1" applyFill="1" applyAlignment="1">
      <alignment horizontal="left"/>
    </xf>
    <xf numFmtId="0" fontId="0" fillId="34" borderId="81" xfId="0" applyFill="1" applyBorder="1" applyAlignment="1">
      <alignment vertical="top"/>
    </xf>
    <xf numFmtId="167" fontId="0" fillId="34" borderId="81" xfId="0" applyNumberFormat="1" applyFill="1" applyBorder="1" applyAlignment="1">
      <alignment horizontal="left" vertical="center"/>
    </xf>
    <xf numFmtId="0" fontId="0" fillId="34" borderId="82" xfId="0" applyFill="1" applyBorder="1" applyAlignment="1">
      <alignment horizontal="left" vertical="center" indent="1"/>
    </xf>
    <xf numFmtId="0" fontId="0" fillId="34" borderId="82" xfId="0" applyFill="1" applyBorder="1" applyAlignment="1">
      <alignment horizontal="left" vertical="center" wrapText="1" indent="1"/>
    </xf>
    <xf numFmtId="0" fontId="0" fillId="36" borderId="82" xfId="0" applyFill="1" applyBorder="1" applyAlignment="1">
      <alignment vertical="center" wrapText="1"/>
    </xf>
    <xf numFmtId="0" fontId="0" fillId="59" borderId="79" xfId="0" applyFill="1" applyBorder="1" applyAlignment="1" applyProtection="1">
      <alignment vertical="center"/>
      <protection locked="0"/>
    </xf>
    <xf numFmtId="4" fontId="0" fillId="0" borderId="0" xfId="0" applyNumberFormat="1" applyAlignment="1">
      <alignment horizontal="left" vertical="center" indent="1"/>
    </xf>
    <xf numFmtId="0" fontId="44" fillId="0" borderId="0" xfId="0" applyFont="1"/>
    <xf numFmtId="10" fontId="0" fillId="0" borderId="0" xfId="0" applyNumberFormat="1" applyAlignment="1">
      <alignment horizontal="left" vertical="center" indent="1"/>
    </xf>
    <xf numFmtId="0" fontId="49" fillId="34" borderId="0" xfId="0" applyFont="1" applyFill="1"/>
    <xf numFmtId="2" fontId="0" fillId="0" borderId="0" xfId="0" applyNumberFormat="1" applyAlignment="1">
      <alignment horizontal="left" vertical="center"/>
    </xf>
    <xf numFmtId="4" fontId="47" fillId="59" borderId="72" xfId="1" applyNumberFormat="1" applyFont="1" applyFill="1" applyBorder="1" applyAlignment="1" applyProtection="1">
      <alignment horizontal="center" vertical="center"/>
    </xf>
    <xf numFmtId="4" fontId="0" fillId="34" borderId="0" xfId="0" applyNumberFormat="1" applyFill="1" applyAlignment="1">
      <alignment vertical="center"/>
    </xf>
    <xf numFmtId="9" fontId="88" fillId="0" borderId="0" xfId="2601" applyFont="1"/>
    <xf numFmtId="4" fontId="0" fillId="36" borderId="14" xfId="0" applyNumberFormat="1" applyFill="1" applyBorder="1" applyAlignment="1">
      <alignment horizontal="center" vertical="center"/>
    </xf>
    <xf numFmtId="0" fontId="50" fillId="34" borderId="0" xfId="0" applyFont="1" applyFill="1"/>
    <xf numFmtId="0" fontId="50" fillId="34" borderId="0" xfId="0" applyFont="1" applyFill="1" applyAlignment="1">
      <alignment horizontal="center" wrapText="1"/>
    </xf>
    <xf numFmtId="0" fontId="46" fillId="34" borderId="0" xfId="0" applyFont="1" applyFill="1" applyAlignment="1">
      <alignment wrapText="1"/>
    </xf>
    <xf numFmtId="0" fontId="0" fillId="34" borderId="87" xfId="0" applyFill="1" applyBorder="1" applyAlignment="1">
      <alignment horizontal="center" vertical="center"/>
    </xf>
    <xf numFmtId="167" fontId="0" fillId="34" borderId="87" xfId="0" applyNumberFormat="1" applyFill="1" applyBorder="1" applyAlignment="1">
      <alignment horizontal="center" vertical="center"/>
    </xf>
    <xf numFmtId="0" fontId="0" fillId="34" borderId="86" xfId="0" applyFill="1" applyBorder="1" applyAlignment="1">
      <alignment horizontal="left" vertical="center" indent="1"/>
    </xf>
    <xf numFmtId="0" fontId="0" fillId="34" borderId="87" xfId="0" applyFill="1" applyBorder="1" applyAlignment="1">
      <alignment vertical="top"/>
    </xf>
    <xf numFmtId="0" fontId="0" fillId="34" borderId="86" xfId="0" applyFill="1" applyBorder="1" applyAlignment="1">
      <alignment horizontal="left" vertical="center" wrapText="1" indent="1"/>
    </xf>
    <xf numFmtId="0" fontId="0" fillId="35" borderId="86" xfId="0" applyFill="1" applyBorder="1"/>
    <xf numFmtId="166" fontId="1" fillId="33" borderId="86" xfId="1" applyNumberFormat="1" applyFont="1" applyFill="1" applyBorder="1" applyAlignment="1" applyProtection="1">
      <alignment horizontal="center" vertical="center"/>
      <protection locked="0"/>
    </xf>
    <xf numFmtId="0" fontId="0" fillId="34" borderId="87" xfId="0" applyFill="1" applyBorder="1" applyAlignment="1">
      <alignment horizontal="center" vertical="top"/>
    </xf>
    <xf numFmtId="0" fontId="16" fillId="34" borderId="15" xfId="0" applyFont="1" applyFill="1" applyBorder="1" applyAlignment="1">
      <alignment horizontal="right"/>
    </xf>
    <xf numFmtId="3" fontId="47" fillId="59" borderId="76" xfId="1" applyNumberFormat="1" applyFont="1" applyFill="1" applyBorder="1" applyAlignment="1" applyProtection="1">
      <alignment horizontal="center" vertical="center"/>
    </xf>
    <xf numFmtId="0" fontId="0" fillId="34" borderId="0" xfId="0" applyFill="1" applyAlignment="1">
      <alignment horizontal="center"/>
    </xf>
    <xf numFmtId="166" fontId="1" fillId="35" borderId="79" xfId="1" applyNumberFormat="1" applyFont="1" applyFill="1" applyBorder="1" applyAlignment="1" applyProtection="1">
      <alignment horizontal="center" vertical="center" wrapText="1"/>
      <protection locked="0"/>
    </xf>
    <xf numFmtId="14" fontId="0" fillId="34" borderId="0" xfId="0" applyNumberFormat="1" applyFill="1" applyAlignment="1">
      <alignment horizontal="center"/>
    </xf>
    <xf numFmtId="4" fontId="0" fillId="36" borderId="74" xfId="0" applyNumberFormat="1" applyFill="1" applyBorder="1" applyAlignment="1">
      <alignment horizontal="center" vertical="center"/>
    </xf>
    <xf numFmtId="4" fontId="0" fillId="36" borderId="12" xfId="0" applyNumberFormat="1" applyFill="1" applyBorder="1" applyAlignment="1">
      <alignment horizontal="center" vertical="center"/>
    </xf>
    <xf numFmtId="0" fontId="26" fillId="34" borderId="0" xfId="0" applyFont="1" applyFill="1" applyAlignment="1">
      <alignment horizontal="left" vertical="center" indent="1"/>
    </xf>
    <xf numFmtId="14" fontId="0" fillId="34" borderId="82" xfId="0" applyNumberFormat="1" applyFill="1" applyBorder="1" applyAlignment="1">
      <alignment horizontal="left" vertical="center" indent="1"/>
    </xf>
    <xf numFmtId="0" fontId="99" fillId="69" borderId="0" xfId="0" applyFont="1" applyFill="1" applyAlignment="1">
      <alignment vertical="center"/>
    </xf>
    <xf numFmtId="10" fontId="0" fillId="34" borderId="0" xfId="0" applyNumberFormat="1" applyFill="1"/>
    <xf numFmtId="0" fontId="106" fillId="34" borderId="0" xfId="0" applyFont="1" applyFill="1"/>
    <xf numFmtId="3" fontId="106" fillId="34" borderId="0" xfId="0" applyNumberFormat="1" applyFont="1" applyFill="1"/>
    <xf numFmtId="0" fontId="0" fillId="0" borderId="0" xfId="0" applyAlignment="1">
      <alignment horizontal="left"/>
    </xf>
    <xf numFmtId="0" fontId="0" fillId="34" borderId="0" xfId="0" applyFill="1" applyAlignment="1">
      <alignment horizontal="left"/>
    </xf>
    <xf numFmtId="0" fontId="16" fillId="36" borderId="82" xfId="0" applyFont="1" applyFill="1" applyBorder="1"/>
    <xf numFmtId="0" fontId="16" fillId="36" borderId="82" xfId="0" applyFont="1" applyFill="1" applyBorder="1" applyAlignment="1">
      <alignment horizontal="center" vertical="center" wrapText="1"/>
    </xf>
    <xf numFmtId="0" fontId="16" fillId="0" borderId="86" xfId="0" applyFont="1" applyBorder="1"/>
    <xf numFmtId="0" fontId="16" fillId="0" borderId="11" xfId="0" applyFont="1" applyBorder="1"/>
    <xf numFmtId="0" fontId="16" fillId="0" borderId="26" xfId="0" applyFont="1" applyBorder="1"/>
    <xf numFmtId="169" fontId="0" fillId="35" borderId="98" xfId="1" applyNumberFormat="1" applyFont="1" applyFill="1" applyBorder="1" applyAlignment="1" applyProtection="1">
      <alignment horizontal="center" vertical="center"/>
    </xf>
    <xf numFmtId="168" fontId="1" fillId="35" borderId="99" xfId="1" applyNumberFormat="1" applyFont="1" applyFill="1" applyBorder="1" applyAlignment="1" applyProtection="1">
      <alignment horizontal="center" vertical="center"/>
    </xf>
    <xf numFmtId="168" fontId="1" fillId="35" borderId="87" xfId="1" applyNumberFormat="1" applyFont="1" applyFill="1" applyBorder="1" applyAlignment="1" applyProtection="1">
      <alignment horizontal="center" vertical="center"/>
    </xf>
    <xf numFmtId="168" fontId="0" fillId="35" borderId="99" xfId="0" applyNumberFormat="1" applyFill="1" applyBorder="1" applyAlignment="1">
      <alignment horizontal="center" vertical="center"/>
    </xf>
    <xf numFmtId="168" fontId="0" fillId="35" borderId="98" xfId="0" applyNumberFormat="1" applyFill="1" applyBorder="1" applyAlignment="1">
      <alignment horizontal="center" vertical="center"/>
    </xf>
    <xf numFmtId="0" fontId="0" fillId="73" borderId="99" xfId="0" applyFill="1" applyBorder="1" applyAlignment="1" applyProtection="1">
      <alignment horizontal="left" vertical="center"/>
      <protection locked="0"/>
    </xf>
    <xf numFmtId="4" fontId="47" fillId="59" borderId="104" xfId="1" applyNumberFormat="1" applyFont="1" applyFill="1" applyBorder="1" applyAlignment="1" applyProtection="1">
      <alignment horizontal="center" vertical="center"/>
    </xf>
    <xf numFmtId="4" fontId="0" fillId="36" borderId="93" xfId="0" applyNumberFormat="1" applyFill="1" applyBorder="1" applyAlignment="1">
      <alignment horizontal="center" vertical="center"/>
    </xf>
    <xf numFmtId="0" fontId="14" fillId="0" borderId="0" xfId="0" applyFont="1" applyAlignment="1">
      <alignment horizontal="right" wrapText="1"/>
    </xf>
    <xf numFmtId="2" fontId="26" fillId="35" borderId="12" xfId="0" applyNumberFormat="1" applyFont="1" applyFill="1" applyBorder="1" applyAlignment="1">
      <alignment horizontal="left"/>
    </xf>
    <xf numFmtId="43" fontId="26" fillId="35" borderId="13" xfId="0" applyNumberFormat="1" applyFont="1" applyFill="1" applyBorder="1" applyAlignment="1">
      <alignment horizontal="left" vertical="center"/>
    </xf>
    <xf numFmtId="3" fontId="49" fillId="35" borderId="13" xfId="0" applyNumberFormat="1" applyFont="1" applyFill="1" applyBorder="1" applyAlignment="1">
      <alignment horizontal="left" vertical="center"/>
    </xf>
    <xf numFmtId="1" fontId="49" fillId="35" borderId="13" xfId="0" applyNumberFormat="1" applyFont="1" applyFill="1" applyBorder="1" applyAlignment="1">
      <alignment horizontal="left" vertical="center"/>
    </xf>
    <xf numFmtId="2" fontId="26" fillId="35" borderId="99" xfId="0" applyNumberFormat="1" applyFont="1" applyFill="1" applyBorder="1" applyAlignment="1">
      <alignment horizontal="left"/>
    </xf>
    <xf numFmtId="2" fontId="26" fillId="35" borderId="100" xfId="0" applyNumberFormat="1" applyFont="1" applyFill="1" applyBorder="1" applyAlignment="1">
      <alignment horizontal="left"/>
    </xf>
    <xf numFmtId="2" fontId="0" fillId="35" borderId="102" xfId="0" applyNumberFormat="1" applyFill="1" applyBorder="1" applyAlignment="1">
      <alignment horizontal="left" vertical="center"/>
    </xf>
    <xf numFmtId="43" fontId="26" fillId="35" borderId="102" xfId="0" applyNumberFormat="1" applyFont="1" applyFill="1" applyBorder="1" applyAlignment="1">
      <alignment horizontal="left" vertical="center"/>
    </xf>
    <xf numFmtId="1" fontId="49" fillId="35" borderId="102" xfId="0" applyNumberFormat="1" applyFont="1" applyFill="1" applyBorder="1" applyAlignment="1">
      <alignment horizontal="left" vertical="center"/>
    </xf>
    <xf numFmtId="2" fontId="0" fillId="35" borderId="12" xfId="0" applyNumberFormat="1" applyFill="1" applyBorder="1" applyAlignment="1">
      <alignment horizontal="left" vertical="center"/>
    </xf>
    <xf numFmtId="2" fontId="0" fillId="35" borderId="13" xfId="0" applyNumberFormat="1" applyFill="1" applyBorder="1" applyAlignment="1">
      <alignment horizontal="left" vertical="center"/>
    </xf>
    <xf numFmtId="2" fontId="0" fillId="35" borderId="99" xfId="0" applyNumberFormat="1" applyFill="1" applyBorder="1" applyAlignment="1">
      <alignment horizontal="left" vertical="center"/>
    </xf>
    <xf numFmtId="2" fontId="0" fillId="35" borderId="100" xfId="0" applyNumberFormat="1" applyFill="1" applyBorder="1" applyAlignment="1">
      <alignment horizontal="left" vertical="center"/>
    </xf>
    <xf numFmtId="3" fontId="49" fillId="35" borderId="102" xfId="0" applyNumberFormat="1" applyFont="1" applyFill="1" applyBorder="1" applyAlignment="1">
      <alignment horizontal="left" vertical="center"/>
    </xf>
    <xf numFmtId="1" fontId="106" fillId="35" borderId="102" xfId="0" applyNumberFormat="1" applyFont="1" applyFill="1" applyBorder="1" applyAlignment="1">
      <alignment horizontal="left" vertical="center"/>
    </xf>
    <xf numFmtId="0" fontId="47" fillId="36" borderId="82" xfId="0" applyFont="1" applyFill="1" applyBorder="1" applyAlignment="1">
      <alignment horizontal="center" vertical="center" wrapText="1"/>
    </xf>
    <xf numFmtId="0" fontId="0" fillId="36" borderId="106" xfId="0" applyFill="1" applyBorder="1" applyAlignment="1">
      <alignment vertical="center" wrapText="1"/>
    </xf>
    <xf numFmtId="0" fontId="0" fillId="36" borderId="107" xfId="0" applyFill="1" applyBorder="1" applyAlignment="1">
      <alignment vertical="center" wrapText="1"/>
    </xf>
    <xf numFmtId="0" fontId="0" fillId="36" borderId="107" xfId="0" applyFill="1" applyBorder="1" applyAlignment="1">
      <alignment vertical="center"/>
    </xf>
    <xf numFmtId="0" fontId="89" fillId="36" borderId="107" xfId="0" applyFont="1" applyFill="1" applyBorder="1" applyAlignment="1">
      <alignment horizontal="center" vertical="center" wrapText="1"/>
    </xf>
    <xf numFmtId="0" fontId="16" fillId="36" borderId="108" xfId="0" applyFont="1" applyFill="1" applyBorder="1" applyAlignment="1">
      <alignment vertical="center" wrapText="1"/>
    </xf>
    <xf numFmtId="0" fontId="1" fillId="33" borderId="99" xfId="1" applyNumberFormat="1" applyFont="1" applyFill="1" applyBorder="1" applyAlignment="1" applyProtection="1">
      <alignment horizontal="center" vertical="center"/>
      <protection locked="0"/>
    </xf>
    <xf numFmtId="166" fontId="1" fillId="33" borderId="98" xfId="1" applyNumberFormat="1" applyFont="1" applyFill="1" applyBorder="1" applyAlignment="1" applyProtection="1">
      <alignment horizontal="center" vertical="center"/>
      <protection locked="0"/>
    </xf>
    <xf numFmtId="4" fontId="47" fillId="59" borderId="102" xfId="1" applyNumberFormat="1" applyFont="1" applyFill="1" applyBorder="1" applyAlignment="1" applyProtection="1">
      <alignment horizontal="center" vertical="center"/>
    </xf>
    <xf numFmtId="4" fontId="1" fillId="35" borderId="99" xfId="1" applyNumberFormat="1" applyFont="1" applyFill="1" applyBorder="1" applyAlignment="1" applyProtection="1">
      <alignment horizontal="center" vertical="center"/>
    </xf>
    <xf numFmtId="4" fontId="47" fillId="59" borderId="100" xfId="1" applyNumberFormat="1" applyFont="1" applyFill="1" applyBorder="1" applyAlignment="1" applyProtection="1">
      <alignment horizontal="center" vertical="center"/>
    </xf>
    <xf numFmtId="170" fontId="1" fillId="35" borderId="99" xfId="1" applyNumberFormat="1" applyFont="1" applyFill="1" applyBorder="1" applyAlignment="1" applyProtection="1">
      <alignment horizontal="center" vertical="center"/>
    </xf>
    <xf numFmtId="7" fontId="1" fillId="33" borderId="98" xfId="1" applyNumberFormat="1" applyFont="1" applyFill="1" applyBorder="1" applyAlignment="1" applyProtection="1">
      <alignment horizontal="center" vertical="center"/>
      <protection locked="0"/>
    </xf>
    <xf numFmtId="170" fontId="47" fillId="59" borderId="100" xfId="1" applyNumberFormat="1" applyFont="1" applyFill="1" applyBorder="1" applyAlignment="1" applyProtection="1">
      <alignment horizontal="center" vertical="center"/>
    </xf>
    <xf numFmtId="3" fontId="47" fillId="59" borderId="102" xfId="1" applyNumberFormat="1" applyFont="1" applyFill="1" applyBorder="1" applyAlignment="1" applyProtection="1">
      <alignment horizontal="center" vertical="center"/>
    </xf>
    <xf numFmtId="169" fontId="47" fillId="59" borderId="102" xfId="1" applyNumberFormat="1" applyFont="1" applyFill="1" applyBorder="1" applyAlignment="1" applyProtection="1">
      <alignment horizontal="center" vertical="center"/>
    </xf>
    <xf numFmtId="0" fontId="47" fillId="59" borderId="10" xfId="2602" applyFont="1" applyFill="1" applyBorder="1"/>
    <xf numFmtId="0" fontId="47" fillId="59" borderId="10" xfId="2602" applyFont="1" applyFill="1" applyBorder="1" applyAlignment="1">
      <alignment horizontal="center"/>
    </xf>
    <xf numFmtId="0" fontId="103" fillId="0" borderId="10" xfId="2602" applyBorder="1"/>
    <xf numFmtId="0" fontId="103" fillId="0" borderId="10" xfId="2602" applyBorder="1" applyAlignment="1">
      <alignment horizontal="center"/>
    </xf>
    <xf numFmtId="0" fontId="0" fillId="35" borderId="10" xfId="0" applyFill="1" applyBorder="1" applyAlignment="1">
      <alignment horizontal="left" vertical="center" indent="1"/>
    </xf>
    <xf numFmtId="0" fontId="0" fillId="33" borderId="10" xfId="0" applyFill="1" applyBorder="1" applyAlignment="1">
      <alignment horizontal="left" vertical="center" indent="1"/>
    </xf>
    <xf numFmtId="0" fontId="0" fillId="35" borderId="10" xfId="0" applyFill="1" applyBorder="1" applyAlignment="1">
      <alignment horizontal="left" vertical="center" wrapText="1" indent="1"/>
    </xf>
    <xf numFmtId="0" fontId="0" fillId="34" borderId="10" xfId="0" applyFill="1" applyBorder="1" applyAlignment="1">
      <alignment horizontal="left" vertical="center" wrapText="1" indent="1"/>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indent="1"/>
    </xf>
    <xf numFmtId="0" fontId="50" fillId="35" borderId="10" xfId="0" applyFont="1" applyFill="1" applyBorder="1" applyAlignment="1">
      <alignment horizontal="left" vertical="center" indent="1"/>
    </xf>
    <xf numFmtId="0" fontId="103" fillId="35" borderId="10" xfId="0" applyFont="1" applyFill="1" applyBorder="1" applyAlignment="1">
      <alignment horizontal="left" vertical="center" indent="1"/>
    </xf>
    <xf numFmtId="0" fontId="0" fillId="36" borderId="10" xfId="0" applyFill="1" applyBorder="1" applyAlignment="1">
      <alignment horizontal="center" vertical="center"/>
    </xf>
    <xf numFmtId="0" fontId="0" fillId="35" borderId="10" xfId="0" applyFill="1" applyBorder="1"/>
    <xf numFmtId="0" fontId="49" fillId="35" borderId="10" xfId="0" applyFont="1" applyFill="1" applyBorder="1"/>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2" fontId="49" fillId="35" borderId="10" xfId="0" applyNumberFormat="1" applyFont="1" applyFill="1" applyBorder="1"/>
    <xf numFmtId="9" fontId="49" fillId="35" borderId="10" xfId="0" applyNumberFormat="1" applyFont="1" applyFill="1" applyBorder="1"/>
    <xf numFmtId="0" fontId="49" fillId="35" borderId="10" xfId="0" applyFont="1" applyFill="1" applyBorder="1" applyAlignment="1">
      <alignment horizontal="left" vertical="center" indent="1"/>
    </xf>
    <xf numFmtId="0" fontId="44" fillId="35" borderId="10" xfId="0" applyFont="1" applyFill="1" applyBorder="1"/>
    <xf numFmtId="0" fontId="21" fillId="35" borderId="10" xfId="0" applyFont="1" applyFill="1" applyBorder="1"/>
    <xf numFmtId="4" fontId="26" fillId="35" borderId="10" xfId="0" applyNumberFormat="1" applyFont="1" applyFill="1" applyBorder="1"/>
    <xf numFmtId="2" fontId="0" fillId="35" borderId="10" xfId="0" applyNumberFormat="1" applyFill="1" applyBorder="1" applyAlignment="1">
      <alignment horizontal="left" vertical="center" indent="1"/>
    </xf>
    <xf numFmtId="9" fontId="0" fillId="35" borderId="10" xfId="2601" applyFont="1" applyFill="1" applyBorder="1" applyAlignment="1">
      <alignment horizontal="left" vertical="center" indent="1"/>
    </xf>
    <xf numFmtId="0" fontId="0" fillId="36" borderId="10" xfId="0" applyFill="1" applyBorder="1"/>
    <xf numFmtId="0" fontId="109" fillId="36" borderId="10" xfId="0" applyFont="1" applyFill="1" applyBorder="1" applyAlignment="1">
      <alignment horizontal="center" vertical="center" wrapText="1"/>
    </xf>
    <xf numFmtId="0" fontId="0" fillId="35" borderId="10" xfId="0" applyFill="1" applyBorder="1" applyAlignment="1">
      <alignment horizontal="left" vertical="center"/>
    </xf>
    <xf numFmtId="41" fontId="0" fillId="35" borderId="10" xfId="0" applyNumberFormat="1" applyFill="1" applyBorder="1" applyAlignment="1">
      <alignment horizontal="left" vertical="center" indent="1"/>
    </xf>
    <xf numFmtId="0" fontId="16" fillId="36" borderId="10" xfId="0" applyFont="1" applyFill="1" applyBorder="1" applyAlignment="1">
      <alignment vertical="center" wrapText="1"/>
    </xf>
    <xf numFmtId="0" fontId="26" fillId="35" borderId="10" xfId="0" applyFont="1" applyFill="1" applyBorder="1"/>
    <xf numFmtId="43" fontId="26" fillId="35" borderId="10" xfId="0" applyNumberFormat="1" applyFont="1" applyFill="1" applyBorder="1"/>
    <xf numFmtId="170" fontId="0" fillId="35" borderId="10" xfId="0" applyNumberFormat="1" applyFill="1" applyBorder="1" applyAlignment="1">
      <alignment horizontal="center" vertical="center"/>
    </xf>
    <xf numFmtId="0" fontId="16" fillId="36" borderId="10" xfId="0" applyFont="1" applyFill="1" applyBorder="1" applyAlignment="1">
      <alignment horizontal="center" vertical="center"/>
    </xf>
    <xf numFmtId="2" fontId="0" fillId="35" borderId="10" xfId="0" applyNumberFormat="1" applyFill="1" applyBorder="1" applyAlignment="1">
      <alignment horizontal="left" vertical="center"/>
    </xf>
    <xf numFmtId="2" fontId="49" fillId="35" borderId="10" xfId="0" applyNumberFormat="1" applyFont="1" applyFill="1" applyBorder="1" applyAlignment="1">
      <alignment horizontal="left" vertical="center" indent="1"/>
    </xf>
    <xf numFmtId="43" fontId="26" fillId="35" borderId="10" xfId="0" applyNumberFormat="1" applyFont="1" applyFill="1" applyBorder="1" applyAlignment="1">
      <alignment horizontal="left" vertical="center"/>
    </xf>
    <xf numFmtId="3" fontId="49" fillId="35" borderId="10" xfId="0" applyNumberFormat="1" applyFont="1" applyFill="1" applyBorder="1" applyAlignment="1">
      <alignment horizontal="left" vertical="center"/>
    </xf>
    <xf numFmtId="1" fontId="49" fillId="35" borderId="10" xfId="0" applyNumberFormat="1" applyFont="1" applyFill="1" applyBorder="1" applyAlignment="1">
      <alignment horizontal="left" vertical="center"/>
    </xf>
    <xf numFmtId="0" fontId="49" fillId="35" borderId="10" xfId="0" applyFont="1" applyFill="1" applyBorder="1" applyAlignment="1">
      <alignment horizontal="left"/>
    </xf>
    <xf numFmtId="0" fontId="16" fillId="33" borderId="10" xfId="0" applyFont="1" applyFill="1" applyBorder="1"/>
    <xf numFmtId="0" fontId="0" fillId="33" borderId="10" xfId="0" applyFill="1" applyBorder="1"/>
    <xf numFmtId="0" fontId="106" fillId="33" borderId="10" xfId="0" applyFont="1" applyFill="1" applyBorder="1"/>
    <xf numFmtId="0" fontId="16" fillId="0" borderId="10" xfId="0" applyFont="1" applyBorder="1"/>
    <xf numFmtId="0" fontId="0" fillId="0" borderId="10" xfId="0" applyBorder="1"/>
    <xf numFmtId="169" fontId="0" fillId="0" borderId="10" xfId="0" applyNumberFormat="1" applyBorder="1"/>
    <xf numFmtId="3" fontId="0" fillId="0" borderId="10" xfId="0" applyNumberFormat="1" applyBorder="1"/>
    <xf numFmtId="0" fontId="14" fillId="0" borderId="10" xfId="0" applyFont="1" applyBorder="1"/>
    <xf numFmtId="3" fontId="14" fillId="0" borderId="10" xfId="0" applyNumberFormat="1" applyFont="1" applyBorder="1"/>
    <xf numFmtId="4" fontId="0" fillId="35" borderId="10" xfId="1" applyNumberFormat="1" applyFont="1" applyFill="1" applyBorder="1" applyAlignment="1" applyProtection="1">
      <alignment horizontal="center" vertical="center"/>
    </xf>
    <xf numFmtId="0" fontId="1" fillId="33" borderId="10" xfId="1" applyNumberFormat="1" applyFont="1" applyFill="1" applyBorder="1" applyAlignment="1" applyProtection="1">
      <alignment horizontal="center" vertical="center"/>
      <protection locked="0"/>
    </xf>
    <xf numFmtId="166" fontId="1" fillId="33" borderId="10" xfId="1" applyNumberFormat="1" applyFont="1" applyFill="1" applyBorder="1" applyAlignment="1" applyProtection="1">
      <alignment horizontal="center" vertical="center"/>
      <protection locked="0"/>
    </xf>
    <xf numFmtId="4" fontId="1" fillId="35" borderId="10" xfId="1" applyNumberFormat="1" applyFont="1" applyFill="1" applyBorder="1" applyAlignment="1" applyProtection="1">
      <alignment horizontal="center" vertical="center"/>
    </xf>
    <xf numFmtId="169" fontId="0" fillId="35" borderId="10" xfId="1" applyNumberFormat="1" applyFont="1" applyFill="1" applyBorder="1" applyAlignment="1" applyProtection="1">
      <alignment horizontal="center" vertical="center"/>
    </xf>
    <xf numFmtId="166" fontId="0" fillId="33" borderId="10" xfId="1" applyNumberFormat="1" applyFont="1" applyFill="1" applyBorder="1" applyAlignment="1" applyProtection="1">
      <alignment horizontal="center" vertical="center"/>
      <protection locked="0"/>
    </xf>
    <xf numFmtId="3" fontId="1" fillId="35" borderId="10" xfId="1" applyNumberFormat="1" applyFont="1" applyFill="1" applyBorder="1" applyAlignment="1" applyProtection="1">
      <alignment horizontal="center" vertical="center"/>
    </xf>
    <xf numFmtId="3" fontId="0" fillId="35" borderId="10" xfId="1" applyNumberFormat="1" applyFont="1" applyFill="1" applyBorder="1" applyAlignment="1" applyProtection="1">
      <alignment horizontal="center" vertical="center"/>
    </xf>
    <xf numFmtId="4" fontId="1" fillId="33" borderId="10" xfId="1" applyNumberFormat="1" applyFont="1" applyFill="1" applyBorder="1" applyAlignment="1" applyProtection="1">
      <alignment horizontal="center" vertical="center"/>
      <protection locked="0"/>
    </xf>
    <xf numFmtId="170" fontId="1" fillId="35" borderId="10" xfId="1" applyNumberFormat="1" applyFont="1" applyFill="1" applyBorder="1" applyAlignment="1" applyProtection="1">
      <alignment horizontal="center" vertical="center"/>
    </xf>
    <xf numFmtId="170" fontId="0" fillId="35" borderId="10" xfId="1" applyNumberFormat="1" applyFont="1" applyFill="1" applyBorder="1" applyAlignment="1" applyProtection="1">
      <alignment horizontal="center" vertical="center"/>
    </xf>
    <xf numFmtId="4" fontId="1" fillId="33" borderId="10" xfId="1" applyNumberFormat="1" applyFont="1" applyFill="1" applyBorder="1" applyAlignment="1" applyProtection="1">
      <alignment horizontal="center" vertical="center" wrapText="1"/>
      <protection locked="0"/>
    </xf>
    <xf numFmtId="2" fontId="0" fillId="35" borderId="86" xfId="0" applyNumberFormat="1" applyFill="1" applyBorder="1" applyAlignment="1">
      <alignment horizontal="center" vertical="center"/>
    </xf>
    <xf numFmtId="0" fontId="106" fillId="34" borderId="0" xfId="0" applyFont="1" applyFill="1" applyAlignment="1">
      <alignment horizontal="left" vertical="center"/>
    </xf>
    <xf numFmtId="0" fontId="0" fillId="34" borderId="0" xfId="0" applyFill="1" applyAlignment="1">
      <alignment horizontal="left" vertical="center"/>
    </xf>
    <xf numFmtId="2" fontId="0" fillId="35" borderId="0" xfId="0" applyNumberFormat="1" applyFill="1" applyAlignment="1">
      <alignment horizontal="center" vertical="center"/>
    </xf>
    <xf numFmtId="2" fontId="0" fillId="35" borderId="0" xfId="0" applyNumberFormat="1" applyFill="1" applyAlignment="1">
      <alignment horizontal="left" vertical="center"/>
    </xf>
    <xf numFmtId="2" fontId="0" fillId="0" borderId="0" xfId="0" applyNumberFormat="1" applyAlignment="1">
      <alignment horizontal="center" vertical="center"/>
    </xf>
    <xf numFmtId="0" fontId="0" fillId="36" borderId="83" xfId="0" applyFill="1" applyBorder="1" applyAlignment="1">
      <alignment vertical="center" wrapText="1"/>
    </xf>
    <xf numFmtId="0" fontId="49" fillId="35" borderId="86" xfId="0" applyFont="1" applyFill="1" applyBorder="1" applyAlignment="1">
      <alignment horizontal="left"/>
    </xf>
    <xf numFmtId="0" fontId="0" fillId="0" borderId="0" xfId="0" applyAlignment="1">
      <alignment vertical="center" wrapText="1"/>
    </xf>
    <xf numFmtId="0" fontId="49" fillId="0" borderId="0" xfId="0" applyFont="1" applyAlignment="1">
      <alignment horizontal="left"/>
    </xf>
    <xf numFmtId="0" fontId="49" fillId="35" borderId="82" xfId="0" applyFont="1" applyFill="1" applyBorder="1" applyAlignment="1">
      <alignment horizontal="left"/>
    </xf>
    <xf numFmtId="0" fontId="49" fillId="35" borderId="83" xfId="0" applyFont="1" applyFill="1" applyBorder="1" applyAlignment="1">
      <alignment horizontal="left"/>
    </xf>
    <xf numFmtId="0" fontId="57" fillId="0" borderId="0" xfId="0" applyFont="1" applyAlignment="1">
      <alignment horizontal="left"/>
    </xf>
    <xf numFmtId="0" fontId="109" fillId="36" borderId="82" xfId="0" applyFont="1" applyFill="1" applyBorder="1" applyAlignment="1">
      <alignment horizontal="center" vertical="center" wrapText="1"/>
    </xf>
    <xf numFmtId="0" fontId="0" fillId="34" borderId="78" xfId="0" applyFill="1" applyBorder="1"/>
    <xf numFmtId="3" fontId="0" fillId="36" borderId="10" xfId="0" applyNumberFormat="1" applyFill="1" applyBorder="1"/>
    <xf numFmtId="0" fontId="0" fillId="35" borderId="10" xfId="0" applyFill="1" applyBorder="1" applyAlignment="1">
      <alignment horizontal="left" vertical="center" wrapText="1"/>
    </xf>
    <xf numFmtId="0" fontId="0" fillId="35" borderId="82" xfId="0" applyFill="1" applyBorder="1" applyAlignment="1">
      <alignment horizontal="left" vertical="center"/>
    </xf>
    <xf numFmtId="168" fontId="49" fillId="35" borderId="10" xfId="0" applyNumberFormat="1" applyFont="1" applyFill="1" applyBorder="1" applyAlignment="1">
      <alignment horizontal="left"/>
    </xf>
    <xf numFmtId="2" fontId="49" fillId="35" borderId="10" xfId="0" applyNumberFormat="1" applyFont="1" applyFill="1" applyBorder="1" applyAlignment="1">
      <alignment horizontal="left"/>
    </xf>
    <xf numFmtId="0" fontId="0" fillId="35" borderId="81" xfId="0" applyFill="1" applyBorder="1" applyAlignment="1">
      <alignment horizontal="left" vertical="center"/>
    </xf>
    <xf numFmtId="4" fontId="0" fillId="35" borderId="82" xfId="1" applyNumberFormat="1" applyFont="1" applyFill="1" applyBorder="1" applyAlignment="1" applyProtection="1">
      <alignment horizontal="center" vertical="center"/>
    </xf>
    <xf numFmtId="169" fontId="0" fillId="35" borderId="82" xfId="1" applyNumberFormat="1" applyFont="1" applyFill="1" applyBorder="1" applyAlignment="1" applyProtection="1">
      <alignment horizontal="center" vertical="center"/>
    </xf>
    <xf numFmtId="0" fontId="1" fillId="33" borderId="82" xfId="1" applyNumberFormat="1" applyFont="1" applyFill="1" applyBorder="1" applyAlignment="1" applyProtection="1">
      <alignment horizontal="center" vertical="center"/>
      <protection locked="0"/>
    </xf>
    <xf numFmtId="166" fontId="1" fillId="33" borderId="97" xfId="1" applyNumberFormat="1" applyFont="1" applyFill="1" applyBorder="1" applyAlignment="1" applyProtection="1">
      <alignment horizontal="center" vertical="center"/>
      <protection locked="0"/>
    </xf>
    <xf numFmtId="0" fontId="16" fillId="36" borderId="12" xfId="0" applyFont="1" applyFill="1" applyBorder="1" applyAlignment="1">
      <alignment horizontal="center" vertical="center"/>
    </xf>
    <xf numFmtId="0" fontId="16" fillId="36" borderId="14" xfId="0" applyFont="1" applyFill="1" applyBorder="1" applyAlignment="1">
      <alignment horizontal="center" vertical="center"/>
    </xf>
    <xf numFmtId="170" fontId="16" fillId="36" borderId="93" xfId="0" applyNumberFormat="1" applyFont="1" applyFill="1" applyBorder="1" applyAlignment="1">
      <alignment horizontal="center" vertical="center"/>
    </xf>
    <xf numFmtId="4" fontId="16" fillId="36" borderId="13" xfId="0" applyNumberFormat="1" applyFont="1" applyFill="1" applyBorder="1" applyAlignment="1">
      <alignment horizontal="center" vertical="center"/>
    </xf>
    <xf numFmtId="4" fontId="114" fillId="36" borderId="13" xfId="2600" applyNumberFormat="1" applyFont="1" applyFill="1" applyBorder="1" applyAlignment="1" applyProtection="1">
      <alignment horizontal="center" vertical="center" wrapText="1"/>
    </xf>
    <xf numFmtId="169" fontId="47" fillId="59" borderId="102" xfId="0" applyNumberFormat="1" applyFont="1" applyFill="1" applyBorder="1" applyAlignment="1">
      <alignment horizontal="center" vertical="center"/>
    </xf>
    <xf numFmtId="0" fontId="1" fillId="33" borderId="96" xfId="1" applyNumberFormat="1" applyFont="1" applyFill="1" applyBorder="1" applyAlignment="1" applyProtection="1">
      <alignment horizontal="center" vertical="center"/>
      <protection locked="0"/>
    </xf>
    <xf numFmtId="4" fontId="1" fillId="33" borderId="82" xfId="1" applyNumberFormat="1" applyFont="1" applyFill="1" applyBorder="1" applyAlignment="1" applyProtection="1">
      <alignment horizontal="center" vertical="center"/>
      <protection locked="0"/>
    </xf>
    <xf numFmtId="166" fontId="1" fillId="33" borderId="82" xfId="1" applyNumberFormat="1" applyFont="1" applyFill="1" applyBorder="1" applyAlignment="1" applyProtection="1">
      <alignment horizontal="center" vertical="center"/>
      <protection locked="0"/>
    </xf>
    <xf numFmtId="169" fontId="0" fillId="35" borderId="97" xfId="1" applyNumberFormat="1" applyFont="1" applyFill="1" applyBorder="1" applyAlignment="1" applyProtection="1">
      <alignment horizontal="center" vertical="center"/>
    </xf>
    <xf numFmtId="4" fontId="114" fillId="36" borderId="30" xfId="2600" applyNumberFormat="1" applyFont="1" applyFill="1" applyBorder="1" applyAlignment="1" applyProtection="1">
      <alignment horizontal="center" vertical="center" wrapText="1"/>
    </xf>
    <xf numFmtId="0" fontId="16" fillId="36" borderId="13" xfId="0" applyFont="1" applyFill="1" applyBorder="1" applyAlignment="1">
      <alignment horizontal="center" vertical="center"/>
    </xf>
    <xf numFmtId="0" fontId="16" fillId="36" borderId="10" xfId="0" applyFont="1" applyFill="1" applyBorder="1"/>
    <xf numFmtId="2" fontId="0" fillId="35" borderId="10" xfId="0" applyNumberFormat="1" applyFill="1" applyBorder="1" applyAlignment="1">
      <alignment horizontal="center" vertical="center"/>
    </xf>
    <xf numFmtId="0" fontId="49" fillId="35" borderId="10" xfId="0" applyFont="1" applyFill="1" applyBorder="1" applyAlignment="1">
      <alignment horizontal="left" vertical="center"/>
    </xf>
    <xf numFmtId="41" fontId="49" fillId="35" borderId="10" xfId="0" applyNumberFormat="1" applyFont="1" applyFill="1" applyBorder="1" applyAlignment="1">
      <alignment horizontal="left" vertical="center"/>
    </xf>
    <xf numFmtId="0" fontId="49" fillId="33" borderId="10" xfId="0" applyFont="1" applyFill="1" applyBorder="1" applyAlignment="1">
      <alignment horizontal="left"/>
    </xf>
    <xf numFmtId="0" fontId="49" fillId="33" borderId="82" xfId="0" applyFont="1" applyFill="1" applyBorder="1" applyAlignment="1">
      <alignment horizontal="left"/>
    </xf>
    <xf numFmtId="10" fontId="49" fillId="33" borderId="10" xfId="2601" applyNumberFormat="1" applyFont="1" applyFill="1" applyBorder="1" applyAlignment="1">
      <alignment horizontal="left"/>
    </xf>
    <xf numFmtId="4" fontId="16" fillId="36" borderId="12" xfId="0" applyNumberFormat="1" applyFont="1" applyFill="1" applyBorder="1" applyAlignment="1">
      <alignment horizontal="center" vertical="center" wrapText="1"/>
    </xf>
    <xf numFmtId="4" fontId="16" fillId="36" borderId="13" xfId="0" applyNumberFormat="1" applyFont="1" applyFill="1" applyBorder="1" applyAlignment="1">
      <alignment horizontal="center" vertical="center" wrapText="1"/>
    </xf>
    <xf numFmtId="0" fontId="16" fillId="36" borderId="13" xfId="0" applyFont="1" applyFill="1" applyBorder="1" applyAlignment="1">
      <alignment horizontal="center" vertical="center" wrapText="1"/>
    </xf>
    <xf numFmtId="0" fontId="16" fillId="36" borderId="14" xfId="0" applyFont="1" applyFill="1" applyBorder="1" applyAlignment="1">
      <alignment horizontal="center" vertical="center" wrapText="1"/>
    </xf>
    <xf numFmtId="0" fontId="16" fillId="36" borderId="88" xfId="0" applyFont="1" applyFill="1" applyBorder="1" applyAlignment="1">
      <alignment horizontal="center" vertical="center" wrapText="1"/>
    </xf>
    <xf numFmtId="0" fontId="16" fillId="36" borderId="12" xfId="0" applyFont="1" applyFill="1" applyBorder="1" applyAlignment="1">
      <alignment horizontal="center" vertical="center" wrapText="1"/>
    </xf>
    <xf numFmtId="170" fontId="16" fillId="36" borderId="93" xfId="0" applyNumberFormat="1" applyFont="1" applyFill="1" applyBorder="1" applyAlignment="1">
      <alignment horizontal="center" vertical="center" wrapText="1"/>
    </xf>
    <xf numFmtId="170" fontId="0" fillId="36" borderId="13" xfId="0" applyNumberFormat="1" applyFill="1" applyBorder="1" applyAlignment="1">
      <alignment horizontal="center" vertical="center"/>
    </xf>
    <xf numFmtId="169" fontId="47" fillId="59" borderId="101" xfId="1" applyNumberFormat="1" applyFont="1" applyFill="1" applyBorder="1" applyAlignment="1" applyProtection="1">
      <alignment horizontal="center" vertical="center"/>
    </xf>
    <xf numFmtId="4" fontId="1" fillId="35" borderId="79" xfId="1" applyNumberFormat="1" applyFont="1" applyFill="1" applyBorder="1" applyAlignment="1" applyProtection="1">
      <alignment horizontal="center" vertical="center"/>
    </xf>
    <xf numFmtId="4" fontId="47" fillId="59" borderId="75" xfId="1" applyNumberFormat="1" applyFont="1" applyFill="1" applyBorder="1" applyAlignment="1" applyProtection="1">
      <alignment horizontal="center" vertical="center"/>
    </xf>
    <xf numFmtId="4" fontId="16" fillId="36" borderId="10" xfId="0" applyNumberFormat="1" applyFont="1" applyFill="1" applyBorder="1" applyAlignment="1">
      <alignment horizontal="center" vertical="center"/>
    </xf>
    <xf numFmtId="170" fontId="16" fillId="36" borderId="88" xfId="0" applyNumberFormat="1" applyFont="1" applyFill="1" applyBorder="1" applyAlignment="1">
      <alignment horizontal="center" vertical="center"/>
    </xf>
    <xf numFmtId="4" fontId="16" fillId="36" borderId="93" xfId="0" applyNumberFormat="1" applyFont="1" applyFill="1" applyBorder="1" applyAlignment="1">
      <alignment horizontal="center" vertical="center"/>
    </xf>
    <xf numFmtId="4" fontId="0" fillId="33" borderId="10" xfId="0" applyNumberFormat="1" applyFill="1" applyBorder="1" applyAlignment="1">
      <alignment horizontal="center" vertical="center"/>
    </xf>
    <xf numFmtId="4" fontId="47" fillId="59" borderId="102" xfId="2179" applyNumberFormat="1" applyFont="1" applyFill="1" applyBorder="1" applyAlignment="1" applyProtection="1">
      <alignment horizontal="center" vertical="center"/>
    </xf>
    <xf numFmtId="3" fontId="47" fillId="59" borderId="102" xfId="2179" applyNumberFormat="1" applyFont="1" applyFill="1" applyBorder="1" applyAlignment="1" applyProtection="1">
      <alignment horizontal="center" vertical="center"/>
    </xf>
    <xf numFmtId="4" fontId="1" fillId="35" borderId="10" xfId="2179" applyNumberFormat="1" applyFont="1" applyFill="1" applyBorder="1" applyAlignment="1" applyProtection="1">
      <alignment horizontal="center" vertical="center"/>
    </xf>
    <xf numFmtId="3" fontId="1" fillId="35" borderId="10" xfId="2179" applyNumberFormat="1" applyFont="1" applyFill="1" applyBorder="1" applyAlignment="1" applyProtection="1">
      <alignment horizontal="center" vertical="center"/>
    </xf>
    <xf numFmtId="4" fontId="1" fillId="33" borderId="10" xfId="2179" applyNumberFormat="1" applyFont="1" applyFill="1" applyBorder="1" applyAlignment="1" applyProtection="1">
      <alignment horizontal="center" vertical="center"/>
      <protection locked="0"/>
    </xf>
    <xf numFmtId="0" fontId="1" fillId="33" borderId="10" xfId="2179" applyNumberFormat="1" applyFont="1" applyFill="1" applyBorder="1" applyAlignment="1" applyProtection="1">
      <alignment horizontal="center" vertical="center"/>
      <protection locked="0"/>
    </xf>
    <xf numFmtId="0" fontId="1" fillId="33" borderId="99" xfId="2179" applyNumberFormat="1" applyFont="1" applyFill="1" applyBorder="1" applyAlignment="1" applyProtection="1">
      <alignment horizontal="center" vertical="center"/>
      <protection locked="0"/>
    </xf>
    <xf numFmtId="0" fontId="57" fillId="0" borderId="0" xfId="0" applyFont="1"/>
    <xf numFmtId="0" fontId="49" fillId="36" borderId="82" xfId="0" applyFont="1" applyFill="1" applyBorder="1" applyAlignment="1">
      <alignment vertical="center" wrapText="1"/>
    </xf>
    <xf numFmtId="43" fontId="49" fillId="35" borderId="10" xfId="0" applyNumberFormat="1" applyFont="1" applyFill="1" applyBorder="1" applyAlignment="1">
      <alignment horizontal="left" vertical="top"/>
    </xf>
    <xf numFmtId="43" fontId="49" fillId="35" borderId="10" xfId="0" applyNumberFormat="1" applyFont="1" applyFill="1" applyBorder="1" applyAlignment="1">
      <alignment horizontal="left" vertical="center"/>
    </xf>
    <xf numFmtId="193" fontId="49" fillId="35" borderId="10" xfId="0" applyNumberFormat="1" applyFont="1" applyFill="1" applyBorder="1" applyAlignment="1">
      <alignment horizontal="right" vertical="center"/>
    </xf>
    <xf numFmtId="2" fontId="49" fillId="35" borderId="10" xfId="0" applyNumberFormat="1" applyFont="1" applyFill="1" applyBorder="1" applyAlignment="1">
      <alignment horizontal="left" vertical="center"/>
    </xf>
    <xf numFmtId="2" fontId="49" fillId="0" borderId="0" xfId="0" applyNumberFormat="1" applyFont="1" applyAlignment="1">
      <alignment horizontal="left" vertical="center"/>
    </xf>
    <xf numFmtId="43" fontId="49" fillId="0" borderId="0" xfId="0" applyNumberFormat="1" applyFont="1" applyAlignment="1">
      <alignment horizontal="left" vertical="center"/>
    </xf>
    <xf numFmtId="2" fontId="57" fillId="0" borderId="0" xfId="0" applyNumberFormat="1" applyFont="1" applyAlignment="1">
      <alignment horizontal="left" vertical="center"/>
    </xf>
    <xf numFmtId="0" fontId="0" fillId="35" borderId="10" xfId="0" applyFill="1" applyBorder="1" applyAlignment="1">
      <alignment horizontal="left"/>
    </xf>
    <xf numFmtId="3" fontId="1" fillId="33" borderId="86" xfId="2179" applyNumberFormat="1" applyFont="1" applyFill="1" applyBorder="1" applyAlignment="1" applyProtection="1">
      <alignment horizontal="center" vertical="center"/>
      <protection locked="0"/>
    </xf>
    <xf numFmtId="1" fontId="49" fillId="35" borderId="10" xfId="0" applyNumberFormat="1" applyFont="1" applyFill="1" applyBorder="1" applyAlignment="1">
      <alignment horizontal="center"/>
    </xf>
    <xf numFmtId="2" fontId="49" fillId="35" borderId="10" xfId="0" applyNumberFormat="1" applyFont="1" applyFill="1" applyBorder="1" applyAlignment="1">
      <alignment horizontal="center"/>
    </xf>
    <xf numFmtId="168" fontId="49" fillId="35" borderId="10" xfId="0" applyNumberFormat="1" applyFont="1" applyFill="1" applyBorder="1" applyAlignment="1">
      <alignment horizontal="center"/>
    </xf>
    <xf numFmtId="0" fontId="16" fillId="36" borderId="99" xfId="1" applyNumberFormat="1" applyFont="1" applyFill="1" applyBorder="1" applyAlignment="1">
      <alignment horizontal="center" vertical="center" wrapText="1"/>
    </xf>
    <xf numFmtId="0" fontId="16" fillId="36" borderId="98" xfId="1" applyNumberFormat="1" applyFont="1" applyFill="1" applyBorder="1" applyAlignment="1">
      <alignment horizontal="center" vertical="center" wrapText="1"/>
    </xf>
    <xf numFmtId="0" fontId="16" fillId="36" borderId="90" xfId="0" applyFont="1" applyFill="1" applyBorder="1" applyAlignment="1">
      <alignment horizontal="center" vertical="center" wrapText="1"/>
    </xf>
    <xf numFmtId="0" fontId="0" fillId="35" borderId="105" xfId="0" applyFill="1" applyBorder="1"/>
    <xf numFmtId="0" fontId="16" fillId="36" borderId="105" xfId="0" applyFont="1" applyFill="1" applyBorder="1" applyAlignment="1">
      <alignment horizontal="center" vertical="center" wrapText="1"/>
    </xf>
    <xf numFmtId="0" fontId="0" fillId="35" borderId="91" xfId="0" applyFill="1" applyBorder="1"/>
    <xf numFmtId="0" fontId="119" fillId="36" borderId="13" xfId="1" applyNumberFormat="1" applyFont="1" applyFill="1" applyBorder="1" applyAlignment="1">
      <alignment horizontal="center" vertical="center" wrapText="1"/>
    </xf>
    <xf numFmtId="0" fontId="119" fillId="36" borderId="14" xfId="1" applyNumberFormat="1" applyFont="1" applyFill="1" applyBorder="1" applyAlignment="1">
      <alignment horizontal="center" vertical="center" wrapText="1"/>
    </xf>
    <xf numFmtId="0" fontId="49" fillId="36" borderId="10" xfId="0" applyFont="1" applyFill="1" applyBorder="1" applyAlignment="1">
      <alignment horizontal="left"/>
    </xf>
    <xf numFmtId="44" fontId="1" fillId="35" borderId="10" xfId="2603" applyFont="1" applyFill="1" applyBorder="1" applyAlignment="1" applyProtection="1">
      <alignment horizontal="center" vertical="center"/>
    </xf>
    <xf numFmtId="44" fontId="47" fillId="59" borderId="102" xfId="2603" applyFont="1" applyFill="1" applyBorder="1" applyAlignment="1" applyProtection="1">
      <alignment horizontal="center" vertical="center"/>
    </xf>
    <xf numFmtId="44" fontId="49" fillId="35" borderId="10" xfId="2603" applyFont="1" applyFill="1" applyBorder="1" applyAlignment="1">
      <alignment horizontal="left"/>
    </xf>
    <xf numFmtId="44" fontId="0" fillId="35" borderId="98" xfId="2603" applyFont="1" applyFill="1" applyBorder="1" applyAlignment="1" applyProtection="1">
      <alignment horizontal="right" vertical="center"/>
    </xf>
    <xf numFmtId="44" fontId="47" fillId="59" borderId="101" xfId="2603" applyFont="1" applyFill="1" applyBorder="1" applyAlignment="1" applyProtection="1">
      <alignment horizontal="right" vertical="center"/>
    </xf>
    <xf numFmtId="43" fontId="49" fillId="33" borderId="10" xfId="0" applyNumberFormat="1" applyFont="1" applyFill="1" applyBorder="1" applyAlignment="1">
      <alignment horizontal="left" vertical="center"/>
    </xf>
    <xf numFmtId="0" fontId="0" fillId="36" borderId="82" xfId="0" applyFill="1" applyBorder="1" applyAlignment="1">
      <alignment horizontal="center" vertical="center" wrapText="1"/>
    </xf>
    <xf numFmtId="44" fontId="0" fillId="35" borderId="10" xfId="2603" applyFont="1" applyFill="1" applyBorder="1" applyAlignment="1" applyProtection="1">
      <alignment horizontal="center" vertical="center"/>
    </xf>
    <xf numFmtId="4" fontId="47" fillId="59" borderId="102" xfId="2604" applyNumberFormat="1" applyFont="1" applyFill="1" applyBorder="1" applyAlignment="1" applyProtection="1">
      <alignment horizontal="center" vertical="center"/>
    </xf>
    <xf numFmtId="3" fontId="47" fillId="59" borderId="102" xfId="2604" applyNumberFormat="1" applyFont="1" applyFill="1" applyBorder="1" applyAlignment="1" applyProtection="1">
      <alignment horizontal="center" vertical="center"/>
    </xf>
    <xf numFmtId="0" fontId="47" fillId="36" borderId="102" xfId="0" applyFont="1" applyFill="1" applyBorder="1" applyAlignment="1">
      <alignment vertical="center"/>
    </xf>
    <xf numFmtId="0" fontId="47" fillId="36" borderId="100" xfId="0" applyFont="1" applyFill="1" applyBorder="1" applyAlignment="1">
      <alignment vertical="center"/>
    </xf>
    <xf numFmtId="4" fontId="1" fillId="35" borderId="10" xfId="2604" applyNumberFormat="1" applyFont="1" applyFill="1" applyBorder="1" applyAlignment="1" applyProtection="1">
      <alignment horizontal="center" vertical="center"/>
    </xf>
    <xf numFmtId="3" fontId="1" fillId="35" borderId="10" xfId="2604" applyNumberFormat="1" applyFont="1" applyFill="1" applyBorder="1" applyAlignment="1" applyProtection="1">
      <alignment horizontal="center" vertical="center"/>
    </xf>
    <xf numFmtId="166" fontId="1" fillId="33" borderId="10" xfId="2604" applyNumberFormat="1" applyFont="1" applyFill="1" applyBorder="1" applyAlignment="1" applyProtection="1">
      <alignment horizontal="center" vertical="center"/>
      <protection locked="0"/>
    </xf>
    <xf numFmtId="4" fontId="1" fillId="33" borderId="10" xfId="2604" applyNumberFormat="1" applyFont="1" applyFill="1" applyBorder="1" applyAlignment="1" applyProtection="1">
      <alignment horizontal="center" vertical="center"/>
      <protection locked="0"/>
    </xf>
    <xf numFmtId="0" fontId="1" fillId="33" borderId="10" xfId="2604" applyNumberFormat="1" applyFont="1" applyFill="1" applyBorder="1" applyAlignment="1" applyProtection="1">
      <alignment horizontal="center" vertical="center"/>
      <protection locked="0"/>
    </xf>
    <xf numFmtId="0" fontId="1" fillId="33" borderId="99" xfId="2604" applyNumberFormat="1" applyFont="1" applyFill="1" applyBorder="1" applyAlignment="1" applyProtection="1">
      <alignment horizontal="center" vertical="center"/>
      <protection locked="0"/>
    </xf>
    <xf numFmtId="4" fontId="0" fillId="36" borderId="14" xfId="0" applyNumberFormat="1" applyFill="1" applyBorder="1" applyAlignment="1">
      <alignment horizontal="center" vertical="center" wrapText="1"/>
    </xf>
    <xf numFmtId="170" fontId="0" fillId="36" borderId="13" xfId="0" applyNumberFormat="1" applyFill="1" applyBorder="1" applyAlignment="1">
      <alignment horizontal="center" vertical="center" wrapText="1"/>
    </xf>
    <xf numFmtId="0" fontId="0" fillId="36" borderId="13" xfId="0" applyFill="1" applyBorder="1" applyAlignment="1">
      <alignment horizontal="center" vertical="center" wrapText="1"/>
    </xf>
    <xf numFmtId="4" fontId="0" fillId="36" borderId="12" xfId="0" applyNumberFormat="1" applyFill="1" applyBorder="1" applyAlignment="1">
      <alignment horizontal="center" vertical="center" wrapText="1"/>
    </xf>
    <xf numFmtId="0" fontId="49" fillId="35" borderId="10" xfId="0" applyFont="1" applyFill="1" applyBorder="1" applyAlignment="1">
      <alignment horizontal="center"/>
    </xf>
    <xf numFmtId="10" fontId="49" fillId="35" borderId="10" xfId="2601" applyNumberFormat="1" applyFont="1" applyFill="1" applyBorder="1" applyAlignment="1">
      <alignment horizontal="center"/>
    </xf>
    <xf numFmtId="4" fontId="0" fillId="36" borderId="82" xfId="0" applyNumberFormat="1" applyFill="1" applyBorder="1" applyAlignment="1">
      <alignment horizontal="center" vertical="center" wrapText="1"/>
    </xf>
    <xf numFmtId="4" fontId="49" fillId="35" borderId="10" xfId="0" applyNumberFormat="1" applyFont="1" applyFill="1" applyBorder="1" applyAlignment="1">
      <alignment horizontal="center"/>
    </xf>
    <xf numFmtId="3" fontId="49" fillId="35" borderId="10" xfId="0" applyNumberFormat="1" applyFont="1" applyFill="1" applyBorder="1" applyAlignment="1">
      <alignment horizontal="center"/>
    </xf>
    <xf numFmtId="3" fontId="1" fillId="33" borderId="10" xfId="2604" applyNumberFormat="1" applyFont="1" applyFill="1" applyBorder="1" applyAlignment="1" applyProtection="1">
      <alignment horizontal="center" vertical="center"/>
      <protection locked="0"/>
    </xf>
    <xf numFmtId="10" fontId="49" fillId="33" borderId="10" xfId="2601" applyNumberFormat="1" applyFont="1" applyFill="1" applyBorder="1" applyAlignment="1">
      <alignment horizontal="center"/>
    </xf>
    <xf numFmtId="3" fontId="49" fillId="33" borderId="10" xfId="2601" applyNumberFormat="1" applyFont="1" applyFill="1" applyBorder="1" applyAlignment="1">
      <alignment horizontal="center"/>
    </xf>
    <xf numFmtId="44" fontId="49" fillId="35" borderId="10" xfId="2603" applyFont="1" applyFill="1" applyBorder="1" applyAlignment="1">
      <alignment horizontal="center"/>
    </xf>
    <xf numFmtId="44" fontId="0" fillId="35" borderId="98" xfId="2603" applyFont="1" applyFill="1" applyBorder="1" applyAlignment="1" applyProtection="1">
      <alignment horizontal="center" vertical="center"/>
    </xf>
    <xf numFmtId="44" fontId="47" fillId="59" borderId="101" xfId="2603" applyFont="1" applyFill="1" applyBorder="1" applyAlignment="1" applyProtection="1">
      <alignment horizontal="center" vertical="center"/>
    </xf>
    <xf numFmtId="170" fontId="49" fillId="35" borderId="10" xfId="0" applyNumberFormat="1" applyFont="1" applyFill="1" applyBorder="1" applyAlignment="1">
      <alignment horizontal="center"/>
    </xf>
    <xf numFmtId="0" fontId="0" fillId="34" borderId="0" xfId="2601" applyNumberFormat="1" applyFont="1" applyFill="1"/>
    <xf numFmtId="0" fontId="119" fillId="36" borderId="87" xfId="1" applyNumberFormat="1" applyFont="1" applyFill="1" applyBorder="1" applyAlignment="1">
      <alignment horizontal="center" vertical="center" wrapText="1"/>
    </xf>
    <xf numFmtId="0" fontId="119" fillId="36" borderId="93" xfId="1" applyNumberFormat="1" applyFont="1" applyFill="1" applyBorder="1" applyAlignment="1">
      <alignment horizontal="center" vertical="center" wrapText="1"/>
    </xf>
    <xf numFmtId="0" fontId="16" fillId="36" borderId="14" xfId="1" applyNumberFormat="1" applyFont="1" applyFill="1" applyBorder="1" applyAlignment="1">
      <alignment horizontal="center" vertical="center" wrapText="1"/>
    </xf>
    <xf numFmtId="0" fontId="16" fillId="36" borderId="12" xfId="1" applyNumberFormat="1" applyFont="1" applyFill="1" applyBorder="1" applyAlignment="1">
      <alignment horizontal="center" vertical="center" wrapText="1"/>
    </xf>
    <xf numFmtId="0" fontId="119" fillId="36" borderId="10" xfId="1" applyNumberFormat="1" applyFont="1" applyFill="1" applyBorder="1" applyAlignment="1">
      <alignment horizontal="center" vertical="center" wrapText="1"/>
    </xf>
    <xf numFmtId="0" fontId="16" fillId="0" borderId="0" xfId="0" applyFont="1" applyAlignment="1">
      <alignment horizontal="center" vertical="center" wrapText="1"/>
    </xf>
    <xf numFmtId="0" fontId="109" fillId="0" borderId="0" xfId="0" applyFont="1"/>
    <xf numFmtId="0" fontId="126" fillId="34" borderId="0" xfId="0" applyFont="1" applyFill="1"/>
    <xf numFmtId="0" fontId="103" fillId="34" borderId="0" xfId="0" applyFont="1" applyFill="1"/>
    <xf numFmtId="0" fontId="106" fillId="0" borderId="0" xfId="0" applyFont="1" applyAlignment="1">
      <alignment horizontal="center" vertical="center"/>
    </xf>
    <xf numFmtId="9" fontId="109" fillId="0" borderId="0" xfId="0" applyNumberFormat="1" applyFont="1" applyAlignment="1">
      <alignment horizontal="center" vertical="center" wrapText="1"/>
    </xf>
    <xf numFmtId="4" fontId="16" fillId="36" borderId="12" xfId="0" applyNumberFormat="1" applyFont="1" applyFill="1" applyBorder="1" applyAlignment="1">
      <alignment horizontal="center" vertical="center"/>
    </xf>
    <xf numFmtId="166" fontId="1" fillId="33" borderId="10" xfId="1" applyNumberFormat="1" applyFont="1" applyFill="1" applyBorder="1" applyAlignment="1" applyProtection="1">
      <alignment vertical="center"/>
      <protection locked="0"/>
    </xf>
    <xf numFmtId="0" fontId="49" fillId="0" borderId="0" xfId="0" applyFont="1" applyAlignment="1">
      <alignment horizontal="left" vertical="center" indent="1"/>
    </xf>
    <xf numFmtId="0" fontId="106" fillId="0" borderId="0" xfId="0" applyFont="1" applyAlignment="1">
      <alignment horizontal="left" vertical="center" indent="1"/>
    </xf>
    <xf numFmtId="0" fontId="107" fillId="34" borderId="0" xfId="0" applyFont="1" applyFill="1"/>
    <xf numFmtId="0" fontId="14" fillId="0" borderId="0" xfId="0" applyFont="1"/>
    <xf numFmtId="16" fontId="14" fillId="0" borderId="0" xfId="0" applyNumberFormat="1" applyFont="1"/>
    <xf numFmtId="0" fontId="49" fillId="0" borderId="0" xfId="0" applyFont="1"/>
    <xf numFmtId="4" fontId="46" fillId="34" borderId="28" xfId="0" applyNumberFormat="1" applyFont="1" applyFill="1" applyBorder="1"/>
    <xf numFmtId="0" fontId="16" fillId="36" borderId="86" xfId="0" applyFont="1" applyFill="1" applyBorder="1" applyAlignment="1">
      <alignment horizontal="center" vertical="center" wrapText="1"/>
    </xf>
    <xf numFmtId="0" fontId="46" fillId="34" borderId="28" xfId="0" applyFont="1" applyFill="1" applyBorder="1"/>
    <xf numFmtId="4" fontId="47" fillId="59" borderId="102" xfId="0" applyNumberFormat="1" applyFont="1" applyFill="1" applyBorder="1" applyAlignment="1">
      <alignment horizontal="center" vertical="center"/>
    </xf>
    <xf numFmtId="0" fontId="16" fillId="0" borderId="0" xfId="0" applyFont="1"/>
    <xf numFmtId="0" fontId="105" fillId="34" borderId="0" xfId="0" applyFont="1" applyFill="1"/>
    <xf numFmtId="0" fontId="107" fillId="0" borderId="0" xfId="0" applyFont="1" applyAlignment="1">
      <alignment horizontal="left"/>
    </xf>
    <xf numFmtId="0" fontId="128" fillId="34" borderId="28" xfId="0" applyFont="1" applyFill="1" applyBorder="1"/>
    <xf numFmtId="0" fontId="50" fillId="36" borderId="82" xfId="0" applyFont="1" applyFill="1" applyBorder="1" applyAlignment="1">
      <alignment horizontal="center" vertical="center" wrapText="1"/>
    </xf>
    <xf numFmtId="189" fontId="0" fillId="35" borderId="10" xfId="1" applyNumberFormat="1" applyFont="1" applyFill="1" applyBorder="1" applyAlignment="1">
      <alignment horizontal="center" vertical="center"/>
    </xf>
    <xf numFmtId="0" fontId="16" fillId="36" borderId="26" xfId="0" applyFont="1" applyFill="1" applyBorder="1" applyAlignment="1">
      <alignment horizontal="center" vertical="center"/>
    </xf>
    <xf numFmtId="4" fontId="47" fillId="59" borderId="85" xfId="1" applyNumberFormat="1" applyFont="1" applyFill="1" applyBorder="1" applyAlignment="1" applyProtection="1">
      <alignment horizontal="center" vertical="center"/>
    </xf>
    <xf numFmtId="4" fontId="114" fillId="36" borderId="74" xfId="2600" applyNumberFormat="1" applyFont="1" applyFill="1" applyBorder="1" applyAlignment="1" applyProtection="1">
      <alignment horizontal="center" vertical="center"/>
    </xf>
    <xf numFmtId="0" fontId="1" fillId="33" borderId="86" xfId="1" applyNumberFormat="1" applyFont="1" applyFill="1" applyBorder="1" applyAlignment="1" applyProtection="1">
      <alignment horizontal="center" vertical="center"/>
      <protection locked="0"/>
    </xf>
    <xf numFmtId="0" fontId="16" fillId="36" borderId="111" xfId="0" applyFont="1" applyFill="1" applyBorder="1" applyAlignment="1">
      <alignment horizontal="center" vertical="center"/>
    </xf>
    <xf numFmtId="166" fontId="1" fillId="33" borderId="71" xfId="1" applyNumberFormat="1" applyFont="1" applyFill="1" applyBorder="1" applyAlignment="1" applyProtection="1">
      <alignment horizontal="center" vertical="center"/>
      <protection locked="0"/>
    </xf>
    <xf numFmtId="166" fontId="1" fillId="33" borderId="82" xfId="1" applyNumberFormat="1" applyFont="1" applyFill="1" applyBorder="1" applyAlignment="1" applyProtection="1">
      <alignment vertical="center"/>
      <protection locked="0"/>
    </xf>
    <xf numFmtId="169" fontId="0" fillId="35" borderId="112" xfId="1" applyNumberFormat="1" applyFont="1" applyFill="1" applyBorder="1" applyAlignment="1" applyProtection="1">
      <alignment horizontal="center" vertical="center"/>
    </xf>
    <xf numFmtId="0" fontId="121" fillId="0" borderId="0" xfId="0" applyFont="1"/>
    <xf numFmtId="0" fontId="16" fillId="34" borderId="0" xfId="0" applyFont="1" applyFill="1" applyAlignment="1">
      <alignment horizontal="left" vertical="top" wrapText="1"/>
    </xf>
    <xf numFmtId="2" fontId="0" fillId="35" borderId="10" xfId="1" applyNumberFormat="1" applyFont="1" applyFill="1" applyBorder="1" applyAlignment="1" applyProtection="1">
      <alignment horizontal="center" vertical="center"/>
      <protection locked="0"/>
    </xf>
    <xf numFmtId="2" fontId="0" fillId="35" borderId="10" xfId="1" applyNumberFormat="1" applyFont="1" applyFill="1" applyBorder="1" applyAlignment="1">
      <alignment horizontal="center" vertical="center"/>
    </xf>
    <xf numFmtId="168" fontId="0" fillId="35" borderId="87" xfId="1" applyNumberFormat="1" applyFont="1" applyFill="1" applyBorder="1" applyAlignment="1">
      <alignment horizontal="center" vertical="center"/>
    </xf>
    <xf numFmtId="2" fontId="47" fillId="59" borderId="104" xfId="1" applyNumberFormat="1" applyFont="1" applyFill="1" applyBorder="1" applyAlignment="1" applyProtection="1">
      <alignment horizontal="center" vertical="center"/>
    </xf>
    <xf numFmtId="2" fontId="1" fillId="35" borderId="87" xfId="1" applyNumberFormat="1" applyFont="1" applyFill="1" applyBorder="1" applyAlignment="1" applyProtection="1">
      <alignment horizontal="center" vertical="center"/>
    </xf>
    <xf numFmtId="0" fontId="0" fillId="35" borderId="109" xfId="0" applyFill="1" applyBorder="1"/>
    <xf numFmtId="0" fontId="16" fillId="61" borderId="10" xfId="0" applyFont="1" applyFill="1" applyBorder="1" applyAlignment="1">
      <alignment vertical="center" wrapText="1"/>
    </xf>
    <xf numFmtId="0" fontId="106" fillId="0" borderId="0" xfId="0" applyFont="1" applyAlignment="1">
      <alignment horizontal="left"/>
    </xf>
    <xf numFmtId="0" fontId="106" fillId="0" borderId="0" xfId="0" applyFont="1" applyAlignment="1">
      <alignment horizontal="left" vertical="center"/>
    </xf>
    <xf numFmtId="187" fontId="106" fillId="0" borderId="0" xfId="0" applyNumberFormat="1" applyFont="1" applyAlignment="1">
      <alignment horizontal="left" vertical="center"/>
    </xf>
    <xf numFmtId="187" fontId="106" fillId="0" borderId="0" xfId="0" applyNumberFormat="1" applyFont="1" applyAlignment="1">
      <alignment horizontal="left"/>
    </xf>
    <xf numFmtId="0" fontId="16" fillId="36" borderId="86" xfId="0" applyFont="1" applyFill="1" applyBorder="1" applyAlignment="1">
      <alignment vertical="center"/>
    </xf>
    <xf numFmtId="0" fontId="109" fillId="0" borderId="0" xfId="0" applyFont="1" applyAlignment="1">
      <alignment horizontal="center" vertical="center"/>
    </xf>
    <xf numFmtId="2" fontId="106" fillId="0" borderId="0" xfId="0" applyNumberFormat="1" applyFont="1" applyAlignment="1">
      <alignment horizontal="right" vertical="center"/>
    </xf>
    <xf numFmtId="4" fontId="1" fillId="35" borderId="87" xfId="1" applyNumberFormat="1" applyFont="1" applyFill="1" applyBorder="1" applyAlignment="1" applyProtection="1">
      <alignment horizontal="center" vertical="center"/>
    </xf>
    <xf numFmtId="0" fontId="16" fillId="36" borderId="74" xfId="0" applyFont="1" applyFill="1" applyBorder="1" applyAlignment="1">
      <alignment horizontal="center" vertical="center" wrapText="1"/>
    </xf>
    <xf numFmtId="2" fontId="1" fillId="33" borderId="10" xfId="1" applyNumberFormat="1" applyFont="1" applyFill="1" applyBorder="1" applyAlignment="1" applyProtection="1">
      <alignment horizontal="center" vertical="center"/>
      <protection locked="0"/>
    </xf>
    <xf numFmtId="2" fontId="47" fillId="59" borderId="104" xfId="1" applyNumberFormat="1" applyFont="1" applyFill="1" applyBorder="1" applyAlignment="1">
      <alignment horizontal="center" vertical="center"/>
    </xf>
    <xf numFmtId="166" fontId="0" fillId="33" borderId="98" xfId="1" applyNumberFormat="1" applyFont="1" applyFill="1" applyBorder="1" applyAlignment="1" applyProtection="1">
      <alignment horizontal="center" vertical="center"/>
      <protection locked="0"/>
    </xf>
    <xf numFmtId="4" fontId="0" fillId="35" borderId="10" xfId="0" applyNumberFormat="1" applyFill="1" applyBorder="1"/>
    <xf numFmtId="2" fontId="0" fillId="35" borderId="10" xfId="2601" applyNumberFormat="1" applyFont="1" applyFill="1" applyBorder="1" applyAlignment="1">
      <alignment horizontal="left" vertical="center" indent="1"/>
    </xf>
    <xf numFmtId="172" fontId="0" fillId="35" borderId="10" xfId="0" applyNumberFormat="1" applyFill="1" applyBorder="1" applyAlignment="1">
      <alignment horizontal="left" vertical="center" indent="1"/>
    </xf>
    <xf numFmtId="0" fontId="16" fillId="35" borderId="10" xfId="0" applyFont="1" applyFill="1" applyBorder="1" applyAlignment="1">
      <alignment horizontal="left" vertical="center" indent="1"/>
    </xf>
    <xf numFmtId="9" fontId="0" fillId="35" borderId="10" xfId="0" applyNumberFormat="1" applyFill="1" applyBorder="1" applyAlignment="1">
      <alignment horizontal="left" vertical="center" indent="1"/>
    </xf>
    <xf numFmtId="2" fontId="0" fillId="35" borderId="10" xfId="0" applyNumberFormat="1" applyFill="1" applyBorder="1"/>
    <xf numFmtId="10" fontId="0" fillId="35" borderId="10" xfId="0" applyNumberFormat="1" applyFill="1" applyBorder="1" applyAlignment="1">
      <alignment horizontal="left" vertical="center"/>
    </xf>
    <xf numFmtId="172" fontId="0" fillId="35" borderId="10" xfId="0" applyNumberFormat="1" applyFill="1" applyBorder="1" applyAlignment="1">
      <alignment horizontal="left" vertical="center"/>
    </xf>
    <xf numFmtId="0" fontId="87" fillId="35" borderId="10" xfId="0" applyFont="1" applyFill="1" applyBorder="1"/>
    <xf numFmtId="10" fontId="0" fillId="35" borderId="10" xfId="0" applyNumberFormat="1" applyFill="1" applyBorder="1" applyAlignment="1">
      <alignment horizontal="left" vertical="center" indent="1"/>
    </xf>
    <xf numFmtId="4" fontId="0" fillId="35" borderId="10" xfId="0" applyNumberFormat="1" applyFill="1" applyBorder="1" applyAlignment="1">
      <alignment horizontal="left" vertical="center" indent="1"/>
    </xf>
    <xf numFmtId="0" fontId="16" fillId="36" borderId="11" xfId="0" applyFont="1" applyFill="1" applyBorder="1" applyAlignment="1">
      <alignment horizontal="center" vertical="center" wrapText="1"/>
    </xf>
    <xf numFmtId="0" fontId="0" fillId="35" borderId="13" xfId="0" applyFill="1" applyBorder="1" applyAlignment="1">
      <alignment horizontal="center" vertical="center"/>
    </xf>
    <xf numFmtId="0" fontId="0" fillId="35" borderId="11" xfId="0" applyFill="1" applyBorder="1" applyAlignment="1">
      <alignment horizontal="center" vertical="center"/>
    </xf>
    <xf numFmtId="4" fontId="0" fillId="35" borderId="10" xfId="0" applyNumberFormat="1" applyFill="1" applyBorder="1" applyAlignment="1">
      <alignment horizontal="left" vertical="center"/>
    </xf>
    <xf numFmtId="0" fontId="0" fillId="35" borderId="10" xfId="0" applyFill="1" applyBorder="1" applyAlignment="1">
      <alignment horizontal="center" vertical="center"/>
    </xf>
    <xf numFmtId="191" fontId="0" fillId="35" borderId="10" xfId="0" applyNumberFormat="1" applyFill="1" applyBorder="1" applyAlignment="1">
      <alignment horizontal="left" vertical="center" indent="1"/>
    </xf>
    <xf numFmtId="0" fontId="16" fillId="36" borderId="10" xfId="0" applyFont="1" applyFill="1" applyBorder="1" applyAlignment="1">
      <alignment horizontal="center" wrapText="1"/>
    </xf>
    <xf numFmtId="0" fontId="0" fillId="35" borderId="10" xfId="0" applyFill="1" applyBorder="1" applyAlignment="1">
      <alignment horizontal="center" vertical="center" wrapText="1"/>
    </xf>
    <xf numFmtId="10" fontId="0" fillId="35" borderId="10" xfId="0" applyNumberFormat="1" applyFill="1" applyBorder="1" applyAlignment="1">
      <alignment horizontal="left"/>
    </xf>
    <xf numFmtId="0" fontId="0" fillId="35" borderId="10" xfId="0" applyFill="1" applyBorder="1" applyAlignment="1">
      <alignment horizontal="left" wrapText="1"/>
    </xf>
    <xf numFmtId="0" fontId="0" fillId="35" borderId="10" xfId="0" applyFill="1" applyBorder="1" applyAlignment="1">
      <alignment horizontal="left" vertical="top"/>
    </xf>
    <xf numFmtId="0" fontId="16" fillId="36" borderId="11" xfId="0" applyFont="1" applyFill="1" applyBorder="1" applyAlignment="1">
      <alignment horizontal="center" vertical="center"/>
    </xf>
    <xf numFmtId="10" fontId="0" fillId="35" borderId="10" xfId="0" applyNumberFormat="1" applyFill="1" applyBorder="1" applyAlignment="1">
      <alignment horizontal="right" vertical="center"/>
    </xf>
    <xf numFmtId="0" fontId="0" fillId="35" borderId="10" xfId="0" applyFill="1" applyBorder="1" applyAlignment="1">
      <alignment horizontal="right" vertical="center"/>
    </xf>
    <xf numFmtId="168" fontId="0" fillId="35" borderId="10" xfId="0" applyNumberFormat="1" applyFill="1" applyBorder="1" applyAlignment="1">
      <alignment horizontal="right" vertical="center"/>
    </xf>
    <xf numFmtId="168" fontId="0" fillId="35" borderId="10" xfId="0" applyNumberFormat="1" applyFill="1" applyBorder="1"/>
    <xf numFmtId="0" fontId="0" fillId="35" borderId="82" xfId="0" applyFill="1" applyBorder="1"/>
    <xf numFmtId="0" fontId="0" fillId="35" borderId="82" xfId="0" applyFill="1" applyBorder="1" applyAlignment="1">
      <alignment horizontal="center" vertical="center"/>
    </xf>
    <xf numFmtId="0" fontId="0" fillId="35" borderId="87" xfId="0" applyFill="1" applyBorder="1"/>
    <xf numFmtId="0" fontId="0" fillId="35" borderId="109" xfId="0" applyFill="1" applyBorder="1" applyAlignment="1">
      <alignment horizontal="center" vertical="center"/>
    </xf>
    <xf numFmtId="4" fontId="0" fillId="35" borderId="82" xfId="0" applyNumberFormat="1" applyFill="1" applyBorder="1" applyAlignment="1">
      <alignment horizontal="center" vertical="center"/>
    </xf>
    <xf numFmtId="4" fontId="0" fillId="35" borderId="109" xfId="0" applyNumberFormat="1" applyFill="1" applyBorder="1" applyAlignment="1">
      <alignment horizontal="center" vertical="center"/>
    </xf>
    <xf numFmtId="4" fontId="0" fillId="35" borderId="11" xfId="0" applyNumberFormat="1" applyFill="1" applyBorder="1" applyAlignment="1">
      <alignment horizontal="center" vertical="center"/>
    </xf>
    <xf numFmtId="0" fontId="0" fillId="35" borderId="87" xfId="0" applyFill="1" applyBorder="1" applyAlignment="1">
      <alignment horizontal="left" wrapText="1"/>
    </xf>
    <xf numFmtId="0" fontId="103" fillId="0" borderId="15" xfId="0" applyFont="1" applyBorder="1"/>
    <xf numFmtId="0" fontId="0" fillId="0" borderId="15" xfId="0" applyBorder="1"/>
    <xf numFmtId="0" fontId="16" fillId="36" borderId="11" xfId="0" applyFont="1" applyFill="1" applyBorder="1"/>
    <xf numFmtId="0" fontId="16" fillId="36" borderId="10" xfId="0" applyFont="1" applyFill="1" applyBorder="1" applyAlignment="1">
      <alignment horizontal="left" wrapText="1"/>
    </xf>
    <xf numFmtId="0" fontId="16" fillId="36" borderId="10" xfId="0" applyFont="1" applyFill="1" applyBorder="1" applyAlignment="1">
      <alignment wrapText="1"/>
    </xf>
    <xf numFmtId="0" fontId="16" fillId="36" borderId="10" xfId="0" applyFont="1" applyFill="1" applyBorder="1" applyAlignment="1">
      <alignment horizontal="center" vertical="top"/>
    </xf>
    <xf numFmtId="168" fontId="0" fillId="35" borderId="10" xfId="0" applyNumberFormat="1" applyFill="1" applyBorder="1" applyAlignment="1">
      <alignment horizontal="center" vertical="center"/>
    </xf>
    <xf numFmtId="0" fontId="89" fillId="34" borderId="28" xfId="0" applyFont="1" applyFill="1" applyBorder="1" applyAlignment="1">
      <alignment horizontal="left"/>
    </xf>
    <xf numFmtId="0" fontId="0" fillId="35" borderId="10" xfId="0" applyFill="1" applyBorder="1" applyAlignment="1">
      <alignment vertical="center"/>
    </xf>
    <xf numFmtId="0" fontId="16" fillId="35" borderId="10" xfId="0" applyFont="1" applyFill="1" applyBorder="1" applyAlignment="1">
      <alignment wrapText="1"/>
    </xf>
    <xf numFmtId="189" fontId="0" fillId="35" borderId="10" xfId="0" applyNumberFormat="1" applyFill="1" applyBorder="1" applyAlignment="1">
      <alignment horizontal="center" vertical="center"/>
    </xf>
    <xf numFmtId="168" fontId="0" fillId="35" borderId="10" xfId="0" applyNumberFormat="1" applyFill="1" applyBorder="1" applyAlignment="1">
      <alignment horizontal="left" vertical="center" indent="1"/>
    </xf>
    <xf numFmtId="2" fontId="0" fillId="35" borderId="82" xfId="0" applyNumberFormat="1" applyFill="1" applyBorder="1" applyAlignment="1">
      <alignment horizontal="center" vertical="center"/>
    </xf>
    <xf numFmtId="168" fontId="0" fillId="35" borderId="82" xfId="0" applyNumberFormat="1" applyFill="1" applyBorder="1" applyAlignment="1">
      <alignment horizontal="left" vertical="center" indent="1"/>
    </xf>
    <xf numFmtId="189" fontId="0" fillId="35" borderId="82" xfId="0" applyNumberFormat="1" applyFill="1" applyBorder="1" applyAlignment="1">
      <alignment horizontal="center" vertical="center"/>
    </xf>
    <xf numFmtId="0" fontId="16" fillId="35" borderId="102" xfId="0" applyFont="1" applyFill="1" applyBorder="1" applyAlignment="1">
      <alignment wrapText="1"/>
    </xf>
    <xf numFmtId="0" fontId="0" fillId="35" borderId="102" xfId="0" applyFill="1" applyBorder="1"/>
    <xf numFmtId="0" fontId="0" fillId="35" borderId="72" xfId="0" applyFill="1" applyBorder="1"/>
    <xf numFmtId="0" fontId="0" fillId="35" borderId="102" xfId="0" applyFill="1" applyBorder="1" applyAlignment="1">
      <alignment horizontal="center" vertical="center"/>
    </xf>
    <xf numFmtId="2" fontId="0" fillId="35" borderId="104" xfId="0" applyNumberFormat="1" applyFill="1" applyBorder="1" applyAlignment="1">
      <alignment horizontal="center" vertical="center"/>
    </xf>
    <xf numFmtId="189" fontId="0" fillId="35" borderId="102" xfId="0" applyNumberFormat="1" applyFill="1" applyBorder="1" applyAlignment="1">
      <alignment horizontal="center" vertical="center"/>
    </xf>
    <xf numFmtId="168" fontId="0" fillId="35" borderId="102" xfId="0" applyNumberFormat="1" applyFill="1" applyBorder="1" applyAlignment="1">
      <alignment horizontal="left" vertical="center" indent="1"/>
    </xf>
    <xf numFmtId="0" fontId="16" fillId="36" borderId="11" xfId="0" applyFont="1" applyFill="1" applyBorder="1" applyAlignment="1">
      <alignment horizontal="left" vertical="center" wrapText="1"/>
    </xf>
    <xf numFmtId="0" fontId="0" fillId="35" borderId="11" xfId="0" applyFill="1" applyBorder="1"/>
    <xf numFmtId="191" fontId="0" fillId="35" borderId="10" xfId="0" applyNumberFormat="1" applyFill="1" applyBorder="1" applyAlignment="1">
      <alignment horizontal="center" vertical="center"/>
    </xf>
    <xf numFmtId="2" fontId="0" fillId="35" borderId="10" xfId="0" applyNumberFormat="1" applyFill="1" applyBorder="1" applyAlignment="1">
      <alignment horizontal="center"/>
    </xf>
    <xf numFmtId="189" fontId="0" fillId="35" borderId="11" xfId="0" applyNumberFormat="1" applyFill="1" applyBorder="1" applyAlignment="1">
      <alignment horizontal="center"/>
    </xf>
    <xf numFmtId="189" fontId="0" fillId="35" borderId="10" xfId="0" applyNumberFormat="1" applyFill="1" applyBorder="1" applyAlignment="1">
      <alignment horizontal="center"/>
    </xf>
    <xf numFmtId="168" fontId="0" fillId="35" borderId="10" xfId="0" applyNumberFormat="1" applyFill="1" applyBorder="1" applyAlignment="1">
      <alignment horizontal="center"/>
    </xf>
    <xf numFmtId="4" fontId="0" fillId="35" borderId="99" xfId="0" applyNumberFormat="1" applyFill="1" applyBorder="1" applyAlignment="1">
      <alignment horizontal="left" vertical="center" indent="1"/>
    </xf>
    <xf numFmtId="4" fontId="0" fillId="35" borderId="98" xfId="0" applyNumberFormat="1" applyFill="1" applyBorder="1" applyAlignment="1">
      <alignment horizontal="left" vertical="center" indent="1"/>
    </xf>
    <xf numFmtId="4" fontId="0" fillId="35" borderId="87" xfId="0" applyNumberFormat="1" applyFill="1" applyBorder="1" applyAlignment="1">
      <alignment horizontal="left" vertical="center" indent="1"/>
    </xf>
    <xf numFmtId="170" fontId="0" fillId="35" borderId="10" xfId="0" applyNumberFormat="1" applyFill="1" applyBorder="1" applyAlignment="1">
      <alignment horizontal="left" vertical="center" indent="1"/>
    </xf>
    <xf numFmtId="170" fontId="0" fillId="35" borderId="98" xfId="0" applyNumberFormat="1" applyFill="1" applyBorder="1" applyAlignment="1">
      <alignment horizontal="left" vertical="center" indent="1"/>
    </xf>
    <xf numFmtId="4" fontId="0" fillId="35" borderId="97" xfId="0" applyNumberFormat="1" applyFill="1" applyBorder="1" applyAlignment="1">
      <alignment horizontal="left" vertical="center" indent="1"/>
    </xf>
    <xf numFmtId="4" fontId="0" fillId="35" borderId="100" xfId="0" applyNumberFormat="1" applyFill="1" applyBorder="1" applyAlignment="1">
      <alignment horizontal="left" vertical="center" indent="1"/>
    </xf>
    <xf numFmtId="4" fontId="0" fillId="35" borderId="101" xfId="0" applyNumberFormat="1" applyFill="1" applyBorder="1" applyAlignment="1">
      <alignment horizontal="left" vertical="center" indent="1"/>
    </xf>
    <xf numFmtId="4" fontId="0" fillId="35" borderId="104" xfId="0" applyNumberFormat="1" applyFill="1" applyBorder="1" applyAlignment="1">
      <alignment horizontal="left" vertical="center" indent="1"/>
    </xf>
    <xf numFmtId="4" fontId="0" fillId="35" borderId="102" xfId="0" applyNumberFormat="1" applyFill="1" applyBorder="1" applyAlignment="1">
      <alignment horizontal="left" vertical="center" indent="1"/>
    </xf>
    <xf numFmtId="0" fontId="0" fillId="36" borderId="10" xfId="0" applyFill="1" applyBorder="1" applyAlignment="1">
      <alignment vertical="center"/>
    </xf>
    <xf numFmtId="189" fontId="0" fillId="35" borderId="10" xfId="0" applyNumberFormat="1" applyFill="1" applyBorder="1" applyAlignment="1">
      <alignment horizontal="left" vertical="center" indent="1"/>
    </xf>
    <xf numFmtId="0" fontId="0" fillId="0" borderId="0" xfId="0" applyAlignment="1">
      <alignment horizontal="left" vertical="center"/>
    </xf>
    <xf numFmtId="0" fontId="0" fillId="36" borderId="86" xfId="0" applyFill="1" applyBorder="1" applyAlignment="1">
      <alignment vertical="center"/>
    </xf>
    <xf numFmtId="43" fontId="0" fillId="35" borderId="87" xfId="0" applyNumberFormat="1" applyFill="1" applyBorder="1" applyAlignment="1">
      <alignment horizontal="center" vertical="center"/>
    </xf>
    <xf numFmtId="0" fontId="0" fillId="35" borderId="10" xfId="0" applyFill="1" applyBorder="1" applyAlignment="1">
      <alignment horizontal="right" vertical="center" indent="1"/>
    </xf>
    <xf numFmtId="187" fontId="0" fillId="35" borderId="10" xfId="0" applyNumberFormat="1" applyFill="1" applyBorder="1" applyAlignment="1">
      <alignment horizontal="right" vertical="center"/>
    </xf>
    <xf numFmtId="187" fontId="0" fillId="35" borderId="86" xfId="0" applyNumberFormat="1" applyFill="1" applyBorder="1" applyAlignment="1">
      <alignment horizontal="right" vertical="center"/>
    </xf>
    <xf numFmtId="187" fontId="0" fillId="35" borderId="0" xfId="0" applyNumberFormat="1" applyFill="1" applyAlignment="1">
      <alignment horizontal="right" vertical="center"/>
    </xf>
    <xf numFmtId="0" fontId="16" fillId="36" borderId="87" xfId="0" applyFont="1" applyFill="1" applyBorder="1" applyAlignment="1">
      <alignment horizontal="center" vertical="center"/>
    </xf>
    <xf numFmtId="2" fontId="0" fillId="35" borderId="26" xfId="0" applyNumberFormat="1" applyFill="1" applyBorder="1" applyAlignment="1">
      <alignment horizontal="left" vertical="center" indent="1"/>
    </xf>
    <xf numFmtId="2" fontId="0" fillId="35" borderId="26" xfId="0" applyNumberFormat="1" applyFill="1" applyBorder="1" applyAlignment="1">
      <alignment horizontal="center" vertical="center"/>
    </xf>
    <xf numFmtId="2" fontId="0" fillId="35" borderId="26" xfId="0" applyNumberFormat="1" applyFill="1" applyBorder="1" applyAlignment="1">
      <alignment horizontal="left" vertical="center"/>
    </xf>
    <xf numFmtId="2" fontId="0" fillId="35" borderId="10" xfId="0" applyNumberFormat="1" applyFill="1" applyBorder="1" applyAlignment="1">
      <alignment horizontal="right" vertical="center"/>
    </xf>
    <xf numFmtId="2" fontId="0" fillId="35" borderId="25" xfId="0" applyNumberFormat="1" applyFill="1" applyBorder="1" applyAlignment="1">
      <alignment horizontal="right" vertical="center"/>
    </xf>
    <xf numFmtId="189" fontId="0" fillId="35" borderId="11" xfId="0" applyNumberFormat="1" applyFill="1" applyBorder="1" applyAlignment="1">
      <alignment horizontal="right" vertical="center"/>
    </xf>
    <xf numFmtId="168" fontId="0" fillId="35" borderId="10" xfId="0" applyNumberFormat="1" applyFill="1" applyBorder="1" applyAlignment="1">
      <alignment horizontal="right"/>
    </xf>
    <xf numFmtId="189" fontId="0" fillId="35" borderId="10" xfId="0" applyNumberFormat="1" applyFill="1" applyBorder="1" applyAlignment="1">
      <alignment horizontal="right"/>
    </xf>
    <xf numFmtId="2" fontId="0" fillId="35" borderId="86" xfId="0" applyNumberFormat="1" applyFill="1" applyBorder="1" applyAlignment="1">
      <alignment horizontal="left" vertical="center" indent="1"/>
    </xf>
    <xf numFmtId="2" fontId="0" fillId="35" borderId="86" xfId="0" applyNumberFormat="1" applyFill="1" applyBorder="1" applyAlignment="1">
      <alignment horizontal="left" vertical="center"/>
    </xf>
    <xf numFmtId="0" fontId="0" fillId="36" borderId="108" xfId="0" applyFill="1" applyBorder="1" applyAlignment="1">
      <alignment vertical="center" wrapText="1"/>
    </xf>
    <xf numFmtId="43" fontId="0" fillId="35" borderId="13" xfId="0" applyNumberFormat="1" applyFill="1" applyBorder="1" applyAlignment="1">
      <alignment horizontal="left" vertical="center"/>
    </xf>
    <xf numFmtId="4" fontId="0" fillId="35" borderId="13" xfId="0" applyNumberFormat="1" applyFill="1" applyBorder="1" applyAlignment="1">
      <alignment horizontal="left" vertical="center"/>
    </xf>
    <xf numFmtId="4" fontId="0" fillId="35" borderId="14" xfId="0" applyNumberFormat="1" applyFill="1" applyBorder="1" applyAlignment="1">
      <alignment horizontal="left" vertical="center"/>
    </xf>
    <xf numFmtId="43" fontId="0" fillId="35" borderId="10" xfId="0" applyNumberFormat="1" applyFill="1" applyBorder="1" applyAlignment="1">
      <alignment horizontal="left" vertical="center"/>
    </xf>
    <xf numFmtId="4" fontId="0" fillId="35" borderId="98" xfId="0" applyNumberFormat="1" applyFill="1" applyBorder="1" applyAlignment="1">
      <alignment horizontal="left" vertical="center"/>
    </xf>
    <xf numFmtId="43" fontId="0" fillId="35" borderId="102" xfId="0" applyNumberFormat="1" applyFill="1" applyBorder="1" applyAlignment="1">
      <alignment horizontal="left" vertical="center"/>
    </xf>
    <xf numFmtId="4" fontId="0" fillId="35" borderId="102" xfId="0" applyNumberFormat="1" applyFill="1" applyBorder="1" applyAlignment="1">
      <alignment horizontal="left" vertical="center"/>
    </xf>
    <xf numFmtId="4" fontId="0" fillId="35" borderId="101" xfId="0" applyNumberFormat="1" applyFill="1" applyBorder="1" applyAlignment="1">
      <alignment horizontal="left" vertical="center"/>
    </xf>
    <xf numFmtId="1" fontId="0" fillId="35" borderId="13" xfId="0" applyNumberFormat="1" applyFill="1" applyBorder="1" applyAlignment="1">
      <alignment horizontal="left" vertical="center"/>
    </xf>
    <xf numFmtId="2" fontId="0" fillId="35" borderId="14" xfId="0" applyNumberFormat="1" applyFill="1" applyBorder="1" applyAlignment="1">
      <alignment horizontal="left" vertical="center"/>
    </xf>
    <xf numFmtId="1" fontId="0" fillId="35" borderId="10" xfId="0" applyNumberFormat="1" applyFill="1" applyBorder="1" applyAlignment="1">
      <alignment horizontal="left" vertical="center"/>
    </xf>
    <xf numFmtId="2" fontId="0" fillId="35" borderId="98" xfId="0" applyNumberFormat="1" applyFill="1" applyBorder="1" applyAlignment="1">
      <alignment horizontal="left" vertical="center"/>
    </xf>
    <xf numFmtId="1" fontId="0" fillId="35" borderId="102" xfId="0" applyNumberFormat="1" applyFill="1" applyBorder="1" applyAlignment="1">
      <alignment horizontal="left" vertical="center"/>
    </xf>
    <xf numFmtId="2" fontId="0" fillId="35" borderId="101" xfId="0" applyNumberFormat="1" applyFill="1" applyBorder="1" applyAlignment="1">
      <alignment horizontal="left" vertical="center"/>
    </xf>
    <xf numFmtId="189" fontId="0" fillId="35" borderId="10" xfId="0" applyNumberFormat="1" applyFill="1" applyBorder="1" applyAlignment="1">
      <alignment horizontal="left" vertical="center"/>
    </xf>
    <xf numFmtId="0" fontId="89" fillId="0" borderId="28" xfId="0" applyFont="1" applyBorder="1"/>
    <xf numFmtId="192" fontId="0" fillId="35" borderId="10" xfId="0" applyNumberFormat="1" applyFill="1" applyBorder="1" applyAlignment="1">
      <alignment horizontal="left" vertical="center" indent="1"/>
    </xf>
    <xf numFmtId="4" fontId="0" fillId="35" borderId="10" xfId="0" applyNumberFormat="1" applyFill="1" applyBorder="1" applyAlignment="1">
      <alignment horizontal="left"/>
    </xf>
    <xf numFmtId="190" fontId="0" fillId="35" borderId="10" xfId="0" applyNumberFormat="1" applyFill="1" applyBorder="1" applyAlignment="1">
      <alignment horizontal="right" vertical="center"/>
    </xf>
    <xf numFmtId="189" fontId="0" fillId="35" borderId="10" xfId="0" applyNumberFormat="1" applyFill="1" applyBorder="1"/>
    <xf numFmtId="189" fontId="0" fillId="35" borderId="87" xfId="0" applyNumberFormat="1" applyFill="1" applyBorder="1"/>
    <xf numFmtId="0" fontId="0" fillId="35" borderId="10" xfId="2601" applyNumberFormat="1" applyFont="1" applyFill="1" applyBorder="1" applyAlignment="1">
      <alignment horizontal="left" vertical="center" indent="1"/>
    </xf>
    <xf numFmtId="0" fontId="0" fillId="35" borderId="10" xfId="2601" applyNumberFormat="1" applyFont="1" applyFill="1" applyBorder="1" applyAlignment="1">
      <alignment vertical="center"/>
    </xf>
    <xf numFmtId="0" fontId="0" fillId="33" borderId="10" xfId="1" applyNumberFormat="1" applyFont="1" applyFill="1" applyBorder="1" applyAlignment="1" applyProtection="1">
      <alignment horizontal="center" vertical="center"/>
      <protection locked="0"/>
    </xf>
    <xf numFmtId="9" fontId="0" fillId="33" borderId="10" xfId="2601" applyFont="1" applyFill="1" applyBorder="1" applyAlignment="1" applyProtection="1">
      <alignment horizontal="center" vertical="center"/>
      <protection locked="0"/>
    </xf>
    <xf numFmtId="4" fontId="0" fillId="33" borderId="10" xfId="1" applyNumberFormat="1" applyFont="1" applyFill="1" applyBorder="1" applyAlignment="1" applyProtection="1">
      <alignment horizontal="center" vertical="center"/>
      <protection locked="0"/>
    </xf>
    <xf numFmtId="4" fontId="0" fillId="35" borderId="10" xfId="1" applyNumberFormat="1" applyFont="1" applyFill="1" applyBorder="1" applyAlignment="1">
      <alignment horizontal="center" vertical="center"/>
    </xf>
    <xf numFmtId="2" fontId="0" fillId="35" borderId="10" xfId="1" applyNumberFormat="1" applyFont="1" applyFill="1" applyBorder="1" applyAlignment="1" applyProtection="1">
      <alignment horizontal="center" vertical="center"/>
    </xf>
    <xf numFmtId="4" fontId="16" fillId="36" borderId="13" xfId="2600" applyNumberFormat="1" applyFont="1" applyFill="1" applyBorder="1" applyAlignment="1" applyProtection="1">
      <alignment horizontal="center" vertical="center" wrapText="1"/>
    </xf>
    <xf numFmtId="4" fontId="16" fillId="36" borderId="74" xfId="0" applyNumberFormat="1" applyFont="1" applyFill="1" applyBorder="1" applyAlignment="1">
      <alignment horizontal="center" vertical="center" wrapText="1"/>
    </xf>
    <xf numFmtId="4" fontId="0" fillId="33" borderId="86" xfId="1" applyNumberFormat="1" applyFont="1" applyFill="1" applyBorder="1" applyAlignment="1" applyProtection="1">
      <alignment horizontal="center" vertical="center"/>
      <protection locked="0"/>
    </xf>
    <xf numFmtId="0" fontId="0" fillId="33" borderId="82" xfId="1" applyNumberFormat="1" applyFont="1" applyFill="1" applyBorder="1" applyAlignment="1" applyProtection="1">
      <alignment horizontal="center" vertical="center"/>
      <protection locked="0"/>
    </xf>
    <xf numFmtId="4" fontId="0" fillId="33" borderId="82" xfId="1" applyNumberFormat="1" applyFont="1" applyFill="1" applyBorder="1" applyAlignment="1" applyProtection="1">
      <alignment horizontal="center" vertical="center"/>
      <protection locked="0"/>
    </xf>
    <xf numFmtId="4" fontId="0" fillId="33" borderId="83" xfId="1" applyNumberFormat="1" applyFont="1" applyFill="1" applyBorder="1" applyAlignment="1" applyProtection="1">
      <alignment horizontal="center" vertical="center"/>
      <protection locked="0"/>
    </xf>
    <xf numFmtId="2" fontId="0" fillId="33" borderId="10" xfId="2601" applyNumberFormat="1" applyFont="1" applyFill="1" applyBorder="1" applyAlignment="1" applyProtection="1">
      <alignment horizontal="center" vertical="center"/>
      <protection locked="0"/>
    </xf>
    <xf numFmtId="0" fontId="49" fillId="0" borderId="10" xfId="0" applyFont="1" applyBorder="1" applyAlignment="1">
      <alignment horizontal="center" vertical="center" wrapText="1"/>
    </xf>
    <xf numFmtId="0" fontId="49" fillId="72" borderId="10" xfId="0" applyFont="1" applyFill="1" applyBorder="1" applyAlignment="1">
      <alignment horizontal="center" vertical="center" wrapText="1"/>
    </xf>
    <xf numFmtId="0" fontId="130" fillId="77" borderId="10" xfId="0" applyFont="1" applyFill="1" applyBorder="1" applyAlignment="1">
      <alignment vertical="center"/>
    </xf>
    <xf numFmtId="0" fontId="131" fillId="35" borderId="10" xfId="0" applyFont="1" applyFill="1" applyBorder="1" applyAlignment="1">
      <alignment horizontal="left" vertical="center"/>
    </xf>
    <xf numFmtId="0" fontId="21" fillId="0" borderId="10" xfId="0" applyFont="1" applyBorder="1" applyAlignment="1">
      <alignment vertical="center"/>
    </xf>
    <xf numFmtId="0" fontId="131" fillId="35" borderId="113" xfId="0" applyFont="1" applyFill="1" applyBorder="1" applyAlignment="1">
      <alignment horizontal="left" vertical="center"/>
    </xf>
    <xf numFmtId="0" fontId="21" fillId="0" borderId="113" xfId="0" applyFont="1" applyBorder="1" applyAlignment="1">
      <alignment vertical="center"/>
    </xf>
    <xf numFmtId="0" fontId="131" fillId="78" borderId="11" xfId="0" applyFont="1" applyFill="1" applyBorder="1" applyAlignment="1">
      <alignment horizontal="left" vertical="center"/>
    </xf>
    <xf numFmtId="0" fontId="21" fillId="0" borderId="11" xfId="0" applyFont="1" applyBorder="1" applyAlignment="1">
      <alignment vertical="center"/>
    </xf>
    <xf numFmtId="0" fontId="131" fillId="78" borderId="113" xfId="0" applyFont="1" applyFill="1" applyBorder="1" applyAlignment="1">
      <alignment horizontal="left" vertical="center"/>
    </xf>
    <xf numFmtId="0" fontId="21" fillId="78" borderId="113" xfId="0" applyFont="1" applyFill="1" applyBorder="1" applyAlignment="1">
      <alignment vertical="center"/>
    </xf>
    <xf numFmtId="0" fontId="131" fillId="35" borderId="11" xfId="0" applyFont="1" applyFill="1" applyBorder="1" applyAlignment="1">
      <alignment horizontal="left" vertical="center"/>
    </xf>
    <xf numFmtId="0" fontId="132" fillId="34" borderId="0" xfId="0" applyFont="1" applyFill="1" applyAlignment="1">
      <alignment horizontal="center"/>
    </xf>
    <xf numFmtId="0" fontId="21" fillId="35" borderId="10" xfId="0" applyFont="1" applyFill="1" applyBorder="1" applyAlignment="1">
      <alignment vertical="center"/>
    </xf>
    <xf numFmtId="0" fontId="21" fillId="35" borderId="113" xfId="0" applyFont="1" applyFill="1" applyBorder="1" applyAlignment="1">
      <alignment vertical="center"/>
    </xf>
    <xf numFmtId="0" fontId="21" fillId="35" borderId="11" xfId="0" applyFont="1" applyFill="1" applyBorder="1" applyAlignment="1">
      <alignment vertical="center"/>
    </xf>
    <xf numFmtId="0" fontId="133" fillId="34" borderId="0" xfId="0" applyFont="1" applyFill="1" applyAlignment="1">
      <alignment horizontal="center" vertical="center" wrapText="1"/>
    </xf>
    <xf numFmtId="0" fontId="133" fillId="34" borderId="0" xfId="0" applyFont="1" applyFill="1" applyAlignment="1">
      <alignment vertical="center" wrapText="1"/>
    </xf>
    <xf numFmtId="170" fontId="0" fillId="35" borderId="87" xfId="1" applyNumberFormat="1" applyFont="1" applyFill="1" applyBorder="1" applyAlignment="1" applyProtection="1">
      <alignment horizontal="center" vertical="center"/>
    </xf>
    <xf numFmtId="0" fontId="0" fillId="76" borderId="25" xfId="0" applyFill="1" applyBorder="1"/>
    <xf numFmtId="0" fontId="0" fillId="76" borderId="11" xfId="0" applyFill="1" applyBorder="1"/>
    <xf numFmtId="14" fontId="0" fillId="76" borderId="11" xfId="0" applyNumberFormat="1" applyFill="1" applyBorder="1"/>
    <xf numFmtId="0" fontId="0" fillId="0" borderId="11" xfId="0" applyBorder="1"/>
    <xf numFmtId="0" fontId="0" fillId="0" borderId="112" xfId="0" applyBorder="1"/>
    <xf numFmtId="0" fontId="0" fillId="76" borderId="87" xfId="0" applyFill="1" applyBorder="1"/>
    <xf numFmtId="0" fontId="0" fillId="76" borderId="10" xfId="0" applyFill="1" applyBorder="1"/>
    <xf numFmtId="14" fontId="0" fillId="76" borderId="10" xfId="0" applyNumberFormat="1" applyFill="1" applyBorder="1"/>
    <xf numFmtId="0" fontId="0" fillId="0" borderId="98" xfId="0" applyBorder="1"/>
    <xf numFmtId="0" fontId="0" fillId="76" borderId="104" xfId="0" applyFill="1" applyBorder="1"/>
    <xf numFmtId="0" fontId="0" fillId="76" borderId="102" xfId="0" applyFill="1" applyBorder="1"/>
    <xf numFmtId="14" fontId="0" fillId="76" borderId="102" xfId="0" applyNumberFormat="1" applyFill="1" applyBorder="1"/>
    <xf numFmtId="0" fontId="0" fillId="0" borderId="102" xfId="0" applyBorder="1"/>
    <xf numFmtId="0" fontId="0" fillId="0" borderId="101" xfId="0" applyBorder="1"/>
    <xf numFmtId="14" fontId="0" fillId="76" borderId="87" xfId="0" applyNumberFormat="1" applyFill="1" applyBorder="1"/>
    <xf numFmtId="0" fontId="0" fillId="0" borderId="78" xfId="0" applyBorder="1"/>
    <xf numFmtId="172" fontId="0" fillId="76" borderId="10" xfId="0" applyNumberFormat="1" applyFill="1" applyBorder="1"/>
    <xf numFmtId="191" fontId="0" fillId="76" borderId="10" xfId="0" applyNumberFormat="1" applyFill="1" applyBorder="1"/>
    <xf numFmtId="1" fontId="0" fillId="76" borderId="10" xfId="0" applyNumberFormat="1" applyFill="1" applyBorder="1"/>
    <xf numFmtId="172" fontId="0" fillId="76" borderId="87" xfId="0" applyNumberFormat="1" applyFill="1" applyBorder="1"/>
    <xf numFmtId="2" fontId="0" fillId="76" borderId="10" xfId="0" applyNumberFormat="1" applyFill="1" applyBorder="1" applyAlignment="1">
      <alignment horizontal="center" vertical="center"/>
    </xf>
    <xf numFmtId="14" fontId="0" fillId="0" borderId="0" xfId="0" applyNumberFormat="1"/>
    <xf numFmtId="2" fontId="0" fillId="76" borderId="10" xfId="0" applyNumberFormat="1" applyFill="1" applyBorder="1"/>
    <xf numFmtId="14" fontId="0" fillId="0" borderId="78" xfId="0" applyNumberFormat="1" applyBorder="1"/>
    <xf numFmtId="168" fontId="0" fillId="76" borderId="10" xfId="0" applyNumberFormat="1" applyFill="1" applyBorder="1"/>
    <xf numFmtId="0" fontId="0" fillId="76" borderId="10" xfId="0" quotePrefix="1" applyFill="1" applyBorder="1"/>
    <xf numFmtId="4" fontId="0" fillId="76" borderId="10" xfId="0" applyNumberFormat="1" applyFill="1" applyBorder="1"/>
    <xf numFmtId="0" fontId="0" fillId="0" borderId="10" xfId="0" applyBorder="1" applyAlignment="1">
      <alignment vertical="center" wrapText="1"/>
    </xf>
    <xf numFmtId="0" fontId="0" fillId="35" borderId="10" xfId="0" applyFill="1" applyBorder="1" applyAlignment="1">
      <alignment vertical="center" wrapText="1"/>
    </xf>
    <xf numFmtId="0" fontId="49" fillId="62" borderId="10" xfId="0" applyFont="1" applyFill="1" applyBorder="1" applyAlignment="1">
      <alignment horizontal="center" vertical="center" wrapText="1"/>
    </xf>
    <xf numFmtId="2" fontId="0" fillId="76" borderId="86" xfId="0" applyNumberFormat="1" applyFill="1" applyBorder="1"/>
    <xf numFmtId="191" fontId="0" fillId="76" borderId="11" xfId="0" applyNumberFormat="1" applyFill="1" applyBorder="1"/>
    <xf numFmtId="191" fontId="0" fillId="76" borderId="102" xfId="0" applyNumberFormat="1" applyFill="1" applyBorder="1"/>
    <xf numFmtId="191" fontId="0" fillId="76" borderId="87" xfId="0" applyNumberFormat="1" applyFill="1" applyBorder="1"/>
    <xf numFmtId="191" fontId="0" fillId="0" borderId="0" xfId="0" applyNumberFormat="1"/>
    <xf numFmtId="191" fontId="0" fillId="0" borderId="78" xfId="0" applyNumberFormat="1" applyBorder="1"/>
    <xf numFmtId="191" fontId="0" fillId="76" borderId="10" xfId="0" quotePrefix="1" applyNumberFormat="1" applyFill="1" applyBorder="1"/>
    <xf numFmtId="172" fontId="0" fillId="76" borderId="11" xfId="0" applyNumberFormat="1" applyFill="1" applyBorder="1"/>
    <xf numFmtId="172" fontId="0" fillId="76" borderId="102" xfId="0" applyNumberFormat="1" applyFill="1" applyBorder="1"/>
    <xf numFmtId="172" fontId="0" fillId="0" borderId="0" xfId="0" applyNumberFormat="1"/>
    <xf numFmtId="172" fontId="0" fillId="0" borderId="78" xfId="0" applyNumberFormat="1" applyBorder="1"/>
    <xf numFmtId="172" fontId="0" fillId="76" borderId="10" xfId="0" quotePrefix="1" applyNumberFormat="1" applyFill="1" applyBorder="1"/>
    <xf numFmtId="2" fontId="0" fillId="76" borderId="11" xfId="0" applyNumberFormat="1" applyFill="1" applyBorder="1"/>
    <xf numFmtId="2" fontId="0" fillId="76" borderId="102" xfId="0" applyNumberFormat="1" applyFill="1" applyBorder="1"/>
    <xf numFmtId="2" fontId="0" fillId="76" borderId="87" xfId="0" applyNumberFormat="1" applyFill="1" applyBorder="1"/>
    <xf numFmtId="2" fontId="0" fillId="0" borderId="78" xfId="0" applyNumberFormat="1" applyBorder="1"/>
    <xf numFmtId="2" fontId="0" fillId="76" borderId="10" xfId="0" quotePrefix="1" applyNumberFormat="1" applyFill="1" applyBorder="1"/>
    <xf numFmtId="0" fontId="47" fillId="73" borderId="116" xfId="0" applyFont="1" applyFill="1" applyBorder="1" applyAlignment="1">
      <alignment horizontal="center" vertical="center"/>
    </xf>
    <xf numFmtId="0" fontId="0" fillId="0" borderId="117" xfId="0" applyBorder="1"/>
    <xf numFmtId="0" fontId="16" fillId="0" borderId="118" xfId="0" applyFont="1" applyBorder="1"/>
    <xf numFmtId="0" fontId="0" fillId="0" borderId="118" xfId="0" applyBorder="1"/>
    <xf numFmtId="0" fontId="0" fillId="0" borderId="119" xfId="0" applyBorder="1"/>
    <xf numFmtId="0" fontId="0" fillId="0" borderId="120" xfId="0" applyBorder="1"/>
    <xf numFmtId="0" fontId="0" fillId="0" borderId="121" xfId="0" applyBorder="1"/>
    <xf numFmtId="0" fontId="16" fillId="0" borderId="122" xfId="0" applyFont="1" applyBorder="1" applyAlignment="1">
      <alignment horizontal="center"/>
    </xf>
    <xf numFmtId="0" fontId="16" fillId="0" borderId="123" xfId="0" applyFont="1" applyBorder="1" applyAlignment="1">
      <alignment horizontal="center"/>
    </xf>
    <xf numFmtId="0" fontId="16" fillId="0" borderId="124" xfId="0" applyFont="1" applyBorder="1" applyAlignment="1">
      <alignment horizontal="center"/>
    </xf>
    <xf numFmtId="0" fontId="16" fillId="0" borderId="120" xfId="0" applyFont="1" applyBorder="1"/>
    <xf numFmtId="0" fontId="0" fillId="0" borderId="89" xfId="0" applyBorder="1" applyAlignment="1">
      <alignment horizontal="center"/>
    </xf>
    <xf numFmtId="0" fontId="0" fillId="0" borderId="25" xfId="0" applyBorder="1" applyAlignment="1">
      <alignment horizontal="center"/>
    </xf>
    <xf numFmtId="0" fontId="0" fillId="0" borderId="112" xfId="0" applyBorder="1" applyAlignment="1">
      <alignment horizontal="center"/>
    </xf>
    <xf numFmtId="0" fontId="0" fillId="81" borderId="0" xfId="0" applyFill="1"/>
    <xf numFmtId="0" fontId="0" fillId="0" borderId="87" xfId="0" applyBorder="1" applyAlignment="1">
      <alignment horizontal="center"/>
    </xf>
    <xf numFmtId="0" fontId="0" fillId="0" borderId="98" xfId="0" applyBorder="1" applyAlignment="1">
      <alignment horizontal="center"/>
    </xf>
    <xf numFmtId="0" fontId="0" fillId="0" borderId="92" xfId="0" applyBorder="1" applyAlignment="1">
      <alignment horizontal="center"/>
    </xf>
    <xf numFmtId="0" fontId="0" fillId="0" borderId="104" xfId="0" applyBorder="1" applyAlignment="1">
      <alignment horizontal="center"/>
    </xf>
    <xf numFmtId="0" fontId="0" fillId="0" borderId="101" xfId="0" applyBorder="1" applyAlignment="1">
      <alignment horizontal="center"/>
    </xf>
    <xf numFmtId="0" fontId="0" fillId="82" borderId="0" xfId="0" applyFill="1"/>
    <xf numFmtId="0" fontId="0" fillId="79" borderId="0" xfId="0" applyFill="1"/>
    <xf numFmtId="0" fontId="0" fillId="0" borderId="125" xfId="0" applyBorder="1"/>
    <xf numFmtId="0" fontId="0" fillId="0" borderId="126" xfId="0" applyBorder="1"/>
    <xf numFmtId="0" fontId="0" fillId="0" borderId="127" xfId="0" applyBorder="1"/>
    <xf numFmtId="0" fontId="44" fillId="35" borderId="10" xfId="0" applyFont="1" applyFill="1" applyBorder="1" applyAlignment="1">
      <alignment horizontal="center" vertical="center"/>
    </xf>
    <xf numFmtId="2" fontId="44" fillId="35" borderId="10" xfId="0" applyNumberFormat="1" applyFont="1" applyFill="1" applyBorder="1" applyAlignment="1">
      <alignment horizontal="center" vertical="center"/>
    </xf>
    <xf numFmtId="189" fontId="44" fillId="35" borderId="10" xfId="0" applyNumberFormat="1" applyFont="1" applyFill="1" applyBorder="1" applyAlignment="1">
      <alignment horizontal="center" vertical="center"/>
    </xf>
    <xf numFmtId="2" fontId="44" fillId="35" borderId="82" xfId="0" applyNumberFormat="1" applyFont="1" applyFill="1" applyBorder="1" applyAlignment="1">
      <alignment horizontal="center" vertical="center"/>
    </xf>
    <xf numFmtId="3" fontId="0" fillId="61" borderId="98" xfId="0" applyNumberFormat="1" applyFill="1" applyBorder="1" applyAlignment="1">
      <alignment horizontal="center" vertical="center"/>
    </xf>
    <xf numFmtId="4" fontId="0" fillId="64" borderId="128" xfId="0" applyNumberFormat="1" applyFill="1" applyBorder="1" applyAlignment="1">
      <alignment horizontal="center" vertical="center"/>
    </xf>
    <xf numFmtId="4" fontId="0" fillId="61" borderId="79" xfId="0" applyNumberFormat="1" applyFill="1" applyBorder="1" applyAlignment="1">
      <alignment horizontal="center" vertical="center"/>
    </xf>
    <xf numFmtId="2" fontId="0" fillId="61" borderId="10" xfId="0" applyNumberFormat="1" applyFill="1" applyBorder="1" applyAlignment="1">
      <alignment horizontal="center" vertical="center"/>
    </xf>
    <xf numFmtId="2" fontId="0" fillId="61" borderId="13" xfId="0" applyNumberFormat="1" applyFill="1" applyBorder="1" applyAlignment="1">
      <alignment horizontal="center" vertical="center"/>
    </xf>
    <xf numFmtId="3" fontId="0" fillId="64" borderId="14" xfId="0" applyNumberFormat="1" applyFill="1" applyBorder="1" applyAlignment="1">
      <alignment horizontal="center" vertical="center"/>
    </xf>
    <xf numFmtId="2" fontId="0" fillId="64" borderId="12" xfId="0" applyNumberFormat="1" applyFill="1" applyBorder="1" applyAlignment="1">
      <alignment horizontal="center" vertical="center"/>
    </xf>
    <xf numFmtId="2" fontId="0" fillId="61" borderId="99" xfId="0" applyNumberFormat="1" applyFill="1" applyBorder="1" applyAlignment="1">
      <alignment horizontal="center" vertical="center"/>
    </xf>
    <xf numFmtId="194" fontId="49" fillId="35" borderId="10" xfId="1" applyNumberFormat="1" applyFont="1" applyFill="1" applyBorder="1" applyAlignment="1" applyProtection="1">
      <alignment horizontal="center" vertical="center"/>
    </xf>
    <xf numFmtId="3" fontId="49" fillId="35" borderId="10" xfId="1" applyNumberFormat="1" applyFont="1" applyFill="1" applyBorder="1" applyAlignment="1" applyProtection="1">
      <alignment horizontal="center" vertical="center"/>
    </xf>
    <xf numFmtId="0" fontId="17" fillId="81" borderId="84" xfId="0" applyFont="1" applyFill="1" applyBorder="1" applyAlignment="1">
      <alignment horizontal="left" vertical="center"/>
    </xf>
    <xf numFmtId="0" fontId="17" fillId="81" borderId="103" xfId="0" applyFont="1" applyFill="1" applyBorder="1" applyAlignment="1">
      <alignment horizontal="left" vertical="center"/>
    </xf>
    <xf numFmtId="0" fontId="17" fillId="81" borderId="85" xfId="0" applyFont="1" applyFill="1" applyBorder="1" applyAlignment="1">
      <alignment horizontal="left" vertical="center"/>
    </xf>
    <xf numFmtId="0" fontId="134" fillId="81" borderId="92" xfId="0" applyFont="1" applyFill="1" applyBorder="1" applyAlignment="1">
      <alignment horizontal="left" vertical="center"/>
    </xf>
    <xf numFmtId="0" fontId="17" fillId="81" borderId="84" xfId="0" applyFont="1" applyFill="1" applyBorder="1" applyAlignment="1">
      <alignment horizontal="left" vertical="center" indent="1"/>
    </xf>
    <xf numFmtId="0" fontId="17" fillId="81" borderId="103" xfId="0" applyFont="1" applyFill="1" applyBorder="1" applyAlignment="1">
      <alignment horizontal="left" vertical="center" indent="1"/>
    </xf>
    <xf numFmtId="0" fontId="17" fillId="81" borderId="95" xfId="0" applyFont="1" applyFill="1" applyBorder="1" applyAlignment="1">
      <alignment horizontal="left" vertical="center" indent="1"/>
    </xf>
    <xf numFmtId="0" fontId="17" fillId="81" borderId="100" xfId="0" applyFont="1" applyFill="1" applyBorder="1" applyAlignment="1">
      <alignment horizontal="left" vertical="center" indent="1"/>
    </xf>
    <xf numFmtId="2" fontId="134" fillId="81" borderId="94" xfId="0" applyNumberFormat="1" applyFont="1" applyFill="1" applyBorder="1" applyAlignment="1">
      <alignment horizontal="center" vertical="center"/>
    </xf>
    <xf numFmtId="3" fontId="134" fillId="81" borderId="77" xfId="0" applyNumberFormat="1" applyFont="1" applyFill="1" applyBorder="1" applyAlignment="1">
      <alignment horizontal="center" vertical="center"/>
    </xf>
    <xf numFmtId="169" fontId="134" fillId="81" borderId="92" xfId="0" applyNumberFormat="1" applyFont="1" applyFill="1" applyBorder="1" applyAlignment="1">
      <alignment horizontal="center" vertical="center"/>
    </xf>
    <xf numFmtId="2" fontId="0" fillId="34" borderId="99" xfId="0" applyNumberFormat="1" applyFill="1" applyBorder="1" applyAlignment="1">
      <alignment horizontal="center" vertical="center"/>
    </xf>
    <xf numFmtId="2" fontId="0" fillId="34" borderId="10" xfId="0" applyNumberFormat="1" applyFill="1" applyBorder="1" applyAlignment="1">
      <alignment horizontal="center" vertical="center"/>
    </xf>
    <xf numFmtId="3" fontId="0" fillId="34" borderId="98" xfId="0" applyNumberFormat="1" applyFill="1" applyBorder="1" applyAlignment="1">
      <alignment horizontal="center" vertical="center"/>
    </xf>
    <xf numFmtId="4" fontId="0" fillId="34" borderId="79" xfId="0" applyNumberFormat="1" applyFill="1" applyBorder="1" applyAlignment="1">
      <alignment horizontal="center" vertical="center"/>
    </xf>
    <xf numFmtId="2" fontId="0" fillId="34" borderId="100" xfId="0" applyNumberFormat="1" applyFill="1" applyBorder="1" applyAlignment="1">
      <alignment horizontal="center" vertical="center"/>
    </xf>
    <xf numFmtId="2" fontId="0" fillId="34" borderId="102" xfId="0" applyNumberFormat="1" applyFill="1" applyBorder="1" applyAlignment="1">
      <alignment horizontal="center" vertical="center"/>
    </xf>
    <xf numFmtId="3" fontId="0" fillId="34" borderId="101" xfId="0" applyNumberFormat="1" applyFill="1" applyBorder="1" applyAlignment="1">
      <alignment horizontal="center" vertical="center"/>
    </xf>
    <xf numFmtId="4" fontId="0" fillId="34" borderId="75" xfId="0" applyNumberFormat="1" applyFill="1" applyBorder="1" applyAlignment="1">
      <alignment horizontal="center" vertical="center"/>
    </xf>
    <xf numFmtId="0" fontId="137" fillId="34" borderId="0" xfId="0" applyFont="1" applyFill="1" applyAlignment="1">
      <alignment horizontal="left" vertical="center" wrapText="1"/>
    </xf>
    <xf numFmtId="4" fontId="17" fillId="81" borderId="12" xfId="0" applyNumberFormat="1" applyFont="1" applyFill="1" applyBorder="1" applyAlignment="1">
      <alignment horizontal="center" vertical="center"/>
    </xf>
    <xf numFmtId="4" fontId="17" fillId="81" borderId="13" xfId="0" applyNumberFormat="1" applyFont="1" applyFill="1" applyBorder="1" applyAlignment="1">
      <alignment horizontal="center" vertical="center"/>
    </xf>
    <xf numFmtId="4" fontId="138" fillId="81" borderId="13" xfId="2600" applyNumberFormat="1" applyFont="1" applyFill="1" applyBorder="1" applyAlignment="1" applyProtection="1">
      <alignment horizontal="center" vertical="center"/>
    </xf>
    <xf numFmtId="4" fontId="17" fillId="81" borderId="13" xfId="2600" applyNumberFormat="1" applyFont="1" applyFill="1" applyBorder="1" applyAlignment="1" applyProtection="1">
      <alignment horizontal="center" vertical="center"/>
    </xf>
    <xf numFmtId="0" fontId="17" fillId="81" borderId="74" xfId="0" applyFont="1" applyFill="1" applyBorder="1" applyAlignment="1">
      <alignment horizontal="center" vertical="center"/>
    </xf>
    <xf numFmtId="0" fontId="17" fillId="81" borderId="13" xfId="0" applyFont="1" applyFill="1" applyBorder="1" applyAlignment="1">
      <alignment horizontal="center" vertical="center"/>
    </xf>
    <xf numFmtId="170" fontId="17" fillId="81" borderId="93" xfId="0" applyNumberFormat="1" applyFont="1" applyFill="1" applyBorder="1" applyAlignment="1">
      <alignment horizontal="center" vertical="center"/>
    </xf>
    <xf numFmtId="4" fontId="17" fillId="81" borderId="74" xfId="0" applyNumberFormat="1" applyFont="1" applyFill="1" applyBorder="1" applyAlignment="1">
      <alignment horizontal="center" vertical="center"/>
    </xf>
    <xf numFmtId="4" fontId="139" fillId="81" borderId="102" xfId="1" applyNumberFormat="1" applyFont="1" applyFill="1" applyBorder="1" applyAlignment="1">
      <alignment horizontal="center" vertical="center"/>
    </xf>
    <xf numFmtId="2" fontId="139" fillId="81" borderId="102" xfId="1" applyNumberFormat="1" applyFont="1" applyFill="1" applyBorder="1" applyAlignment="1" applyProtection="1">
      <alignment horizontal="center" vertical="center"/>
    </xf>
    <xf numFmtId="4" fontId="139" fillId="81" borderId="102" xfId="0" applyNumberFormat="1" applyFont="1" applyFill="1" applyBorder="1" applyAlignment="1">
      <alignment horizontal="center" vertical="center"/>
    </xf>
    <xf numFmtId="2" fontId="139" fillId="81" borderId="102" xfId="0" applyNumberFormat="1" applyFont="1" applyFill="1" applyBorder="1" applyAlignment="1">
      <alignment horizontal="center" vertical="center"/>
    </xf>
    <xf numFmtId="169" fontId="139" fillId="81" borderId="101" xfId="0" applyNumberFormat="1" applyFont="1" applyFill="1" applyBorder="1" applyAlignment="1">
      <alignment horizontal="center" vertical="center"/>
    </xf>
    <xf numFmtId="170" fontId="140" fillId="34" borderId="0" xfId="0" applyNumberFormat="1" applyFont="1" applyFill="1" applyAlignment="1">
      <alignment horizontal="left"/>
    </xf>
    <xf numFmtId="0" fontId="137" fillId="34" borderId="0" xfId="0" applyFont="1" applyFill="1"/>
    <xf numFmtId="0" fontId="141" fillId="34" borderId="0" xfId="0" applyFont="1" applyFill="1" applyAlignment="1">
      <alignment horizontal="left" vertical="center" wrapText="1"/>
    </xf>
    <xf numFmtId="170" fontId="17" fillId="81" borderId="13" xfId="0" applyNumberFormat="1" applyFont="1" applyFill="1" applyBorder="1" applyAlignment="1">
      <alignment horizontal="center" vertical="center"/>
    </xf>
    <xf numFmtId="4" fontId="17" fillId="81" borderId="14" xfId="0" applyNumberFormat="1" applyFont="1" applyFill="1" applyBorder="1" applyAlignment="1">
      <alignment horizontal="center" vertical="center"/>
    </xf>
    <xf numFmtId="4" fontId="139" fillId="81" borderId="102" xfId="1" applyNumberFormat="1" applyFont="1" applyFill="1" applyBorder="1" applyAlignment="1" applyProtection="1">
      <alignment horizontal="center" vertical="center"/>
    </xf>
    <xf numFmtId="170" fontId="139" fillId="81" borderId="102" xfId="1" applyNumberFormat="1" applyFont="1" applyFill="1" applyBorder="1" applyAlignment="1" applyProtection="1">
      <alignment horizontal="center" vertical="center"/>
    </xf>
    <xf numFmtId="169" fontId="139" fillId="81" borderId="101" xfId="1" applyNumberFormat="1" applyFont="1" applyFill="1" applyBorder="1" applyAlignment="1" applyProtection="1">
      <alignment horizontal="center" vertical="center"/>
    </xf>
    <xf numFmtId="170" fontId="141" fillId="34" borderId="0" xfId="0" applyNumberFormat="1" applyFont="1" applyFill="1" applyAlignment="1">
      <alignment horizontal="center"/>
    </xf>
    <xf numFmtId="4" fontId="141" fillId="34" borderId="0" xfId="0" applyNumberFormat="1" applyFont="1" applyFill="1" applyAlignment="1">
      <alignment horizontal="center"/>
    </xf>
    <xf numFmtId="4" fontId="143" fillId="34" borderId="0" xfId="0" applyNumberFormat="1" applyFont="1" applyFill="1"/>
    <xf numFmtId="0" fontId="143" fillId="34" borderId="0" xfId="0" applyFont="1" applyFill="1"/>
    <xf numFmtId="4" fontId="144" fillId="81" borderId="13" xfId="2600" applyNumberFormat="1" applyFont="1" applyFill="1" applyBorder="1" applyAlignment="1" applyProtection="1">
      <alignment horizontal="center" vertical="center" wrapText="1"/>
    </xf>
    <xf numFmtId="3" fontId="139" fillId="81" borderId="102" xfId="1" applyNumberFormat="1" applyFont="1" applyFill="1" applyBorder="1" applyAlignment="1" applyProtection="1">
      <alignment horizontal="center" vertical="center"/>
    </xf>
    <xf numFmtId="4" fontId="17" fillId="81" borderId="10" xfId="0" applyNumberFormat="1" applyFont="1" applyFill="1" applyBorder="1" applyAlignment="1">
      <alignment horizontal="center" vertical="center"/>
    </xf>
    <xf numFmtId="4" fontId="138" fillId="81" borderId="10" xfId="2600" applyNumberFormat="1" applyFont="1" applyFill="1" applyBorder="1" applyAlignment="1" applyProtection="1">
      <alignment horizontal="center" vertical="center"/>
    </xf>
    <xf numFmtId="4" fontId="17" fillId="81" borderId="10" xfId="2600" applyNumberFormat="1" applyFont="1" applyFill="1" applyBorder="1" applyAlignment="1" applyProtection="1">
      <alignment horizontal="center" vertical="center"/>
    </xf>
    <xf numFmtId="0" fontId="17" fillId="81" borderId="10" xfId="0" applyFont="1" applyFill="1" applyBorder="1" applyAlignment="1">
      <alignment horizontal="center" vertical="center"/>
    </xf>
    <xf numFmtId="170" fontId="17" fillId="81" borderId="10" xfId="0" applyNumberFormat="1" applyFont="1" applyFill="1" applyBorder="1" applyAlignment="1">
      <alignment horizontal="center" vertical="center"/>
    </xf>
    <xf numFmtId="0" fontId="139" fillId="81" borderId="86" xfId="0" applyFont="1" applyFill="1" applyBorder="1" applyAlignment="1">
      <alignment horizontal="center" vertical="center"/>
    </xf>
    <xf numFmtId="2" fontId="139" fillId="81" borderId="87" xfId="0" applyNumberFormat="1" applyFont="1" applyFill="1" applyBorder="1" applyAlignment="1">
      <alignment horizontal="center" vertical="center"/>
    </xf>
    <xf numFmtId="4" fontId="139" fillId="81" borderId="10" xfId="1" applyNumberFormat="1" applyFont="1" applyFill="1" applyBorder="1" applyAlignment="1" applyProtection="1">
      <alignment horizontal="center" vertical="center"/>
    </xf>
    <xf numFmtId="169" fontId="139" fillId="81" borderId="10" xfId="1" applyNumberFormat="1" applyFont="1" applyFill="1" applyBorder="1" applyAlignment="1" applyProtection="1">
      <alignment horizontal="center" vertical="center"/>
    </xf>
    <xf numFmtId="0" fontId="137" fillId="34" borderId="0" xfId="0" applyFont="1" applyFill="1" applyAlignment="1">
      <alignment vertical="center" wrapText="1"/>
    </xf>
    <xf numFmtId="0" fontId="147" fillId="34" borderId="0" xfId="0" applyFont="1" applyFill="1" applyAlignment="1">
      <alignment vertical="center" wrapText="1"/>
    </xf>
    <xf numFmtId="4" fontId="13" fillId="81" borderId="29" xfId="0" applyNumberFormat="1" applyFont="1" applyFill="1" applyBorder="1" applyAlignment="1">
      <alignment horizontal="center" vertical="center"/>
    </xf>
    <xf numFmtId="4" fontId="148" fillId="81" borderId="30" xfId="2600" applyNumberFormat="1" applyFont="1" applyFill="1" applyBorder="1" applyAlignment="1" applyProtection="1">
      <alignment horizontal="center" vertical="center" wrapText="1"/>
    </xf>
    <xf numFmtId="4" fontId="13" fillId="81" borderId="30" xfId="0" applyNumberFormat="1" applyFont="1" applyFill="1" applyBorder="1" applyAlignment="1">
      <alignment horizontal="center" vertical="center"/>
    </xf>
    <xf numFmtId="0" fontId="13" fillId="81" borderId="30" xfId="0" applyFont="1" applyFill="1" applyBorder="1" applyAlignment="1">
      <alignment horizontal="center" vertical="center" wrapText="1"/>
    </xf>
    <xf numFmtId="0" fontId="13" fillId="81" borderId="80" xfId="0" applyFont="1" applyFill="1" applyBorder="1" applyAlignment="1">
      <alignment horizontal="center" vertical="center" wrapText="1"/>
    </xf>
    <xf numFmtId="0" fontId="13" fillId="81" borderId="12" xfId="0" applyFont="1" applyFill="1" applyBorder="1" applyAlignment="1">
      <alignment horizontal="center" vertical="center"/>
    </xf>
    <xf numFmtId="0" fontId="13" fillId="81" borderId="14" xfId="0" applyFont="1" applyFill="1" applyBorder="1" applyAlignment="1">
      <alignment horizontal="center" vertical="center"/>
    </xf>
    <xf numFmtId="170" fontId="13" fillId="81" borderId="29" xfId="0" applyNumberFormat="1" applyFont="1" applyFill="1" applyBorder="1" applyAlignment="1">
      <alignment horizontal="center" vertical="center"/>
    </xf>
    <xf numFmtId="4" fontId="13" fillId="81" borderId="80" xfId="0" applyNumberFormat="1" applyFont="1" applyFill="1" applyBorder="1" applyAlignment="1">
      <alignment horizontal="center" vertical="center"/>
    </xf>
    <xf numFmtId="4" fontId="139" fillId="81" borderId="94" xfId="1" applyNumberFormat="1" applyFont="1" applyFill="1" applyBorder="1" applyAlignment="1" applyProtection="1">
      <alignment horizontal="center" vertical="center"/>
    </xf>
    <xf numFmtId="4" fontId="139" fillId="81" borderId="76" xfId="1" applyNumberFormat="1" applyFont="1" applyFill="1" applyBorder="1" applyAlignment="1" applyProtection="1">
      <alignment horizontal="center" vertical="center"/>
    </xf>
    <xf numFmtId="4" fontId="139" fillId="81" borderId="77" xfId="1" applyNumberFormat="1" applyFont="1" applyFill="1" applyBorder="1" applyAlignment="1" applyProtection="1">
      <alignment horizontal="center" vertical="center"/>
    </xf>
    <xf numFmtId="169" fontId="139" fillId="81" borderId="102" xfId="0" applyNumberFormat="1" applyFont="1" applyFill="1" applyBorder="1" applyAlignment="1">
      <alignment horizontal="center" vertical="center"/>
    </xf>
    <xf numFmtId="0" fontId="13" fillId="81" borderId="10" xfId="0" applyFont="1" applyFill="1" applyBorder="1" applyAlignment="1">
      <alignment horizontal="center" vertical="center"/>
    </xf>
    <xf numFmtId="0" fontId="13" fillId="81" borderId="82" xfId="0" applyFont="1" applyFill="1" applyBorder="1" applyAlignment="1">
      <alignment horizontal="center" vertical="center"/>
    </xf>
    <xf numFmtId="0" fontId="13" fillId="81" borderId="10" xfId="0" applyFont="1" applyFill="1" applyBorder="1" applyAlignment="1">
      <alignment horizontal="center" vertical="center" wrapText="1"/>
    </xf>
    <xf numFmtId="0" fontId="13" fillId="81" borderId="82" xfId="0" applyFont="1" applyFill="1" applyBorder="1" applyAlignment="1">
      <alignment horizontal="center" vertical="center" wrapText="1"/>
    </xf>
    <xf numFmtId="0" fontId="13" fillId="81" borderId="78" xfId="0" applyFont="1" applyFill="1" applyBorder="1" applyAlignment="1">
      <alignment horizontal="center" vertical="center" wrapText="1"/>
    </xf>
    <xf numFmtId="0" fontId="13" fillId="81" borderId="0" xfId="0" applyFont="1" applyFill="1" applyAlignment="1">
      <alignment horizontal="center" vertical="center" wrapText="1"/>
    </xf>
    <xf numFmtId="0" fontId="13" fillId="81" borderId="83" xfId="0" applyFont="1" applyFill="1" applyBorder="1" applyAlignment="1">
      <alignment horizontal="center" vertical="center"/>
    </xf>
    <xf numFmtId="169" fontId="0" fillId="33" borderId="96" xfId="0" applyNumberFormat="1" applyFill="1" applyBorder="1" applyAlignment="1" applyProtection="1">
      <alignment horizontal="left" vertical="center"/>
      <protection locked="0"/>
    </xf>
    <xf numFmtId="169" fontId="0" fillId="33" borderId="97" xfId="0" applyNumberFormat="1" applyFill="1" applyBorder="1" applyAlignment="1" applyProtection="1">
      <alignment horizontal="left" vertical="center"/>
      <protection locked="0"/>
    </xf>
    <xf numFmtId="0" fontId="106" fillId="33" borderId="102" xfId="0" applyFont="1" applyFill="1" applyBorder="1" applyAlignment="1" applyProtection="1">
      <alignment horizontal="left" vertical="center"/>
      <protection locked="0"/>
    </xf>
    <xf numFmtId="0" fontId="106" fillId="33" borderId="101" xfId="0" applyFont="1" applyFill="1" applyBorder="1" applyAlignment="1" applyProtection="1">
      <alignment horizontal="left" vertical="center"/>
      <protection locked="0"/>
    </xf>
    <xf numFmtId="0" fontId="0" fillId="34" borderId="0" xfId="0" applyFill="1" applyAlignment="1" applyProtection="1">
      <alignment horizontal="left" vertical="center"/>
      <protection locked="0"/>
    </xf>
    <xf numFmtId="0" fontId="13" fillId="81" borderId="31" xfId="0" applyFont="1" applyFill="1" applyBorder="1" applyAlignment="1">
      <alignment horizontal="center" vertical="center"/>
    </xf>
    <xf numFmtId="0" fontId="13" fillId="81" borderId="89" xfId="0" applyFont="1" applyFill="1" applyBorder="1" applyAlignment="1">
      <alignment horizontal="center" vertical="center"/>
    </xf>
    <xf numFmtId="0" fontId="0" fillId="33" borderId="103" xfId="0" applyFill="1" applyBorder="1" applyAlignment="1" applyProtection="1">
      <alignment horizontal="left" vertical="center"/>
      <protection locked="0"/>
    </xf>
    <xf numFmtId="0" fontId="0" fillId="33" borderId="79" xfId="0" applyFill="1" applyBorder="1" applyAlignment="1" applyProtection="1">
      <alignment horizontal="left" vertical="center"/>
      <protection locked="0"/>
    </xf>
    <xf numFmtId="0" fontId="135" fillId="34" borderId="0" xfId="0" applyFont="1" applyFill="1" applyAlignment="1">
      <alignment horizontal="left"/>
    </xf>
    <xf numFmtId="0" fontId="136" fillId="34" borderId="0" xfId="0" applyFont="1" applyFill="1" applyAlignment="1">
      <alignment horizontal="left"/>
    </xf>
    <xf numFmtId="0" fontId="137" fillId="34" borderId="0" xfId="0" applyFont="1" applyFill="1" applyAlignment="1">
      <alignment horizontal="left" vertical="center" wrapText="1"/>
    </xf>
    <xf numFmtId="14" fontId="0" fillId="33" borderId="12" xfId="0" applyNumberFormat="1" applyFill="1" applyBorder="1" applyAlignment="1" applyProtection="1">
      <alignment horizontal="left" vertical="center"/>
      <protection locked="0"/>
    </xf>
    <xf numFmtId="14" fontId="0" fillId="33" borderId="14" xfId="0" applyNumberFormat="1" applyFill="1" applyBorder="1" applyAlignment="1" applyProtection="1">
      <alignment horizontal="left" vertical="center"/>
      <protection locked="0"/>
    </xf>
    <xf numFmtId="0" fontId="0" fillId="33" borderId="99" xfId="0" applyFill="1" applyBorder="1" applyAlignment="1" applyProtection="1">
      <alignment horizontal="left" vertical="center"/>
      <protection locked="0"/>
    </xf>
    <xf numFmtId="0" fontId="0" fillId="33" borderId="98" xfId="0" applyFill="1" applyBorder="1" applyAlignment="1" applyProtection="1">
      <alignment horizontal="left" vertical="center"/>
      <protection locked="0"/>
    </xf>
    <xf numFmtId="14" fontId="0" fillId="33" borderId="103" xfId="0" applyNumberFormat="1" applyFill="1" applyBorder="1" applyAlignment="1" applyProtection="1">
      <alignment horizontal="left" vertical="center"/>
      <protection locked="0"/>
    </xf>
    <xf numFmtId="14" fontId="0" fillId="33" borderId="79" xfId="0" applyNumberFormat="1" applyFill="1" applyBorder="1" applyAlignment="1" applyProtection="1">
      <alignment horizontal="left" vertical="center"/>
      <protection locked="0"/>
    </xf>
    <xf numFmtId="0" fontId="99" fillId="69" borderId="0" xfId="0" applyFont="1" applyFill="1" applyAlignment="1">
      <alignment horizontal="center" vertical="center"/>
    </xf>
    <xf numFmtId="0" fontId="91" fillId="0" borderId="0" xfId="0" applyFont="1" applyAlignment="1">
      <alignment horizontal="left" vertical="top" wrapText="1"/>
    </xf>
    <xf numFmtId="0" fontId="0" fillId="0" borderId="0" xfId="0" applyAlignment="1">
      <alignment horizontal="left" vertical="top" wrapText="1"/>
    </xf>
    <xf numFmtId="0" fontId="59" fillId="0" borderId="0" xfId="0" applyFont="1" applyAlignment="1">
      <alignment horizontal="left" vertical="top" wrapText="1"/>
    </xf>
    <xf numFmtId="0" fontId="0" fillId="0" borderId="0" xfId="0" applyAlignment="1">
      <alignment horizontal="left" vertical="top"/>
    </xf>
    <xf numFmtId="0" fontId="13" fillId="69" borderId="0" xfId="0" applyFont="1" applyFill="1" applyAlignment="1">
      <alignment horizontal="center" vertical="center"/>
    </xf>
    <xf numFmtId="0" fontId="13" fillId="69" borderId="0" xfId="0" applyFont="1" applyFill="1" applyAlignment="1">
      <alignment horizontal="center"/>
    </xf>
    <xf numFmtId="0" fontId="92" fillId="0" borderId="0" xfId="0" applyFont="1" applyAlignment="1">
      <alignment horizontal="left" vertical="center" wrapText="1"/>
    </xf>
    <xf numFmtId="0" fontId="59" fillId="0" borderId="0" xfId="0" applyFont="1" applyAlignment="1">
      <alignment horizontal="left" vertical="top"/>
    </xf>
    <xf numFmtId="0" fontId="0" fillId="79" borderId="0" xfId="0" applyFill="1" applyAlignment="1">
      <alignment horizontal="center" vertical="top"/>
    </xf>
    <xf numFmtId="0" fontId="16" fillId="0" borderId="114" xfId="0" applyFont="1" applyBorder="1" applyAlignment="1">
      <alignment horizontal="center" vertical="center"/>
    </xf>
    <xf numFmtId="0" fontId="16" fillId="0" borderId="38" xfId="0" applyFont="1" applyBorder="1" applyAlignment="1">
      <alignment horizontal="center" vertical="center"/>
    </xf>
    <xf numFmtId="0" fontId="16" fillId="0" borderId="115" xfId="0" applyFont="1" applyBorder="1" applyAlignment="1">
      <alignment horizontal="center" vertical="center"/>
    </xf>
    <xf numFmtId="0" fontId="16" fillId="80" borderId="31" xfId="0" applyFont="1" applyFill="1" applyBorder="1" applyAlignment="1">
      <alignment horizontal="center"/>
    </xf>
    <xf numFmtId="0" fontId="16" fillId="80" borderId="32" xfId="0" applyFont="1" applyFill="1" applyBorder="1" applyAlignment="1">
      <alignment horizontal="center"/>
    </xf>
    <xf numFmtId="0" fontId="16" fillId="80" borderId="33" xfId="0" applyFont="1" applyFill="1" applyBorder="1" applyAlignment="1">
      <alignment horizontal="center"/>
    </xf>
    <xf numFmtId="0" fontId="16" fillId="73" borderId="0" xfId="0" applyFont="1" applyFill="1" applyAlignment="1">
      <alignment horizontal="center"/>
    </xf>
    <xf numFmtId="0" fontId="0" fillId="34" borderId="10" xfId="0" applyFill="1" applyBorder="1" applyAlignment="1">
      <alignment horizontal="left" vertical="center" wrapText="1" indent="1"/>
    </xf>
    <xf numFmtId="0" fontId="0" fillId="34" borderId="10" xfId="0" applyFill="1" applyBorder="1" applyAlignment="1">
      <alignment horizontal="left" vertical="center" wrapText="1"/>
    </xf>
    <xf numFmtId="0" fontId="0" fillId="34" borderId="86" xfId="0" applyFill="1" applyBorder="1" applyAlignment="1">
      <alignment horizontal="left" vertical="center" wrapText="1"/>
    </xf>
    <xf numFmtId="0" fontId="0" fillId="34" borderId="87" xfId="0" applyFill="1" applyBorder="1" applyAlignment="1">
      <alignment horizontal="left" vertical="center" wrapText="1"/>
    </xf>
    <xf numFmtId="0" fontId="87" fillId="33" borderId="10" xfId="0" applyFont="1" applyFill="1" applyBorder="1" applyAlignment="1">
      <alignment horizontal="left" vertical="center" indent="1"/>
    </xf>
    <xf numFmtId="0" fontId="21" fillId="34" borderId="0" xfId="43" applyFont="1" applyFill="1" applyAlignment="1" applyProtection="1">
      <alignment horizontal="left" vertical="center" wrapText="1" indent="2"/>
      <protection hidden="1"/>
    </xf>
    <xf numFmtId="0" fontId="21" fillId="34" borderId="0" xfId="43" applyFont="1" applyFill="1" applyAlignment="1" applyProtection="1">
      <alignment horizontal="left" vertical="top" wrapText="1"/>
      <protection hidden="1"/>
    </xf>
    <xf numFmtId="0" fontId="0" fillId="35" borderId="10" xfId="0" applyFill="1" applyBorder="1" applyAlignment="1">
      <alignment horizontal="left" vertical="center" indent="1"/>
    </xf>
    <xf numFmtId="0" fontId="0" fillId="0" borderId="0" xfId="0" applyAlignment="1">
      <alignment horizontal="center"/>
    </xf>
    <xf numFmtId="0" fontId="0" fillId="0" borderId="0" xfId="0" applyAlignment="1">
      <alignment horizontal="center" wrapText="1"/>
    </xf>
    <xf numFmtId="0" fontId="16" fillId="35" borderId="10" xfId="0" applyFont="1" applyFill="1" applyBorder="1" applyAlignment="1">
      <alignment horizontal="left" vertical="center" wrapText="1"/>
    </xf>
    <xf numFmtId="0" fontId="24" fillId="34" borderId="0" xfId="43" applyFont="1" applyFill="1" applyAlignment="1" applyProtection="1">
      <alignment horizontal="left" vertical="center"/>
      <protection hidden="1"/>
    </xf>
    <xf numFmtId="0" fontId="0" fillId="34" borderId="15" xfId="0" applyFill="1" applyBorder="1" applyAlignment="1">
      <alignment horizontal="center" vertical="top"/>
    </xf>
    <xf numFmtId="0" fontId="0" fillId="34" borderId="15" xfId="0" applyFill="1" applyBorder="1" applyAlignment="1">
      <alignment horizontal="left" vertical="top"/>
    </xf>
    <xf numFmtId="0" fontId="16" fillId="36" borderId="82" xfId="0" applyFont="1" applyFill="1" applyBorder="1" applyAlignment="1">
      <alignment horizontal="center" vertical="center" wrapText="1"/>
    </xf>
    <xf numFmtId="0" fontId="16" fillId="74" borderId="73" xfId="0" applyFont="1" applyFill="1" applyBorder="1" applyAlignment="1">
      <alignment horizontal="center" vertical="center"/>
    </xf>
    <xf numFmtId="0" fontId="16" fillId="63" borderId="110" xfId="0" applyFont="1" applyFill="1" applyBorder="1" applyAlignment="1">
      <alignment horizontal="center" vertical="center"/>
    </xf>
    <xf numFmtId="0" fontId="0" fillId="36" borderId="110" xfId="0" applyFill="1" applyBorder="1" applyAlignment="1">
      <alignment horizontal="center" vertical="center"/>
    </xf>
    <xf numFmtId="0" fontId="16" fillId="36" borderId="82" xfId="0" applyFont="1" applyFill="1" applyBorder="1" applyAlignment="1">
      <alignment horizontal="center" vertical="center"/>
    </xf>
    <xf numFmtId="0" fontId="16" fillId="75" borderId="72" xfId="0" applyFont="1" applyFill="1" applyBorder="1" applyAlignment="1">
      <alignment horizontal="center" vertical="center"/>
    </xf>
    <xf numFmtId="0" fontId="0" fillId="63" borderId="110" xfId="0" applyFill="1" applyBorder="1" applyAlignment="1">
      <alignment horizontal="center" vertical="center"/>
    </xf>
    <xf numFmtId="0" fontId="89" fillId="0" borderId="28" xfId="0" applyFont="1" applyBorder="1" applyAlignment="1">
      <alignment horizontal="left"/>
    </xf>
    <xf numFmtId="0" fontId="89" fillId="36" borderId="10" xfId="0" applyFont="1" applyFill="1" applyBorder="1" applyAlignment="1">
      <alignment horizontal="center" vertical="center" wrapText="1"/>
    </xf>
    <xf numFmtId="0" fontId="89" fillId="36" borderId="82" xfId="0" applyFont="1" applyFill="1" applyBorder="1" applyAlignment="1">
      <alignment horizontal="center" vertical="center" wrapText="1"/>
    </xf>
    <xf numFmtId="0" fontId="16" fillId="36" borderId="86" xfId="0" applyFont="1" applyFill="1" applyBorder="1" applyAlignment="1">
      <alignment horizontal="center" vertical="center"/>
    </xf>
    <xf numFmtId="0" fontId="16" fillId="0" borderId="86" xfId="0" applyFont="1" applyBorder="1" applyAlignment="1">
      <alignment horizontal="center" wrapText="1"/>
    </xf>
    <xf numFmtId="0" fontId="0" fillId="36" borderId="82" xfId="0" applyFill="1" applyBorder="1" applyAlignment="1">
      <alignment horizontal="center" vertical="center"/>
    </xf>
    <xf numFmtId="0" fontId="50" fillId="36" borderId="82" xfId="0" applyFont="1" applyFill="1" applyBorder="1" applyAlignment="1">
      <alignment horizontal="left" vertical="center" wrapText="1"/>
    </xf>
    <xf numFmtId="0" fontId="16" fillId="36" borderId="82" xfId="0" applyFont="1" applyFill="1" applyBorder="1" applyAlignment="1">
      <alignment horizontal="left" vertical="center"/>
    </xf>
    <xf numFmtId="0" fontId="16" fillId="36" borderId="82" xfId="0" applyFont="1" applyFill="1" applyBorder="1" applyAlignment="1">
      <alignment horizontal="left" vertical="center" wrapText="1"/>
    </xf>
    <xf numFmtId="0" fontId="16" fillId="36" borderId="82" xfId="0" applyFont="1" applyFill="1" applyBorder="1" applyAlignment="1">
      <alignment vertical="center" wrapText="1"/>
    </xf>
    <xf numFmtId="0" fontId="16" fillId="36" borderId="83" xfId="0" applyFont="1" applyFill="1" applyBorder="1" applyAlignment="1">
      <alignment horizontal="left" vertical="center" wrapText="1"/>
    </xf>
    <xf numFmtId="0" fontId="16" fillId="36" borderId="10" xfId="0" applyFont="1" applyFill="1" applyBorder="1" applyAlignment="1">
      <alignment horizontal="center" vertical="center"/>
    </xf>
    <xf numFmtId="0" fontId="16" fillId="36" borderId="81" xfId="0" applyFont="1" applyFill="1" applyBorder="1" applyAlignment="1">
      <alignment horizontal="center" vertical="center"/>
    </xf>
    <xf numFmtId="0" fontId="16" fillId="36" borderId="83" xfId="0" applyFont="1" applyFill="1" applyBorder="1" applyAlignment="1">
      <alignment horizontal="center" vertical="center" wrapText="1"/>
    </xf>
    <xf numFmtId="0" fontId="95" fillId="34" borderId="0" xfId="0" applyFont="1" applyFill="1" applyAlignment="1">
      <alignment horizontal="left" vertical="center"/>
    </xf>
    <xf numFmtId="0" fontId="26" fillId="34" borderId="0" xfId="0" applyFont="1" applyFill="1" applyAlignment="1">
      <alignment horizontal="left" vertical="center" wrapText="1"/>
    </xf>
    <xf numFmtId="4" fontId="47" fillId="36" borderId="85" xfId="0" applyNumberFormat="1" applyFont="1" applyFill="1" applyBorder="1" applyAlignment="1">
      <alignment horizontal="center" vertical="center"/>
    </xf>
    <xf numFmtId="0" fontId="95" fillId="34" borderId="0" xfId="0" applyFont="1" applyFill="1" applyAlignment="1">
      <alignment horizontal="left"/>
    </xf>
    <xf numFmtId="0" fontId="25" fillId="34" borderId="0" xfId="0" applyFont="1" applyFill="1" applyAlignment="1">
      <alignment horizontal="left"/>
    </xf>
    <xf numFmtId="0" fontId="47" fillId="36" borderId="83" xfId="0" applyFont="1" applyFill="1" applyBorder="1" applyAlignment="1">
      <alignment horizontal="center" vertical="center"/>
    </xf>
    <xf numFmtId="0" fontId="47" fillId="36" borderId="78" xfId="0" applyFont="1" applyFill="1" applyBorder="1" applyAlignment="1">
      <alignment horizontal="center" vertical="center"/>
    </xf>
    <xf numFmtId="0" fontId="135" fillId="34" borderId="0" xfId="0" applyFont="1" applyFill="1" applyAlignment="1">
      <alignment horizontal="left" vertical="center"/>
    </xf>
    <xf numFmtId="0" fontId="137" fillId="34" borderId="0" xfId="0" applyFont="1" applyFill="1" applyAlignment="1">
      <alignment horizontal="left" vertical="top" wrapText="1"/>
    </xf>
    <xf numFmtId="0" fontId="26" fillId="34" borderId="0" xfId="0" applyFont="1" applyFill="1" applyAlignment="1">
      <alignment horizontal="left" vertical="top" wrapText="1"/>
    </xf>
    <xf numFmtId="0" fontId="139" fillId="81" borderId="85" xfId="0" applyFont="1" applyFill="1" applyBorder="1" applyAlignment="1">
      <alignment horizontal="center" vertical="center"/>
    </xf>
    <xf numFmtId="0" fontId="139" fillId="81" borderId="73" xfId="0" applyFont="1" applyFill="1" applyBorder="1" applyAlignment="1">
      <alignment horizontal="center" vertical="center"/>
    </xf>
    <xf numFmtId="0" fontId="139" fillId="81" borderId="104" xfId="0" applyFont="1" applyFill="1" applyBorder="1" applyAlignment="1">
      <alignment horizontal="center" vertical="center"/>
    </xf>
    <xf numFmtId="0" fontId="25" fillId="34" borderId="0" xfId="0" applyFont="1" applyFill="1" applyAlignment="1">
      <alignment horizontal="left" vertical="center"/>
    </xf>
    <xf numFmtId="0" fontId="47" fillId="36" borderId="10" xfId="0" applyFont="1" applyFill="1" applyBorder="1" applyAlignment="1">
      <alignment horizontal="center" vertical="center"/>
    </xf>
    <xf numFmtId="0" fontId="47" fillId="36" borderId="103" xfId="0" applyFont="1" applyFill="1" applyBorder="1" applyAlignment="1">
      <alignment horizontal="center" vertical="center"/>
    </xf>
    <xf numFmtId="0" fontId="47" fillId="36" borderId="71" xfId="0" applyFont="1" applyFill="1" applyBorder="1" applyAlignment="1">
      <alignment horizontal="center" vertical="center"/>
    </xf>
    <xf numFmtId="0" fontId="47" fillId="36" borderId="15" xfId="0" applyFont="1" applyFill="1" applyBorder="1" applyAlignment="1">
      <alignment horizontal="center" vertical="center"/>
    </xf>
    <xf numFmtId="0" fontId="47" fillId="36" borderId="79" xfId="0" applyFont="1" applyFill="1" applyBorder="1" applyAlignment="1">
      <alignment horizontal="center" vertical="center"/>
    </xf>
    <xf numFmtId="0" fontId="139" fillId="81" borderId="100" xfId="0" applyFont="1" applyFill="1" applyBorder="1" applyAlignment="1">
      <alignment horizontal="center" vertical="center"/>
    </xf>
    <xf numFmtId="0" fontId="139" fillId="81" borderId="102" xfId="0" applyFont="1" applyFill="1" applyBorder="1" applyAlignment="1">
      <alignment horizontal="center" vertical="center"/>
    </xf>
    <xf numFmtId="0" fontId="136" fillId="34" borderId="0" xfId="0" applyFont="1" applyFill="1" applyAlignment="1">
      <alignment horizontal="left" vertical="center"/>
    </xf>
    <xf numFmtId="0" fontId="47" fillId="36" borderId="72" xfId="0" applyFont="1" applyFill="1" applyBorder="1" applyAlignment="1">
      <alignment horizontal="center" vertical="center"/>
    </xf>
    <xf numFmtId="0" fontId="47" fillId="36" borderId="73" xfId="0" applyFont="1" applyFill="1" applyBorder="1" applyAlignment="1">
      <alignment horizontal="center" vertical="center"/>
    </xf>
    <xf numFmtId="0" fontId="47" fillId="36" borderId="75" xfId="0" applyFont="1" applyFill="1" applyBorder="1" applyAlignment="1">
      <alignment horizontal="center" vertical="center"/>
    </xf>
    <xf numFmtId="0" fontId="139" fillId="81" borderId="86" xfId="0" applyFont="1" applyFill="1" applyBorder="1" applyAlignment="1">
      <alignment horizontal="center" vertical="center"/>
    </xf>
    <xf numFmtId="0" fontId="139" fillId="81" borderId="71" xfId="0" applyFont="1" applyFill="1" applyBorder="1" applyAlignment="1">
      <alignment horizontal="center" vertical="center"/>
    </xf>
    <xf numFmtId="0" fontId="139" fillId="81" borderId="87" xfId="0" applyFont="1" applyFill="1" applyBorder="1" applyAlignment="1">
      <alignment horizontal="center" vertical="center"/>
    </xf>
    <xf numFmtId="0" fontId="139" fillId="81" borderId="10" xfId="0" applyFont="1" applyFill="1" applyBorder="1" applyAlignment="1">
      <alignment horizontal="center" vertical="center"/>
    </xf>
    <xf numFmtId="0" fontId="149" fillId="34" borderId="0" xfId="0" applyFont="1" applyFill="1" applyAlignment="1">
      <alignment horizontal="left" vertical="center"/>
    </xf>
    <xf numFmtId="0" fontId="145" fillId="34" borderId="0" xfId="0" quotePrefix="1" applyFont="1" applyFill="1" applyAlignment="1">
      <alignment horizontal="left" vertical="center" wrapText="1"/>
    </xf>
    <xf numFmtId="0" fontId="47" fillId="36" borderId="77" xfId="0" applyFont="1" applyFill="1" applyBorder="1" applyAlignment="1">
      <alignment horizontal="center" vertical="center"/>
    </xf>
    <xf numFmtId="0" fontId="47" fillId="36" borderId="28" xfId="0" applyFont="1" applyFill="1" applyBorder="1" applyAlignment="1">
      <alignment horizontal="center" vertical="center"/>
    </xf>
    <xf numFmtId="0" fontId="47" fillId="36" borderId="37" xfId="0" applyFont="1" applyFill="1" applyBorder="1" applyAlignment="1">
      <alignment horizontal="center" vertical="center"/>
    </xf>
    <xf numFmtId="0" fontId="47" fillId="36" borderId="85" xfId="0" applyFont="1" applyFill="1" applyBorder="1" applyAlignment="1">
      <alignment horizontal="center" vertical="center"/>
    </xf>
    <xf numFmtId="0" fontId="47" fillId="36" borderId="104" xfId="0" applyFont="1" applyFill="1" applyBorder="1" applyAlignment="1">
      <alignment horizontal="center" vertical="center"/>
    </xf>
    <xf numFmtId="168" fontId="0" fillId="35" borderId="10" xfId="1" applyNumberFormat="1" applyFont="1" applyFill="1" applyBorder="1" applyAlignment="1" applyProtection="1">
      <alignment horizontal="center" vertical="center"/>
    </xf>
    <xf numFmtId="1" fontId="0" fillId="35" borderId="10" xfId="1" applyNumberFormat="1" applyFont="1" applyFill="1" applyBorder="1" applyAlignment="1" applyProtection="1">
      <alignment horizontal="center" vertical="center"/>
    </xf>
    <xf numFmtId="2" fontId="0" fillId="34" borderId="15" xfId="0" applyNumberFormat="1" applyFill="1" applyBorder="1" applyAlignment="1">
      <alignment horizontal="center"/>
    </xf>
  </cellXfs>
  <cellStyles count="2605">
    <cellStyle name="_x0010_“+ˆÉ•?pý¤" xfId="2127" xr:uid="{00000000-0005-0000-0000-000000000000}"/>
    <cellStyle name="_x0010_“+ˆÉ•?pý¤ 2" xfId="2128" xr:uid="{00000000-0005-0000-0000-000001000000}"/>
    <cellStyle name="1" xfId="2129" xr:uid="{00000000-0005-0000-0000-000002000000}"/>
    <cellStyle name="2" xfId="2130" xr:uid="{00000000-0005-0000-0000-000003000000}"/>
    <cellStyle name="20% - Accent1" xfId="20" builtinId="30" customBuiltin="1"/>
    <cellStyle name="20% - Accent1 2" xfId="56" xr:uid="{00000000-0005-0000-0000-000001000000}"/>
    <cellStyle name="20% - Accent1 2 2" xfId="2132" xr:uid="{00000000-0005-0000-0000-000005000000}"/>
    <cellStyle name="20% - Accent1 2 3" xfId="2131" xr:uid="{00000000-0005-0000-0000-000004000000}"/>
    <cellStyle name="20% - Accent1 3" xfId="2133" xr:uid="{00000000-0005-0000-0000-000006000000}"/>
    <cellStyle name="20% - Accent2" xfId="24" builtinId="34" customBuiltin="1"/>
    <cellStyle name="20% - Accent2 2" xfId="57" xr:uid="{00000000-0005-0000-0000-000003000000}"/>
    <cellStyle name="20% - Accent2 2 2" xfId="2135" xr:uid="{00000000-0005-0000-0000-000008000000}"/>
    <cellStyle name="20% - Accent2 2 3" xfId="2134" xr:uid="{00000000-0005-0000-0000-000007000000}"/>
    <cellStyle name="20% - Accent2 3" xfId="2136" xr:uid="{00000000-0005-0000-0000-000009000000}"/>
    <cellStyle name="20% - Accent3" xfId="28" builtinId="38" customBuiltin="1"/>
    <cellStyle name="20% - Accent3 2" xfId="58" xr:uid="{00000000-0005-0000-0000-000005000000}"/>
    <cellStyle name="20% - Accent3 2 2" xfId="2138" xr:uid="{00000000-0005-0000-0000-00000B000000}"/>
    <cellStyle name="20% - Accent3 2 3" xfId="2137" xr:uid="{00000000-0005-0000-0000-00000A000000}"/>
    <cellStyle name="20% - Accent3 3" xfId="2139" xr:uid="{00000000-0005-0000-0000-00000C000000}"/>
    <cellStyle name="20% - Accent4" xfId="32" builtinId="42" customBuiltin="1"/>
    <cellStyle name="20% - Accent4 2" xfId="59" xr:uid="{00000000-0005-0000-0000-000007000000}"/>
    <cellStyle name="20% - Accent4 2 2" xfId="2141" xr:uid="{00000000-0005-0000-0000-00000E000000}"/>
    <cellStyle name="20% - Accent4 2 3" xfId="2140" xr:uid="{00000000-0005-0000-0000-00000D000000}"/>
    <cellStyle name="20% - Accent4 3" xfId="2142"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44" xr:uid="{00000000-0005-0000-0000-000015000000}"/>
    <cellStyle name="40% - Accent3 2 3" xfId="2143" xr:uid="{00000000-0005-0000-0000-000014000000}"/>
    <cellStyle name="40% - Accent3 3" xfId="2145"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47" xr:uid="{00000000-0005-0000-0000-00001D000000}"/>
    <cellStyle name="60% - Accent3 2 3" xfId="2146" xr:uid="{00000000-0005-0000-0000-00001C000000}"/>
    <cellStyle name="60% - Accent3 3" xfId="2148" xr:uid="{00000000-0005-0000-0000-00001E000000}"/>
    <cellStyle name="60% - Accent4" xfId="34" builtinId="44" customBuiltin="1"/>
    <cellStyle name="60% - Accent4 2" xfId="71" xr:uid="{00000000-0005-0000-0000-00001F000000}"/>
    <cellStyle name="60% - Accent4 2 2" xfId="2150" xr:uid="{00000000-0005-0000-0000-000020000000}"/>
    <cellStyle name="60% - Accent4 2 3" xfId="2149" xr:uid="{00000000-0005-0000-0000-00001F000000}"/>
    <cellStyle name="60% - Accent4 3" xfId="2151"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53" xr:uid="{00000000-0005-0000-0000-000024000000}"/>
    <cellStyle name="60% - Accent6 2 3" xfId="2152" xr:uid="{00000000-0005-0000-0000-000023000000}"/>
    <cellStyle name="60% - Accent6 3" xfId="2154"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55" xr:uid="{00000000-0005-0000-0000-00002C000000}"/>
    <cellStyle name="Actual Date 2" xfId="2156" xr:uid="{00000000-0005-0000-0000-00002D000000}"/>
    <cellStyle name="Bad" xfId="8" builtinId="27" customBuiltin="1"/>
    <cellStyle name="Bad 2" xfId="80" xr:uid="{00000000-0005-0000-0000-000031000000}"/>
    <cellStyle name="Calc Currency (0)" xfId="2157" xr:uid="{00000000-0005-0000-0000-00002F000000}"/>
    <cellStyle name="Calc Currency (2)" xfId="2158" xr:uid="{00000000-0005-0000-0000-000030000000}"/>
    <cellStyle name="Calc Percent (0)" xfId="2159" xr:uid="{00000000-0005-0000-0000-000031000000}"/>
    <cellStyle name="Calc Percent (1)" xfId="2160" xr:uid="{00000000-0005-0000-0000-000032000000}"/>
    <cellStyle name="Calc Percent (2)" xfId="2161" xr:uid="{00000000-0005-0000-0000-000033000000}"/>
    <cellStyle name="Calc Units (0)" xfId="2162" xr:uid="{00000000-0005-0000-0000-000034000000}"/>
    <cellStyle name="Calc Units (1)" xfId="2163" xr:uid="{00000000-0005-0000-0000-000035000000}"/>
    <cellStyle name="Calc Units (2)" xfId="2164" xr:uid="{00000000-0005-0000-0000-000036000000}"/>
    <cellStyle name="Calculation" xfId="12" builtinId="22" customBuiltin="1"/>
    <cellStyle name="Calculation 2" xfId="81" xr:uid="{00000000-0005-0000-0000-000033000000}"/>
    <cellStyle name="Calculation 2 2" xfId="2493" xr:uid="{00000000-0005-0000-0000-000038000000}"/>
    <cellStyle name="Calculation 2 2 2" xfId="2546" xr:uid="{00000000-0005-0000-0000-000038000000}"/>
    <cellStyle name="Calculation 2 2 3" xfId="2530" xr:uid="{00000000-0005-0000-0000-000038000000}"/>
    <cellStyle name="Calculation 2 2 4" xfId="2561" xr:uid="{00000000-0005-0000-0000-000038000000}"/>
    <cellStyle name="Calculation 2 2 5" xfId="2569" xr:uid="{00000000-0005-0000-0000-000038000000}"/>
    <cellStyle name="Calculation 2 2 6" xfId="2582" xr:uid="{00000000-0005-0000-0000-000038000000}"/>
    <cellStyle name="Calculation 2 2 7" xfId="2590" xr:uid="{00000000-0005-0000-0000-000038000000}"/>
    <cellStyle name="Calculation 2 3" xfId="2498" xr:uid="{00000000-0005-0000-0000-000039000000}"/>
    <cellStyle name="Calculation 2 3 2" xfId="2551" xr:uid="{00000000-0005-0000-0000-000039000000}"/>
    <cellStyle name="Calculation 2 3 3" xfId="2556" xr:uid="{00000000-0005-0000-0000-000039000000}"/>
    <cellStyle name="Calculation 2 3 4" xfId="2564" xr:uid="{00000000-0005-0000-0000-000039000000}"/>
    <cellStyle name="Calculation 2 3 5" xfId="2574" xr:uid="{00000000-0005-0000-0000-000039000000}"/>
    <cellStyle name="Calculation 2 3 6" xfId="2585" xr:uid="{00000000-0005-0000-0000-000039000000}"/>
    <cellStyle name="Calculation 2 3 7" xfId="2593" xr:uid="{00000000-0005-0000-0000-000039000000}"/>
    <cellStyle name="Calculation 2 4" xfId="2398" xr:uid="{00000000-0005-0000-0000-000037000000}"/>
    <cellStyle name="Calculation 2 5" xfId="2528" xr:uid="{00000000-0005-0000-0000-000037000000}"/>
    <cellStyle name="Calculation 2 6" xfId="2540" xr:uid="{00000000-0005-0000-0000-000037000000}"/>
    <cellStyle name="Calculation 2 7" xfId="2412" xr:uid="{00000000-0005-0000-0000-000037000000}"/>
    <cellStyle name="Calculation 2 8" xfId="2411" xr:uid="{00000000-0005-0000-0000-000037000000}"/>
    <cellStyle name="Calculation 2 9" xfId="2581" xr:uid="{00000000-0005-0000-0000-000033000000}"/>
    <cellStyle name="Check Cell" xfId="14" builtinId="23" customBuiltin="1"/>
    <cellStyle name="Check Cell 2" xfId="82" xr:uid="{00000000-0005-0000-0000-000035000000}"/>
    <cellStyle name="Comma" xfId="1" builtinId="3"/>
    <cellStyle name="Comma [00]" xfId="2165" xr:uid="{00000000-0005-0000-0000-00003B000000}"/>
    <cellStyle name="Comma 10" xfId="2003" xr:uid="{00000000-0005-0000-0000-00003C000000}"/>
    <cellStyle name="Comma 10 2" xfId="2166" xr:uid="{00000000-0005-0000-0000-00003D000000}"/>
    <cellStyle name="Comma 11" xfId="2004" xr:uid="{00000000-0005-0000-0000-00003E000000}"/>
    <cellStyle name="Comma 11 2" xfId="2005" xr:uid="{00000000-0005-0000-0000-00003F000000}"/>
    <cellStyle name="Comma 12" xfId="2006" xr:uid="{00000000-0005-0000-0000-000040000000}"/>
    <cellStyle name="Comma 12 2" xfId="2007" xr:uid="{00000000-0005-0000-0000-000041000000}"/>
    <cellStyle name="Comma 13" xfId="2008" xr:uid="{00000000-0005-0000-0000-000042000000}"/>
    <cellStyle name="Comma 13 2" xfId="2167" xr:uid="{00000000-0005-0000-0000-000043000000}"/>
    <cellStyle name="Comma 13 2 2" xfId="2168" xr:uid="{00000000-0005-0000-0000-000044000000}"/>
    <cellStyle name="Comma 13 3" xfId="2169" xr:uid="{00000000-0005-0000-0000-000045000000}"/>
    <cellStyle name="Comma 14" xfId="2124" xr:uid="{00000000-0005-0000-0000-000046000000}"/>
    <cellStyle name="Comma 14 2" xfId="2170" xr:uid="{00000000-0005-0000-0000-000047000000}"/>
    <cellStyle name="Comma 15" xfId="2604" xr:uid="{8432308A-F934-4B6D-8A85-FF460E0334C6}"/>
    <cellStyle name="Comma 15 2" xfId="2171" xr:uid="{00000000-0005-0000-0000-000048000000}"/>
    <cellStyle name="Comma 16" xfId="2172" xr:uid="{00000000-0005-0000-0000-000049000000}"/>
    <cellStyle name="Comma 16 2" xfId="2173" xr:uid="{00000000-0005-0000-0000-00004A000000}"/>
    <cellStyle name="Comma 17 2" xfId="2174" xr:uid="{00000000-0005-0000-0000-00004B000000}"/>
    <cellStyle name="Comma 18" xfId="2175" xr:uid="{00000000-0005-0000-0000-00004C000000}"/>
    <cellStyle name="Comma 19" xfId="2176" xr:uid="{00000000-0005-0000-0000-00004D000000}"/>
    <cellStyle name="Comma 2" xfId="45" xr:uid="{00000000-0005-0000-0000-000037000000}"/>
    <cellStyle name="Comma 2 10" xfId="2507" xr:uid="{00000000-0005-0000-0000-000037000000}"/>
    <cellStyle name="Comma 2 106" xfId="2177" xr:uid="{00000000-0005-0000-0000-00004F000000}"/>
    <cellStyle name="Comma 2 2" xfId="46" xr:uid="{00000000-0005-0000-0000-000038000000}"/>
    <cellStyle name="Comma 2 2 2" xfId="2011" xr:uid="{00000000-0005-0000-0000-000051000000}"/>
    <cellStyle name="Comma 2 2 2 2" xfId="2178" xr:uid="{00000000-0005-0000-0000-000052000000}"/>
    <cellStyle name="Comma 2 2 2 3" xfId="2179" xr:uid="{00000000-0005-0000-0000-000053000000}"/>
    <cellStyle name="Comma 2 2 3" xfId="2012" xr:uid="{00000000-0005-0000-0000-000054000000}"/>
    <cellStyle name="Comma 2 2 4" xfId="2180" xr:uid="{00000000-0005-0000-0000-000055000000}"/>
    <cellStyle name="Comma 2 2 5" xfId="2181" xr:uid="{00000000-0005-0000-0000-000056000000}"/>
    <cellStyle name="Comma 2 2 6" xfId="2010" xr:uid="{00000000-0005-0000-0000-000050000000}"/>
    <cellStyle name="Comma 2 2 7" xfId="2514" xr:uid="{00000000-0005-0000-0000-000038000000}"/>
    <cellStyle name="Comma 2 2 8" xfId="2508" xr:uid="{00000000-0005-0000-0000-000038000000}"/>
    <cellStyle name="Comma 2 3" xfId="2013" xr:uid="{00000000-0005-0000-0000-000057000000}"/>
    <cellStyle name="Comma 2 3 2" xfId="2014" xr:uid="{00000000-0005-0000-0000-000058000000}"/>
    <cellStyle name="Comma 2 3 2 2" xfId="2182" xr:uid="{00000000-0005-0000-0000-000059000000}"/>
    <cellStyle name="Comma 2 3 3" xfId="2183" xr:uid="{00000000-0005-0000-0000-00005A000000}"/>
    <cellStyle name="Comma 2 4" xfId="2015" xr:uid="{00000000-0005-0000-0000-00005B000000}"/>
    <cellStyle name="Comma 2 4 2" xfId="2184" xr:uid="{00000000-0005-0000-0000-00005C000000}"/>
    <cellStyle name="Comma 2 4 3" xfId="2185" xr:uid="{00000000-0005-0000-0000-00005D000000}"/>
    <cellStyle name="Comma 2 4 3 2" xfId="2186" xr:uid="{00000000-0005-0000-0000-00005E000000}"/>
    <cellStyle name="Comma 2 4 4" xfId="2187" xr:uid="{00000000-0005-0000-0000-00005F000000}"/>
    <cellStyle name="Comma 2 4 5" xfId="2188" xr:uid="{00000000-0005-0000-0000-000060000000}"/>
    <cellStyle name="Comma 2 4 6" xfId="2189" xr:uid="{00000000-0005-0000-0000-000061000000}"/>
    <cellStyle name="Comma 2 5" xfId="2016" xr:uid="{00000000-0005-0000-0000-000062000000}"/>
    <cellStyle name="Comma 2 5 2" xfId="2190" xr:uid="{00000000-0005-0000-0000-000063000000}"/>
    <cellStyle name="Comma 2 6" xfId="2017" xr:uid="{00000000-0005-0000-0000-000064000000}"/>
    <cellStyle name="Comma 2 7" xfId="2191" xr:uid="{00000000-0005-0000-0000-000065000000}"/>
    <cellStyle name="Comma 2 8" xfId="2009" xr:uid="{00000000-0005-0000-0000-00004E000000}"/>
    <cellStyle name="Comma 2 9" xfId="2513" xr:uid="{00000000-0005-0000-0000-000037000000}"/>
    <cellStyle name="Comma 20" xfId="2192" xr:uid="{00000000-0005-0000-0000-000066000000}"/>
    <cellStyle name="Comma 21" xfId="2193" xr:uid="{00000000-0005-0000-0000-000067000000}"/>
    <cellStyle name="Comma 22" xfId="2194" xr:uid="{00000000-0005-0000-0000-000068000000}"/>
    <cellStyle name="Comma 3" xfId="47" xr:uid="{00000000-0005-0000-0000-000039000000}"/>
    <cellStyle name="Comma 3 10" xfId="2515" xr:uid="{00000000-0005-0000-0000-000039000000}"/>
    <cellStyle name="Comma 3 11" xfId="2509" xr:uid="{00000000-0005-0000-0000-000039000000}"/>
    <cellStyle name="Comma 3 2" xfId="2019" xr:uid="{00000000-0005-0000-0000-00006A000000}"/>
    <cellStyle name="Comma 3 2 10" xfId="2195" xr:uid="{00000000-0005-0000-0000-00006B000000}"/>
    <cellStyle name="Comma 3 2 11" xfId="2196" xr:uid="{00000000-0005-0000-0000-00006C000000}"/>
    <cellStyle name="Comma 3 2 2" xfId="2197" xr:uid="{00000000-0005-0000-0000-00006D000000}"/>
    <cellStyle name="Comma 3 2 2 2" xfId="2198" xr:uid="{00000000-0005-0000-0000-00006E000000}"/>
    <cellStyle name="Comma 3 2 3" xfId="2199" xr:uid="{00000000-0005-0000-0000-00006F000000}"/>
    <cellStyle name="Comma 3 2 4" xfId="2200" xr:uid="{00000000-0005-0000-0000-000070000000}"/>
    <cellStyle name="Comma 3 2 5" xfId="2201" xr:uid="{00000000-0005-0000-0000-000071000000}"/>
    <cellStyle name="Comma 3 2 6" xfId="2202" xr:uid="{00000000-0005-0000-0000-000072000000}"/>
    <cellStyle name="Comma 3 2 6 2" xfId="2203" xr:uid="{00000000-0005-0000-0000-000073000000}"/>
    <cellStyle name="Comma 3 2 7" xfId="2204" xr:uid="{00000000-0005-0000-0000-000074000000}"/>
    <cellStyle name="Comma 3 2 7 2" xfId="2205" xr:uid="{00000000-0005-0000-0000-000075000000}"/>
    <cellStyle name="Comma 3 2 8" xfId="2206" xr:uid="{00000000-0005-0000-0000-000076000000}"/>
    <cellStyle name="Comma 3 2 8 2" xfId="2207" xr:uid="{00000000-0005-0000-0000-000077000000}"/>
    <cellStyle name="Comma 3 2 9" xfId="2208" xr:uid="{00000000-0005-0000-0000-000078000000}"/>
    <cellStyle name="Comma 3 2 9 2" xfId="2209" xr:uid="{00000000-0005-0000-0000-000079000000}"/>
    <cellStyle name="Comma 3 3" xfId="2210" xr:uid="{00000000-0005-0000-0000-00007A000000}"/>
    <cellStyle name="Comma 3 3 2" xfId="2211" xr:uid="{00000000-0005-0000-0000-00007B000000}"/>
    <cellStyle name="Comma 3 3 3" xfId="2212" xr:uid="{00000000-0005-0000-0000-00007C000000}"/>
    <cellStyle name="Comma 3 3 4" xfId="2213" xr:uid="{00000000-0005-0000-0000-00007D000000}"/>
    <cellStyle name="Comma 3 3 5" xfId="2214" xr:uid="{00000000-0005-0000-0000-00007E000000}"/>
    <cellStyle name="Comma 3 3 6" xfId="2215" xr:uid="{00000000-0005-0000-0000-00007F000000}"/>
    <cellStyle name="Comma 3 4" xfId="2216" xr:uid="{00000000-0005-0000-0000-000080000000}"/>
    <cellStyle name="Comma 3 5" xfId="2217" xr:uid="{00000000-0005-0000-0000-000081000000}"/>
    <cellStyle name="Comma 3 6" xfId="2218" xr:uid="{00000000-0005-0000-0000-000082000000}"/>
    <cellStyle name="Comma 3 7" xfId="2219" xr:uid="{00000000-0005-0000-0000-000083000000}"/>
    <cellStyle name="Comma 3 8" xfId="2220" xr:uid="{00000000-0005-0000-0000-000084000000}"/>
    <cellStyle name="Comma 3 9" xfId="2018" xr:uid="{00000000-0005-0000-0000-000069000000}"/>
    <cellStyle name="Comma 4" xfId="48" xr:uid="{00000000-0005-0000-0000-00003A000000}"/>
    <cellStyle name="Comma 4 10" xfId="2020" xr:uid="{00000000-0005-0000-0000-000085000000}"/>
    <cellStyle name="Comma 4 2" xfId="2021" xr:uid="{00000000-0005-0000-0000-000086000000}"/>
    <cellStyle name="Comma 4 2 2" xfId="2022" xr:uid="{00000000-0005-0000-0000-000087000000}"/>
    <cellStyle name="Comma 4 2 2 2" xfId="2023" xr:uid="{00000000-0005-0000-0000-000088000000}"/>
    <cellStyle name="Comma 4 2 3" xfId="2024" xr:uid="{00000000-0005-0000-0000-000089000000}"/>
    <cellStyle name="Comma 4 3" xfId="2025" xr:uid="{00000000-0005-0000-0000-00008A000000}"/>
    <cellStyle name="Comma 4 3 2" xfId="2026" xr:uid="{00000000-0005-0000-0000-00008B000000}"/>
    <cellStyle name="Comma 4 4" xfId="2027" xr:uid="{00000000-0005-0000-0000-00008C000000}"/>
    <cellStyle name="Comma 4 5" xfId="2028" xr:uid="{00000000-0005-0000-0000-00008D000000}"/>
    <cellStyle name="Comma 4 5 2" xfId="2029" xr:uid="{00000000-0005-0000-0000-00008E000000}"/>
    <cellStyle name="Comma 4 6" xfId="2221" xr:uid="{00000000-0005-0000-0000-00008F000000}"/>
    <cellStyle name="Comma 4 7" xfId="2222" xr:uid="{00000000-0005-0000-0000-000090000000}"/>
    <cellStyle name="Comma 4 8" xfId="2223" xr:uid="{00000000-0005-0000-0000-000091000000}"/>
    <cellStyle name="Comma 4 9" xfId="2224" xr:uid="{00000000-0005-0000-0000-000092000000}"/>
    <cellStyle name="Comma 5" xfId="44" xr:uid="{00000000-0005-0000-0000-00003B000000}"/>
    <cellStyle name="Comma 5 2" xfId="2031" xr:uid="{00000000-0005-0000-0000-000094000000}"/>
    <cellStyle name="Comma 5 2 2" xfId="2032" xr:uid="{00000000-0005-0000-0000-000095000000}"/>
    <cellStyle name="Comma 5 2 2 2" xfId="2033" xr:uid="{00000000-0005-0000-0000-000096000000}"/>
    <cellStyle name="Comma 5 2 3" xfId="2034" xr:uid="{00000000-0005-0000-0000-000097000000}"/>
    <cellStyle name="Comma 5 3" xfId="2035" xr:uid="{00000000-0005-0000-0000-000098000000}"/>
    <cellStyle name="Comma 5 3 2" xfId="2036" xr:uid="{00000000-0005-0000-0000-000099000000}"/>
    <cellStyle name="Comma 5 4" xfId="2037" xr:uid="{00000000-0005-0000-0000-00009A000000}"/>
    <cellStyle name="Comma 5 5" xfId="2038" xr:uid="{00000000-0005-0000-0000-00009B000000}"/>
    <cellStyle name="Comma 5 6" xfId="2039" xr:uid="{00000000-0005-0000-0000-00009C000000}"/>
    <cellStyle name="Comma 5 7" xfId="2030" xr:uid="{00000000-0005-0000-0000-000093000000}"/>
    <cellStyle name="Comma 5 8" xfId="2512" xr:uid="{00000000-0005-0000-0000-00003B000000}"/>
    <cellStyle name="Comma 5 9" xfId="2506" xr:uid="{00000000-0005-0000-0000-00003B000000}"/>
    <cellStyle name="Comma 6" xfId="2040" xr:uid="{00000000-0005-0000-0000-00009D000000}"/>
    <cellStyle name="Comma 6 2" xfId="2041" xr:uid="{00000000-0005-0000-0000-00009E000000}"/>
    <cellStyle name="Comma 6 2 2" xfId="2042" xr:uid="{00000000-0005-0000-0000-00009F000000}"/>
    <cellStyle name="Comma 6 3" xfId="2043" xr:uid="{00000000-0005-0000-0000-0000A0000000}"/>
    <cellStyle name="Comma 6 3 2" xfId="2225" xr:uid="{00000000-0005-0000-0000-0000A1000000}"/>
    <cellStyle name="Comma 6 3 3" xfId="2226" xr:uid="{00000000-0005-0000-0000-0000A2000000}"/>
    <cellStyle name="Comma 6 4" xfId="2044" xr:uid="{00000000-0005-0000-0000-0000A3000000}"/>
    <cellStyle name="Comma 7" xfId="2045" xr:uid="{00000000-0005-0000-0000-0000A4000000}"/>
    <cellStyle name="Comma 7 2" xfId="2046" xr:uid="{00000000-0005-0000-0000-0000A5000000}"/>
    <cellStyle name="Comma 7 3" xfId="2227" xr:uid="{00000000-0005-0000-0000-0000A6000000}"/>
    <cellStyle name="Comma 7 4" xfId="2228" xr:uid="{00000000-0005-0000-0000-0000A7000000}"/>
    <cellStyle name="Comma 8" xfId="2047" xr:uid="{00000000-0005-0000-0000-0000A8000000}"/>
    <cellStyle name="Comma 8 2" xfId="2229" xr:uid="{00000000-0005-0000-0000-0000A9000000}"/>
    <cellStyle name="Comma 9" xfId="2002" xr:uid="{00000000-0005-0000-0000-0000AA000000}"/>
    <cellStyle name="Comma 9 2" xfId="2230" xr:uid="{00000000-0005-0000-0000-0000AB000000}"/>
    <cellStyle name="Comma 9 2 2" xfId="2231" xr:uid="{00000000-0005-0000-0000-0000AC000000}"/>
    <cellStyle name="Comma 9 3" xfId="2232" xr:uid="{00000000-0005-0000-0000-0000AD000000}"/>
    <cellStyle name="Comma 9 4" xfId="2233" xr:uid="{00000000-0005-0000-0000-0000AE000000}"/>
    <cellStyle name="Comma0" xfId="2234" xr:uid="{00000000-0005-0000-0000-0000AF000000}"/>
    <cellStyle name="CommaSimple" xfId="2235" xr:uid="{00000000-0005-0000-0000-0000B0000000}"/>
    <cellStyle name="Currency" xfId="2603" builtinId="4"/>
    <cellStyle name="Currency [00]" xfId="2236" xr:uid="{00000000-0005-0000-0000-0000B1000000}"/>
    <cellStyle name="Currency 10" xfId="2237" xr:uid="{00000000-0005-0000-0000-0000B2000000}"/>
    <cellStyle name="Currency 11" xfId="2238" xr:uid="{00000000-0005-0000-0000-0000B3000000}"/>
    <cellStyle name="Currency 11 2" xfId="2239" xr:uid="{00000000-0005-0000-0000-0000B4000000}"/>
    <cellStyle name="Currency 11 2 2" xfId="2240" xr:uid="{00000000-0005-0000-0000-0000B5000000}"/>
    <cellStyle name="Currency 12" xfId="2241" xr:uid="{00000000-0005-0000-0000-0000B6000000}"/>
    <cellStyle name="Currency 13" xfId="2242" xr:uid="{00000000-0005-0000-0000-0000B7000000}"/>
    <cellStyle name="Currency 13 2" xfId="2243" xr:uid="{00000000-0005-0000-0000-0000B8000000}"/>
    <cellStyle name="Currency 14" xfId="2244" xr:uid="{00000000-0005-0000-0000-0000B9000000}"/>
    <cellStyle name="Currency 14 2" xfId="2245" xr:uid="{00000000-0005-0000-0000-0000BA000000}"/>
    <cellStyle name="Currency 15" xfId="2246" xr:uid="{00000000-0005-0000-0000-0000BB000000}"/>
    <cellStyle name="Currency 15 2" xfId="2247" xr:uid="{00000000-0005-0000-0000-0000BC000000}"/>
    <cellStyle name="Currency 16 2" xfId="2248" xr:uid="{00000000-0005-0000-0000-0000BD000000}"/>
    <cellStyle name="Currency 17" xfId="2249" xr:uid="{00000000-0005-0000-0000-0000BE000000}"/>
    <cellStyle name="Currency 17 2" xfId="2250" xr:uid="{00000000-0005-0000-0000-0000BF000000}"/>
    <cellStyle name="Currency 18" xfId="2251" xr:uid="{00000000-0005-0000-0000-0000C0000000}"/>
    <cellStyle name="Currency 19" xfId="2252" xr:uid="{00000000-0005-0000-0000-0000C1000000}"/>
    <cellStyle name="Currency 2" xfId="83" xr:uid="{00000000-0005-0000-0000-00003C000000}"/>
    <cellStyle name="Currency 2 2" xfId="2049" xr:uid="{00000000-0005-0000-0000-0000C3000000}"/>
    <cellStyle name="Currency 2 2 2" xfId="2253" xr:uid="{00000000-0005-0000-0000-0000C4000000}"/>
    <cellStyle name="Currency 2 2 3" xfId="2254" xr:uid="{00000000-0005-0000-0000-0000C5000000}"/>
    <cellStyle name="Currency 2 2 4" xfId="2255" xr:uid="{00000000-0005-0000-0000-0000C6000000}"/>
    <cellStyle name="Currency 2 3" xfId="2050" xr:uid="{00000000-0005-0000-0000-0000C7000000}"/>
    <cellStyle name="Currency 2 3 2" xfId="2256" xr:uid="{00000000-0005-0000-0000-0000C8000000}"/>
    <cellStyle name="Currency 2 3 3" xfId="2257" xr:uid="{00000000-0005-0000-0000-0000C9000000}"/>
    <cellStyle name="Currency 2 4" xfId="2051" xr:uid="{00000000-0005-0000-0000-0000CA000000}"/>
    <cellStyle name="Currency 2 4 2" xfId="2258" xr:uid="{00000000-0005-0000-0000-0000CB000000}"/>
    <cellStyle name="Currency 2 4 3" xfId="2259" xr:uid="{00000000-0005-0000-0000-0000CC000000}"/>
    <cellStyle name="Currency 2 4 3 2" xfId="2260" xr:uid="{00000000-0005-0000-0000-0000CD000000}"/>
    <cellStyle name="Currency 2 4 4" xfId="2261" xr:uid="{00000000-0005-0000-0000-0000CE000000}"/>
    <cellStyle name="Currency 2 5" xfId="2262" xr:uid="{00000000-0005-0000-0000-0000CF000000}"/>
    <cellStyle name="Currency 2 5 2" xfId="2263" xr:uid="{00000000-0005-0000-0000-0000D0000000}"/>
    <cellStyle name="Currency 2 6" xfId="2264" xr:uid="{00000000-0005-0000-0000-0000D1000000}"/>
    <cellStyle name="Currency 2 7" xfId="2265" xr:uid="{00000000-0005-0000-0000-0000D2000000}"/>
    <cellStyle name="Currency 2 8" xfId="2266" xr:uid="{00000000-0005-0000-0000-0000D3000000}"/>
    <cellStyle name="Currency 2 9" xfId="2048" xr:uid="{00000000-0005-0000-0000-0000C2000000}"/>
    <cellStyle name="Currency 20" xfId="2267" xr:uid="{00000000-0005-0000-0000-0000D4000000}"/>
    <cellStyle name="Currency 21" xfId="2268" xr:uid="{00000000-0005-0000-0000-0000D5000000}"/>
    <cellStyle name="Currency 22" xfId="2269" xr:uid="{00000000-0005-0000-0000-0000D6000000}"/>
    <cellStyle name="Currency 24" xfId="2270" xr:uid="{00000000-0005-0000-0000-0000D7000000}"/>
    <cellStyle name="Currency 3" xfId="84" xr:uid="{00000000-0005-0000-0000-00003D000000}"/>
    <cellStyle name="Currency 3 2" xfId="2053" xr:uid="{00000000-0005-0000-0000-0000D9000000}"/>
    <cellStyle name="Currency 3 2 2" xfId="2271" xr:uid="{00000000-0005-0000-0000-0000DA000000}"/>
    <cellStyle name="Currency 3 3" xfId="2054" xr:uid="{00000000-0005-0000-0000-0000DB000000}"/>
    <cellStyle name="Currency 3 4" xfId="2052" xr:uid="{00000000-0005-0000-0000-0000D8000000}"/>
    <cellStyle name="Currency 4" xfId="2055" xr:uid="{00000000-0005-0000-0000-0000DC000000}"/>
    <cellStyle name="Currency 4 2" xfId="2272" xr:uid="{00000000-0005-0000-0000-0000DD000000}"/>
    <cellStyle name="Currency 4 2 10" xfId="2273" xr:uid="{00000000-0005-0000-0000-0000DE000000}"/>
    <cellStyle name="Currency 4 2 10 2" xfId="2274" xr:uid="{00000000-0005-0000-0000-0000DF000000}"/>
    <cellStyle name="Currency 4 2 11" xfId="2275" xr:uid="{00000000-0005-0000-0000-0000E0000000}"/>
    <cellStyle name="Currency 4 2 2" xfId="2276" xr:uid="{00000000-0005-0000-0000-0000E1000000}"/>
    <cellStyle name="Currency 4 2 2 2" xfId="2277" xr:uid="{00000000-0005-0000-0000-0000E2000000}"/>
    <cellStyle name="Currency 4 2 3" xfId="2278" xr:uid="{00000000-0005-0000-0000-0000E3000000}"/>
    <cellStyle name="Currency 4 2 4" xfId="2279" xr:uid="{00000000-0005-0000-0000-0000E4000000}"/>
    <cellStyle name="Currency 4 2 5" xfId="2280" xr:uid="{00000000-0005-0000-0000-0000E5000000}"/>
    <cellStyle name="Currency 4 2 6" xfId="2281" xr:uid="{00000000-0005-0000-0000-0000E6000000}"/>
    <cellStyle name="Currency 4 2 6 2" xfId="2282" xr:uid="{00000000-0005-0000-0000-0000E7000000}"/>
    <cellStyle name="Currency 4 2 7" xfId="2283" xr:uid="{00000000-0005-0000-0000-0000E8000000}"/>
    <cellStyle name="Currency 4 2 7 2" xfId="2284" xr:uid="{00000000-0005-0000-0000-0000E9000000}"/>
    <cellStyle name="Currency 4 2 8" xfId="2285" xr:uid="{00000000-0005-0000-0000-0000EA000000}"/>
    <cellStyle name="Currency 4 2 8 2" xfId="2286" xr:uid="{00000000-0005-0000-0000-0000EB000000}"/>
    <cellStyle name="Currency 4 2 9" xfId="2287" xr:uid="{00000000-0005-0000-0000-0000EC000000}"/>
    <cellStyle name="Currency 4 2 9 2" xfId="2288" xr:uid="{00000000-0005-0000-0000-0000ED000000}"/>
    <cellStyle name="Currency 4 3" xfId="2289" xr:uid="{00000000-0005-0000-0000-0000EE000000}"/>
    <cellStyle name="Currency 4 3 2" xfId="2290" xr:uid="{00000000-0005-0000-0000-0000EF000000}"/>
    <cellStyle name="Currency 4 3 3" xfId="2291" xr:uid="{00000000-0005-0000-0000-0000F0000000}"/>
    <cellStyle name="Currency 4 3 4" xfId="2292" xr:uid="{00000000-0005-0000-0000-0000F1000000}"/>
    <cellStyle name="Currency 4 3 5" xfId="2293" xr:uid="{00000000-0005-0000-0000-0000F2000000}"/>
    <cellStyle name="Currency 4 4" xfId="2294" xr:uid="{00000000-0005-0000-0000-0000F3000000}"/>
    <cellStyle name="Currency 4 5" xfId="2295" xr:uid="{00000000-0005-0000-0000-0000F4000000}"/>
    <cellStyle name="Currency 5" xfId="2056" xr:uid="{00000000-0005-0000-0000-0000F5000000}"/>
    <cellStyle name="Currency 5 2" xfId="2296" xr:uid="{00000000-0005-0000-0000-0000F6000000}"/>
    <cellStyle name="Currency 5 3" xfId="2297" xr:uid="{00000000-0005-0000-0000-0000F7000000}"/>
    <cellStyle name="Currency 5 4" xfId="2298" xr:uid="{00000000-0005-0000-0000-0000F8000000}"/>
    <cellStyle name="Currency 5 5" xfId="2299" xr:uid="{00000000-0005-0000-0000-0000F9000000}"/>
    <cellStyle name="Currency 5 6" xfId="2300" xr:uid="{00000000-0005-0000-0000-0000FA000000}"/>
    <cellStyle name="Currency 6" xfId="2301" xr:uid="{00000000-0005-0000-0000-0000FB000000}"/>
    <cellStyle name="Currency 6 2" xfId="2302" xr:uid="{00000000-0005-0000-0000-0000FC000000}"/>
    <cellStyle name="Currency 6 2 2" xfId="2303" xr:uid="{00000000-0005-0000-0000-0000FD000000}"/>
    <cellStyle name="Currency 7" xfId="2304" xr:uid="{00000000-0005-0000-0000-0000FE000000}"/>
    <cellStyle name="Currency 7 2" xfId="2305" xr:uid="{00000000-0005-0000-0000-0000FF000000}"/>
    <cellStyle name="Currency 8" xfId="2306" xr:uid="{00000000-0005-0000-0000-000000010000}"/>
    <cellStyle name="Currency 8 2" xfId="2307" xr:uid="{00000000-0005-0000-0000-000001010000}"/>
    <cellStyle name="Currency 8 3" xfId="2308" xr:uid="{00000000-0005-0000-0000-000002010000}"/>
    <cellStyle name="Currency 8 4" xfId="2309" xr:uid="{00000000-0005-0000-0000-000003010000}"/>
    <cellStyle name="Currency 8 5" xfId="2310" xr:uid="{00000000-0005-0000-0000-000004010000}"/>
    <cellStyle name="Currency 8 6" xfId="2311" xr:uid="{00000000-0005-0000-0000-000005010000}"/>
    <cellStyle name="Currency 9" xfId="2312" xr:uid="{00000000-0005-0000-0000-000006010000}"/>
    <cellStyle name="Currency 9 2" xfId="2313" xr:uid="{00000000-0005-0000-0000-000007010000}"/>
    <cellStyle name="Currency 9 3" xfId="2314" xr:uid="{00000000-0005-0000-0000-000008010000}"/>
    <cellStyle name="Currency Simple" xfId="2315" xr:uid="{00000000-0005-0000-0000-000009010000}"/>
    <cellStyle name="Date" xfId="2316" xr:uid="{00000000-0005-0000-0000-00000A010000}"/>
    <cellStyle name="Date Short" xfId="2317" xr:uid="{00000000-0005-0000-0000-00000B010000}"/>
    <cellStyle name="DELTA" xfId="2318" xr:uid="{00000000-0005-0000-0000-00000C010000}"/>
    <cellStyle name="Enter Currency (0)" xfId="2319" xr:uid="{00000000-0005-0000-0000-00000D010000}"/>
    <cellStyle name="Enter Currency (2)" xfId="2320" xr:uid="{00000000-0005-0000-0000-00000E010000}"/>
    <cellStyle name="Enter Units (0)" xfId="2321" xr:uid="{00000000-0005-0000-0000-00000F010000}"/>
    <cellStyle name="Enter Units (1)" xfId="2322" xr:uid="{00000000-0005-0000-0000-000010010000}"/>
    <cellStyle name="Enter Units (2)" xfId="2323" xr:uid="{00000000-0005-0000-0000-000011010000}"/>
    <cellStyle name="Explanatory Text" xfId="17" builtinId="53" customBuiltin="1"/>
    <cellStyle name="Explanatory Text 2" xfId="85" xr:uid="{00000000-0005-0000-0000-00003F000000}"/>
    <cellStyle name="Fixed" xfId="2324" xr:uid="{00000000-0005-0000-0000-000013010000}"/>
    <cellStyle name="Good" xfId="7" builtinId="26" customBuiltin="1"/>
    <cellStyle name="Good 2" xfId="86" xr:uid="{00000000-0005-0000-0000-000041000000}"/>
    <cellStyle name="Grey" xfId="2325" xr:uid="{00000000-0005-0000-0000-000015010000}"/>
    <cellStyle name="Grey 2" xfId="2326" xr:uid="{00000000-0005-0000-0000-000016010000}"/>
    <cellStyle name="HEADER" xfId="2327" xr:uid="{00000000-0005-0000-0000-000017010000}"/>
    <cellStyle name="Header1" xfId="2328" xr:uid="{00000000-0005-0000-0000-000018010000}"/>
    <cellStyle name="Header2" xfId="2329" xr:uid="{00000000-0005-0000-0000-000019010000}"/>
    <cellStyle name="Header2 2" xfId="2330" xr:uid="{00000000-0005-0000-0000-00001A010000}"/>
    <cellStyle name="Header2 2 2" xfId="2389" xr:uid="{00000000-0005-0000-0000-00001A010000}"/>
    <cellStyle name="Header2 2 2 2" xfId="2544" xr:uid="{00000000-0005-0000-0000-00001A010000}"/>
    <cellStyle name="Header2 2 2 3" xfId="2539" xr:uid="{00000000-0005-0000-0000-00001A010000}"/>
    <cellStyle name="Header2 2 3" xfId="2523" xr:uid="{00000000-0005-0000-0000-00001A010000}"/>
    <cellStyle name="Header2 2 4" xfId="2520" xr:uid="{00000000-0005-0000-0000-00001A010000}"/>
    <cellStyle name="Header2 2 5" xfId="2387" xr:uid="{00000000-0005-0000-0000-00001A010000}"/>
    <cellStyle name="Header2 2 6" xfId="2518" xr:uid="{00000000-0005-0000-0000-00001A010000}"/>
    <cellStyle name="Header2 2 7" xfId="2525" xr:uid="{00000000-0005-0000-0000-00001A010000}"/>
    <cellStyle name="Header2 3" xfId="2390" xr:uid="{00000000-0005-0000-0000-000019010000}"/>
    <cellStyle name="Header2 3 2" xfId="2395" xr:uid="{00000000-0005-0000-0000-000019010000}"/>
    <cellStyle name="Header2 3 3" xfId="2541" xr:uid="{00000000-0005-0000-0000-000019010000}"/>
    <cellStyle name="Header2 4" xfId="2524" xr:uid="{00000000-0005-0000-0000-000019010000}"/>
    <cellStyle name="Header2 5" xfId="2521" xr:uid="{00000000-0005-0000-0000-000019010000}"/>
    <cellStyle name="Header2 6" xfId="2492" xr:uid="{00000000-0005-0000-0000-000019010000}"/>
    <cellStyle name="Header2 7" xfId="2519" xr:uid="{00000000-0005-0000-0000-000019010000}"/>
    <cellStyle name="Header2 8" xfId="2526" xr:uid="{00000000-0005-0000-0000-000019010000}"/>
    <cellStyle name="Heading 1" xfId="3" builtinId="16" customBuiltin="1"/>
    <cellStyle name="Heading 1 2" xfId="87" xr:uid="{00000000-0005-0000-0000-000043000000}"/>
    <cellStyle name="Heading 2" xfId="4" builtinId="17" customBuiltin="1"/>
    <cellStyle name="Heading 2 2" xfId="88" xr:uid="{00000000-0005-0000-0000-000045000000}"/>
    <cellStyle name="Heading 3" xfId="5" builtinId="18" customBuiltin="1"/>
    <cellStyle name="Heading 3 2" xfId="89" xr:uid="{00000000-0005-0000-0000-000047000000}"/>
    <cellStyle name="Heading 4" xfId="6" builtinId="19" customBuiltin="1"/>
    <cellStyle name="Heading 4 2" xfId="90" xr:uid="{00000000-0005-0000-0000-000049000000}"/>
    <cellStyle name="Heading1" xfId="2331" xr:uid="{00000000-0005-0000-0000-00001F010000}"/>
    <cellStyle name="Heading2" xfId="2332" xr:uid="{00000000-0005-0000-0000-000020010000}"/>
    <cellStyle name="HIGHLIGHT" xfId="2333" xr:uid="{00000000-0005-0000-0000-000021010000}"/>
    <cellStyle name="Hyperlink" xfId="2600" builtinId="8"/>
    <cellStyle name="Hyperlink 2" xfId="2057" xr:uid="{00000000-0005-0000-0000-000022010000}"/>
    <cellStyle name="Hyperlink 3" xfId="2058" xr:uid="{00000000-0005-0000-0000-000023010000}"/>
    <cellStyle name="Hyperlink 4" xfId="2059" xr:uid="{00000000-0005-0000-0000-000024010000}"/>
    <cellStyle name="Hyperlink 5" xfId="2125" xr:uid="{00000000-0005-0000-0000-000025010000}"/>
    <cellStyle name="Input" xfId="10" builtinId="20" customBuiltin="1"/>
    <cellStyle name="Input [yellow]" xfId="2334" xr:uid="{00000000-0005-0000-0000-000026010000}"/>
    <cellStyle name="Input [yellow] 2" xfId="2335" xr:uid="{00000000-0005-0000-0000-000027010000}"/>
    <cellStyle name="Input [yellow] 2 2" xfId="2495" xr:uid="{00000000-0005-0000-0000-000028010000}"/>
    <cellStyle name="Input [yellow] 2 2 2" xfId="2548" xr:uid="{00000000-0005-0000-0000-000028010000}"/>
    <cellStyle name="Input [yellow] 2 2 2 2" xfId="2599" xr:uid="{00000000-0005-0000-0000-000028010000}"/>
    <cellStyle name="Input [yellow] 2 2 3" xfId="2532" xr:uid="{00000000-0005-0000-0000-000028010000}"/>
    <cellStyle name="Input [yellow] 2 2 4" xfId="2571" xr:uid="{00000000-0005-0000-0000-000028010000}"/>
    <cellStyle name="Input [yellow] 2 3" xfId="2545" xr:uid="{00000000-0005-0000-0000-000027010000}"/>
    <cellStyle name="Input [yellow] 2 3 2" xfId="2579" xr:uid="{00000000-0005-0000-0000-000027010000}"/>
    <cellStyle name="Input [yellow] 3" xfId="2494" xr:uid="{00000000-0005-0000-0000-000029010000}"/>
    <cellStyle name="Input [yellow] 3 2" xfId="2547" xr:uid="{00000000-0005-0000-0000-000029010000}"/>
    <cellStyle name="Input [yellow] 3 2 2" xfId="2598" xr:uid="{00000000-0005-0000-0000-000029010000}"/>
    <cellStyle name="Input [yellow] 3 3" xfId="2531" xr:uid="{00000000-0005-0000-0000-000029010000}"/>
    <cellStyle name="Input [yellow] 3 4" xfId="2570" xr:uid="{00000000-0005-0000-0000-000029010000}"/>
    <cellStyle name="Input [yellow] 4" xfId="2527" xr:uid="{00000000-0005-0000-0000-000026010000}"/>
    <cellStyle name="Input [yellow] 4 2" xfId="2542" xr:uid="{00000000-0005-0000-0000-000026010000}"/>
    <cellStyle name="Input 2" xfId="91" xr:uid="{00000000-0005-0000-0000-00004B000000}"/>
    <cellStyle name="Input 2 2" xfId="2496" xr:uid="{00000000-0005-0000-0000-00002B010000}"/>
    <cellStyle name="Input 2 2 2" xfId="2549" xr:uid="{00000000-0005-0000-0000-00002B010000}"/>
    <cellStyle name="Input 2 2 3" xfId="2533" xr:uid="{00000000-0005-0000-0000-00002B010000}"/>
    <cellStyle name="Input 2 2 4" xfId="2562" xr:uid="{00000000-0005-0000-0000-00002B010000}"/>
    <cellStyle name="Input 2 2 5" xfId="2572" xr:uid="{00000000-0005-0000-0000-00002B010000}"/>
    <cellStyle name="Input 2 2 6" xfId="2583" xr:uid="{00000000-0005-0000-0000-00002B010000}"/>
    <cellStyle name="Input 2 2 7" xfId="2591" xr:uid="{00000000-0005-0000-0000-00002B010000}"/>
    <cellStyle name="Input 2 3" xfId="2497" xr:uid="{00000000-0005-0000-0000-00002C010000}"/>
    <cellStyle name="Input 2 3 2" xfId="2550" xr:uid="{00000000-0005-0000-0000-00002C010000}"/>
    <cellStyle name="Input 2 3 3" xfId="2534" xr:uid="{00000000-0005-0000-0000-00002C010000}"/>
    <cellStyle name="Input 2 3 4" xfId="2563" xr:uid="{00000000-0005-0000-0000-00002C010000}"/>
    <cellStyle name="Input 2 3 5" xfId="2573" xr:uid="{00000000-0005-0000-0000-00002C010000}"/>
    <cellStyle name="Input 2 3 6" xfId="2584" xr:uid="{00000000-0005-0000-0000-00002C010000}"/>
    <cellStyle name="Input 2 3 7" xfId="2592" xr:uid="{00000000-0005-0000-0000-00002C010000}"/>
    <cellStyle name="Input 2 4" xfId="2388" xr:uid="{00000000-0005-0000-0000-00002A010000}"/>
    <cellStyle name="Input 2 5" xfId="2522" xr:uid="{00000000-0005-0000-0000-00002A010000}"/>
    <cellStyle name="Input 2 6" xfId="2543" xr:uid="{00000000-0005-0000-0000-00002A010000}"/>
    <cellStyle name="Input 2 7" xfId="2386" xr:uid="{00000000-0005-0000-0000-00002A010000}"/>
    <cellStyle name="Input 2 8" xfId="2529" xr:uid="{00000000-0005-0000-0000-00002A010000}"/>
    <cellStyle name="Input 2 9" xfId="2580" xr:uid="{00000000-0005-0000-0000-00004C000000}"/>
    <cellStyle name="Link Currency (0)" xfId="2336" xr:uid="{00000000-0005-0000-0000-00002D010000}"/>
    <cellStyle name="Link Currency (2)" xfId="2337" xr:uid="{00000000-0005-0000-0000-00002E010000}"/>
    <cellStyle name="Link Units (0)" xfId="2338" xr:uid="{00000000-0005-0000-0000-00002F010000}"/>
    <cellStyle name="Link Units (1)" xfId="2339" xr:uid="{00000000-0005-0000-0000-000030010000}"/>
    <cellStyle name="Link Units (2)" xfId="2340" xr:uid="{00000000-0005-0000-0000-000031010000}"/>
    <cellStyle name="Linked Cell" xfId="13" builtinId="24" customBuiltin="1"/>
    <cellStyle name="Linked Cell 2" xfId="92" xr:uid="{00000000-0005-0000-0000-00004D000000}"/>
    <cellStyle name="Neutral" xfId="9" builtinId="28" customBuiltin="1"/>
    <cellStyle name="Neutral 2" xfId="93" xr:uid="{00000000-0005-0000-0000-00004F000000}"/>
    <cellStyle name="no dec" xfId="2060" xr:uid="{00000000-0005-0000-0000-000034010000}"/>
    <cellStyle name="Normal" xfId="0" builtinId="0"/>
    <cellStyle name="Normal - Style1" xfId="2341" xr:uid="{00000000-0005-0000-0000-000036010000}"/>
    <cellStyle name="Normal 10" xfId="2061" xr:uid="{00000000-0005-0000-0000-000037010000}"/>
    <cellStyle name="Normal 10 2" xfId="1998" xr:uid="{00000000-0005-0000-0000-000038010000}"/>
    <cellStyle name="Normal 10 3" xfId="2342" xr:uid="{00000000-0005-0000-0000-000039010000}"/>
    <cellStyle name="Normal 11" xfId="2062" xr:uid="{00000000-0005-0000-0000-00003A010000}"/>
    <cellStyle name="Normal 11 2" xfId="2343" xr:uid="{00000000-0005-0000-0000-00003B010000}"/>
    <cellStyle name="Normal 12" xfId="2001" xr:uid="{00000000-0005-0000-0000-00003C010000}"/>
    <cellStyle name="Normal 12 2" xfId="2344" xr:uid="{00000000-0005-0000-0000-00003D010000}"/>
    <cellStyle name="Normal 13" xfId="2345" xr:uid="{00000000-0005-0000-0000-00003E010000}"/>
    <cellStyle name="Normal 13 2" xfId="2346" xr:uid="{00000000-0005-0000-0000-00003F010000}"/>
    <cellStyle name="Normal 14" xfId="2347" xr:uid="{00000000-0005-0000-0000-000040010000}"/>
    <cellStyle name="Normal 14 2" xfId="2348" xr:uid="{00000000-0005-0000-0000-000041010000}"/>
    <cellStyle name="Normal 15" xfId="2349" xr:uid="{00000000-0005-0000-0000-000042010000}"/>
    <cellStyle name="Normal 15 2" xfId="2350" xr:uid="{00000000-0005-0000-0000-000043010000}"/>
    <cellStyle name="Normal 15 3" xfId="2351" xr:uid="{00000000-0005-0000-0000-000044010000}"/>
    <cellStyle name="Normal 16" xfId="2352" xr:uid="{00000000-0005-0000-0000-000045010000}"/>
    <cellStyle name="Normal 16 2" xfId="2353" xr:uid="{00000000-0005-0000-0000-000046010000}"/>
    <cellStyle name="Normal 17" xfId="2354" xr:uid="{00000000-0005-0000-0000-000047010000}"/>
    <cellStyle name="Normal 18" xfId="2355" xr:uid="{00000000-0005-0000-0000-000048010000}"/>
    <cellStyle name="Normal 18 2" xfId="2356" xr:uid="{00000000-0005-0000-0000-000049010000}"/>
    <cellStyle name="Normal 19" xfId="2357" xr:uid="{00000000-0005-0000-0000-00004A010000}"/>
    <cellStyle name="Normal 19 2" xfId="2358" xr:uid="{00000000-0005-0000-0000-00004B010000}"/>
    <cellStyle name="Normal 2" xfId="49" xr:uid="{00000000-0005-0000-0000-000051000000}"/>
    <cellStyle name="Normal 2 10" xfId="94" xr:uid="{00000000-0005-0000-0000-000052000000}"/>
    <cellStyle name="Normal 2 10 10" xfId="95" xr:uid="{00000000-0005-0000-0000-000053000000}"/>
    <cellStyle name="Normal 2 10 11" xfId="96" xr:uid="{00000000-0005-0000-0000-000054000000}"/>
    <cellStyle name="Normal 2 10 12" xfId="97" xr:uid="{00000000-0005-0000-0000-000055000000}"/>
    <cellStyle name="Normal 2 10 13" xfId="98" xr:uid="{00000000-0005-0000-0000-000056000000}"/>
    <cellStyle name="Normal 2 10 14" xfId="99" xr:uid="{00000000-0005-0000-0000-000057000000}"/>
    <cellStyle name="Normal 2 10 15" xfId="100" xr:uid="{00000000-0005-0000-0000-000058000000}"/>
    <cellStyle name="Normal 2 10 16" xfId="101" xr:uid="{00000000-0005-0000-0000-000059000000}"/>
    <cellStyle name="Normal 2 10 17" xfId="102" xr:uid="{00000000-0005-0000-0000-00005A000000}"/>
    <cellStyle name="Normal 2 10 18" xfId="103" xr:uid="{00000000-0005-0000-0000-00005B000000}"/>
    <cellStyle name="Normal 2 10 19" xfId="104" xr:uid="{00000000-0005-0000-0000-00005C000000}"/>
    <cellStyle name="Normal 2 10 2" xfId="105" xr:uid="{00000000-0005-0000-0000-00005D000000}"/>
    <cellStyle name="Normal 2 10 20" xfId="106" xr:uid="{00000000-0005-0000-0000-00005E000000}"/>
    <cellStyle name="Normal 2 10 21" xfId="107" xr:uid="{00000000-0005-0000-0000-00005F000000}"/>
    <cellStyle name="Normal 2 10 22" xfId="108" xr:uid="{00000000-0005-0000-0000-000060000000}"/>
    <cellStyle name="Normal 2 10 23" xfId="109" xr:uid="{00000000-0005-0000-0000-000061000000}"/>
    <cellStyle name="Normal 2 10 3" xfId="110" xr:uid="{00000000-0005-0000-0000-000062000000}"/>
    <cellStyle name="Normal 2 10 4" xfId="111" xr:uid="{00000000-0005-0000-0000-000063000000}"/>
    <cellStyle name="Normal 2 10 5" xfId="112" xr:uid="{00000000-0005-0000-0000-000064000000}"/>
    <cellStyle name="Normal 2 10 6" xfId="113" xr:uid="{00000000-0005-0000-0000-000065000000}"/>
    <cellStyle name="Normal 2 10 7" xfId="114" xr:uid="{00000000-0005-0000-0000-000066000000}"/>
    <cellStyle name="Normal 2 10 8" xfId="115" xr:uid="{00000000-0005-0000-0000-000067000000}"/>
    <cellStyle name="Normal 2 10 9" xfId="116" xr:uid="{00000000-0005-0000-0000-000068000000}"/>
    <cellStyle name="Normal 2 11" xfId="117" xr:uid="{00000000-0005-0000-0000-000069000000}"/>
    <cellStyle name="Normal 2 11 10" xfId="118" xr:uid="{00000000-0005-0000-0000-00006A000000}"/>
    <cellStyle name="Normal 2 11 11" xfId="119" xr:uid="{00000000-0005-0000-0000-00006B000000}"/>
    <cellStyle name="Normal 2 11 12" xfId="120" xr:uid="{00000000-0005-0000-0000-00006C000000}"/>
    <cellStyle name="Normal 2 11 13" xfId="121" xr:uid="{00000000-0005-0000-0000-00006D000000}"/>
    <cellStyle name="Normal 2 11 14" xfId="122" xr:uid="{00000000-0005-0000-0000-00006E000000}"/>
    <cellStyle name="Normal 2 11 15" xfId="123" xr:uid="{00000000-0005-0000-0000-00006F000000}"/>
    <cellStyle name="Normal 2 11 16" xfId="124" xr:uid="{00000000-0005-0000-0000-000070000000}"/>
    <cellStyle name="Normal 2 11 17" xfId="125" xr:uid="{00000000-0005-0000-0000-000071000000}"/>
    <cellStyle name="Normal 2 11 18" xfId="126" xr:uid="{00000000-0005-0000-0000-000072000000}"/>
    <cellStyle name="Normal 2 11 19" xfId="127" xr:uid="{00000000-0005-0000-0000-000073000000}"/>
    <cellStyle name="Normal 2 11 2" xfId="128" xr:uid="{00000000-0005-0000-0000-000074000000}"/>
    <cellStyle name="Normal 2 11 20" xfId="129" xr:uid="{00000000-0005-0000-0000-000075000000}"/>
    <cellStyle name="Normal 2 11 21" xfId="130" xr:uid="{00000000-0005-0000-0000-000076000000}"/>
    <cellStyle name="Normal 2 11 22" xfId="131" xr:uid="{00000000-0005-0000-0000-000077000000}"/>
    <cellStyle name="Normal 2 11 23" xfId="132" xr:uid="{00000000-0005-0000-0000-000078000000}"/>
    <cellStyle name="Normal 2 11 3" xfId="133" xr:uid="{00000000-0005-0000-0000-000079000000}"/>
    <cellStyle name="Normal 2 11 4" xfId="134" xr:uid="{00000000-0005-0000-0000-00007A000000}"/>
    <cellStyle name="Normal 2 11 5" xfId="135" xr:uid="{00000000-0005-0000-0000-00007B000000}"/>
    <cellStyle name="Normal 2 11 6" xfId="136" xr:uid="{00000000-0005-0000-0000-00007C000000}"/>
    <cellStyle name="Normal 2 11 7" xfId="137" xr:uid="{00000000-0005-0000-0000-00007D000000}"/>
    <cellStyle name="Normal 2 11 8" xfId="138" xr:uid="{00000000-0005-0000-0000-00007E000000}"/>
    <cellStyle name="Normal 2 11 9" xfId="139" xr:uid="{00000000-0005-0000-0000-00007F000000}"/>
    <cellStyle name="Normal 2 12" xfId="140" xr:uid="{00000000-0005-0000-0000-000080000000}"/>
    <cellStyle name="Normal 2 12 10" xfId="141" xr:uid="{00000000-0005-0000-0000-000081000000}"/>
    <cellStyle name="Normal 2 12 11" xfId="142" xr:uid="{00000000-0005-0000-0000-000082000000}"/>
    <cellStyle name="Normal 2 12 12" xfId="143" xr:uid="{00000000-0005-0000-0000-000083000000}"/>
    <cellStyle name="Normal 2 12 13" xfId="144" xr:uid="{00000000-0005-0000-0000-000084000000}"/>
    <cellStyle name="Normal 2 12 14" xfId="145" xr:uid="{00000000-0005-0000-0000-000085000000}"/>
    <cellStyle name="Normal 2 12 15" xfId="146" xr:uid="{00000000-0005-0000-0000-000086000000}"/>
    <cellStyle name="Normal 2 12 16" xfId="147" xr:uid="{00000000-0005-0000-0000-000087000000}"/>
    <cellStyle name="Normal 2 12 17" xfId="148" xr:uid="{00000000-0005-0000-0000-000088000000}"/>
    <cellStyle name="Normal 2 12 18" xfId="149" xr:uid="{00000000-0005-0000-0000-000089000000}"/>
    <cellStyle name="Normal 2 12 19" xfId="150" xr:uid="{00000000-0005-0000-0000-00008A000000}"/>
    <cellStyle name="Normal 2 12 2" xfId="151" xr:uid="{00000000-0005-0000-0000-00008B000000}"/>
    <cellStyle name="Normal 2 12 20" xfId="152" xr:uid="{00000000-0005-0000-0000-00008C000000}"/>
    <cellStyle name="Normal 2 12 21" xfId="153" xr:uid="{00000000-0005-0000-0000-00008D000000}"/>
    <cellStyle name="Normal 2 12 22" xfId="154" xr:uid="{00000000-0005-0000-0000-00008E000000}"/>
    <cellStyle name="Normal 2 12 23" xfId="155" xr:uid="{00000000-0005-0000-0000-00008F000000}"/>
    <cellStyle name="Normal 2 12 3" xfId="156" xr:uid="{00000000-0005-0000-0000-000090000000}"/>
    <cellStyle name="Normal 2 12 4" xfId="157" xr:uid="{00000000-0005-0000-0000-000091000000}"/>
    <cellStyle name="Normal 2 12 5" xfId="158" xr:uid="{00000000-0005-0000-0000-000092000000}"/>
    <cellStyle name="Normal 2 12 6" xfId="159" xr:uid="{00000000-0005-0000-0000-000093000000}"/>
    <cellStyle name="Normal 2 12 7" xfId="160" xr:uid="{00000000-0005-0000-0000-000094000000}"/>
    <cellStyle name="Normal 2 12 8" xfId="161" xr:uid="{00000000-0005-0000-0000-000095000000}"/>
    <cellStyle name="Normal 2 12 9" xfId="162" xr:uid="{00000000-0005-0000-0000-000096000000}"/>
    <cellStyle name="Normal 2 13" xfId="163" xr:uid="{00000000-0005-0000-0000-000097000000}"/>
    <cellStyle name="Normal 2 13 10" xfId="164" xr:uid="{00000000-0005-0000-0000-000098000000}"/>
    <cellStyle name="Normal 2 13 11" xfId="165" xr:uid="{00000000-0005-0000-0000-000099000000}"/>
    <cellStyle name="Normal 2 13 12" xfId="166" xr:uid="{00000000-0005-0000-0000-00009A000000}"/>
    <cellStyle name="Normal 2 13 13" xfId="167" xr:uid="{00000000-0005-0000-0000-00009B000000}"/>
    <cellStyle name="Normal 2 13 14" xfId="168" xr:uid="{00000000-0005-0000-0000-00009C000000}"/>
    <cellStyle name="Normal 2 13 15" xfId="169" xr:uid="{00000000-0005-0000-0000-00009D000000}"/>
    <cellStyle name="Normal 2 13 16" xfId="170" xr:uid="{00000000-0005-0000-0000-00009E000000}"/>
    <cellStyle name="Normal 2 13 17" xfId="171" xr:uid="{00000000-0005-0000-0000-00009F000000}"/>
    <cellStyle name="Normal 2 13 18" xfId="172" xr:uid="{00000000-0005-0000-0000-0000A0000000}"/>
    <cellStyle name="Normal 2 13 19" xfId="173" xr:uid="{00000000-0005-0000-0000-0000A1000000}"/>
    <cellStyle name="Normal 2 13 2" xfId="174" xr:uid="{00000000-0005-0000-0000-0000A2000000}"/>
    <cellStyle name="Normal 2 13 20" xfId="175" xr:uid="{00000000-0005-0000-0000-0000A3000000}"/>
    <cellStyle name="Normal 2 13 21" xfId="176" xr:uid="{00000000-0005-0000-0000-0000A4000000}"/>
    <cellStyle name="Normal 2 13 22" xfId="177" xr:uid="{00000000-0005-0000-0000-0000A5000000}"/>
    <cellStyle name="Normal 2 13 23" xfId="178" xr:uid="{00000000-0005-0000-0000-0000A6000000}"/>
    <cellStyle name="Normal 2 13 3" xfId="179" xr:uid="{00000000-0005-0000-0000-0000A7000000}"/>
    <cellStyle name="Normal 2 13 4" xfId="180" xr:uid="{00000000-0005-0000-0000-0000A8000000}"/>
    <cellStyle name="Normal 2 13 5" xfId="181" xr:uid="{00000000-0005-0000-0000-0000A9000000}"/>
    <cellStyle name="Normal 2 13 6" xfId="182" xr:uid="{00000000-0005-0000-0000-0000AA000000}"/>
    <cellStyle name="Normal 2 13 7" xfId="183" xr:uid="{00000000-0005-0000-0000-0000AB000000}"/>
    <cellStyle name="Normal 2 13 8" xfId="184" xr:uid="{00000000-0005-0000-0000-0000AC000000}"/>
    <cellStyle name="Normal 2 13 9" xfId="185" xr:uid="{00000000-0005-0000-0000-0000AD000000}"/>
    <cellStyle name="Normal 2 14" xfId="186" xr:uid="{00000000-0005-0000-0000-0000AE000000}"/>
    <cellStyle name="Normal 2 14 10" xfId="187" xr:uid="{00000000-0005-0000-0000-0000AF000000}"/>
    <cellStyle name="Normal 2 14 11" xfId="188" xr:uid="{00000000-0005-0000-0000-0000B0000000}"/>
    <cellStyle name="Normal 2 14 12" xfId="189" xr:uid="{00000000-0005-0000-0000-0000B1000000}"/>
    <cellStyle name="Normal 2 14 13" xfId="190" xr:uid="{00000000-0005-0000-0000-0000B2000000}"/>
    <cellStyle name="Normal 2 14 14" xfId="191" xr:uid="{00000000-0005-0000-0000-0000B3000000}"/>
    <cellStyle name="Normal 2 14 15" xfId="192" xr:uid="{00000000-0005-0000-0000-0000B4000000}"/>
    <cellStyle name="Normal 2 14 16" xfId="193" xr:uid="{00000000-0005-0000-0000-0000B5000000}"/>
    <cellStyle name="Normal 2 14 17" xfId="194" xr:uid="{00000000-0005-0000-0000-0000B6000000}"/>
    <cellStyle name="Normal 2 14 18" xfId="195" xr:uid="{00000000-0005-0000-0000-0000B7000000}"/>
    <cellStyle name="Normal 2 14 19" xfId="196" xr:uid="{00000000-0005-0000-0000-0000B8000000}"/>
    <cellStyle name="Normal 2 14 2" xfId="197" xr:uid="{00000000-0005-0000-0000-0000B9000000}"/>
    <cellStyle name="Normal 2 14 20" xfId="198" xr:uid="{00000000-0005-0000-0000-0000BA000000}"/>
    <cellStyle name="Normal 2 14 21" xfId="199" xr:uid="{00000000-0005-0000-0000-0000BB000000}"/>
    <cellStyle name="Normal 2 14 22" xfId="200" xr:uid="{00000000-0005-0000-0000-0000BC000000}"/>
    <cellStyle name="Normal 2 14 23" xfId="201" xr:uid="{00000000-0005-0000-0000-0000BD000000}"/>
    <cellStyle name="Normal 2 14 3" xfId="202" xr:uid="{00000000-0005-0000-0000-0000BE000000}"/>
    <cellStyle name="Normal 2 14 4" xfId="203" xr:uid="{00000000-0005-0000-0000-0000BF000000}"/>
    <cellStyle name="Normal 2 14 5" xfId="204" xr:uid="{00000000-0005-0000-0000-0000C0000000}"/>
    <cellStyle name="Normal 2 14 6" xfId="205" xr:uid="{00000000-0005-0000-0000-0000C1000000}"/>
    <cellStyle name="Normal 2 14 7" xfId="206" xr:uid="{00000000-0005-0000-0000-0000C2000000}"/>
    <cellStyle name="Normal 2 14 8" xfId="207" xr:uid="{00000000-0005-0000-0000-0000C3000000}"/>
    <cellStyle name="Normal 2 14 9" xfId="208" xr:uid="{00000000-0005-0000-0000-0000C4000000}"/>
    <cellStyle name="Normal 2 15" xfId="209" xr:uid="{00000000-0005-0000-0000-0000C5000000}"/>
    <cellStyle name="Normal 2 15 10" xfId="210" xr:uid="{00000000-0005-0000-0000-0000C6000000}"/>
    <cellStyle name="Normal 2 15 11" xfId="211" xr:uid="{00000000-0005-0000-0000-0000C7000000}"/>
    <cellStyle name="Normal 2 15 12" xfId="212" xr:uid="{00000000-0005-0000-0000-0000C8000000}"/>
    <cellStyle name="Normal 2 15 13" xfId="213" xr:uid="{00000000-0005-0000-0000-0000C9000000}"/>
    <cellStyle name="Normal 2 15 14" xfId="214" xr:uid="{00000000-0005-0000-0000-0000CA000000}"/>
    <cellStyle name="Normal 2 15 15" xfId="215" xr:uid="{00000000-0005-0000-0000-0000CB000000}"/>
    <cellStyle name="Normal 2 15 16" xfId="216" xr:uid="{00000000-0005-0000-0000-0000CC000000}"/>
    <cellStyle name="Normal 2 15 17" xfId="217" xr:uid="{00000000-0005-0000-0000-0000CD000000}"/>
    <cellStyle name="Normal 2 15 18" xfId="218" xr:uid="{00000000-0005-0000-0000-0000CE000000}"/>
    <cellStyle name="Normal 2 15 19" xfId="219" xr:uid="{00000000-0005-0000-0000-0000CF000000}"/>
    <cellStyle name="Normal 2 15 2" xfId="220" xr:uid="{00000000-0005-0000-0000-0000D0000000}"/>
    <cellStyle name="Normal 2 15 20" xfId="221" xr:uid="{00000000-0005-0000-0000-0000D1000000}"/>
    <cellStyle name="Normal 2 15 21" xfId="222" xr:uid="{00000000-0005-0000-0000-0000D2000000}"/>
    <cellStyle name="Normal 2 15 22" xfId="223" xr:uid="{00000000-0005-0000-0000-0000D3000000}"/>
    <cellStyle name="Normal 2 15 23" xfId="224" xr:uid="{00000000-0005-0000-0000-0000D4000000}"/>
    <cellStyle name="Normal 2 15 3" xfId="225" xr:uid="{00000000-0005-0000-0000-0000D5000000}"/>
    <cellStyle name="Normal 2 15 4" xfId="226" xr:uid="{00000000-0005-0000-0000-0000D6000000}"/>
    <cellStyle name="Normal 2 15 5" xfId="227" xr:uid="{00000000-0005-0000-0000-0000D7000000}"/>
    <cellStyle name="Normal 2 15 6" xfId="228" xr:uid="{00000000-0005-0000-0000-0000D8000000}"/>
    <cellStyle name="Normal 2 15 7" xfId="229" xr:uid="{00000000-0005-0000-0000-0000D9000000}"/>
    <cellStyle name="Normal 2 15 8" xfId="230" xr:uid="{00000000-0005-0000-0000-0000DA000000}"/>
    <cellStyle name="Normal 2 15 9" xfId="231" xr:uid="{00000000-0005-0000-0000-0000DB000000}"/>
    <cellStyle name="Normal 2 16" xfId="232" xr:uid="{00000000-0005-0000-0000-0000DC000000}"/>
    <cellStyle name="Normal 2 16 10" xfId="233" xr:uid="{00000000-0005-0000-0000-0000DD000000}"/>
    <cellStyle name="Normal 2 16 11" xfId="234" xr:uid="{00000000-0005-0000-0000-0000DE000000}"/>
    <cellStyle name="Normal 2 16 12" xfId="235" xr:uid="{00000000-0005-0000-0000-0000DF000000}"/>
    <cellStyle name="Normal 2 16 13" xfId="236" xr:uid="{00000000-0005-0000-0000-0000E0000000}"/>
    <cellStyle name="Normal 2 16 14" xfId="237" xr:uid="{00000000-0005-0000-0000-0000E1000000}"/>
    <cellStyle name="Normal 2 16 15" xfId="238" xr:uid="{00000000-0005-0000-0000-0000E2000000}"/>
    <cellStyle name="Normal 2 16 16" xfId="239" xr:uid="{00000000-0005-0000-0000-0000E3000000}"/>
    <cellStyle name="Normal 2 16 17" xfId="240" xr:uid="{00000000-0005-0000-0000-0000E4000000}"/>
    <cellStyle name="Normal 2 16 18" xfId="241" xr:uid="{00000000-0005-0000-0000-0000E5000000}"/>
    <cellStyle name="Normal 2 16 19" xfId="242" xr:uid="{00000000-0005-0000-0000-0000E6000000}"/>
    <cellStyle name="Normal 2 16 2" xfId="243" xr:uid="{00000000-0005-0000-0000-0000E7000000}"/>
    <cellStyle name="Normal 2 16 20" xfId="244" xr:uid="{00000000-0005-0000-0000-0000E8000000}"/>
    <cellStyle name="Normal 2 16 21" xfId="245" xr:uid="{00000000-0005-0000-0000-0000E9000000}"/>
    <cellStyle name="Normal 2 16 22" xfId="246" xr:uid="{00000000-0005-0000-0000-0000EA000000}"/>
    <cellStyle name="Normal 2 16 23" xfId="247" xr:uid="{00000000-0005-0000-0000-0000EB000000}"/>
    <cellStyle name="Normal 2 16 3" xfId="248" xr:uid="{00000000-0005-0000-0000-0000EC000000}"/>
    <cellStyle name="Normal 2 16 4" xfId="249" xr:uid="{00000000-0005-0000-0000-0000ED000000}"/>
    <cellStyle name="Normal 2 16 5" xfId="250" xr:uid="{00000000-0005-0000-0000-0000EE000000}"/>
    <cellStyle name="Normal 2 16 6" xfId="251" xr:uid="{00000000-0005-0000-0000-0000EF000000}"/>
    <cellStyle name="Normal 2 16 7" xfId="252" xr:uid="{00000000-0005-0000-0000-0000F0000000}"/>
    <cellStyle name="Normal 2 16 8" xfId="253" xr:uid="{00000000-0005-0000-0000-0000F1000000}"/>
    <cellStyle name="Normal 2 16 9" xfId="254" xr:uid="{00000000-0005-0000-0000-0000F2000000}"/>
    <cellStyle name="Normal 2 17" xfId="255" xr:uid="{00000000-0005-0000-0000-0000F3000000}"/>
    <cellStyle name="Normal 2 17 10" xfId="256" xr:uid="{00000000-0005-0000-0000-0000F4000000}"/>
    <cellStyle name="Normal 2 17 11" xfId="257" xr:uid="{00000000-0005-0000-0000-0000F5000000}"/>
    <cellStyle name="Normal 2 17 12" xfId="258" xr:uid="{00000000-0005-0000-0000-0000F6000000}"/>
    <cellStyle name="Normal 2 17 13" xfId="259" xr:uid="{00000000-0005-0000-0000-0000F7000000}"/>
    <cellStyle name="Normal 2 17 14" xfId="260" xr:uid="{00000000-0005-0000-0000-0000F8000000}"/>
    <cellStyle name="Normal 2 17 15" xfId="261" xr:uid="{00000000-0005-0000-0000-0000F9000000}"/>
    <cellStyle name="Normal 2 17 16" xfId="262" xr:uid="{00000000-0005-0000-0000-0000FA000000}"/>
    <cellStyle name="Normal 2 17 17" xfId="263" xr:uid="{00000000-0005-0000-0000-0000FB000000}"/>
    <cellStyle name="Normal 2 17 18" xfId="264" xr:uid="{00000000-0005-0000-0000-0000FC000000}"/>
    <cellStyle name="Normal 2 17 19" xfId="265" xr:uid="{00000000-0005-0000-0000-0000FD000000}"/>
    <cellStyle name="Normal 2 17 2" xfId="266" xr:uid="{00000000-0005-0000-0000-0000FE000000}"/>
    <cellStyle name="Normal 2 17 20" xfId="267" xr:uid="{00000000-0005-0000-0000-0000FF000000}"/>
    <cellStyle name="Normal 2 17 21" xfId="268" xr:uid="{00000000-0005-0000-0000-000000010000}"/>
    <cellStyle name="Normal 2 17 22" xfId="269" xr:uid="{00000000-0005-0000-0000-000001010000}"/>
    <cellStyle name="Normal 2 17 23" xfId="270" xr:uid="{00000000-0005-0000-0000-000002010000}"/>
    <cellStyle name="Normal 2 17 3" xfId="271" xr:uid="{00000000-0005-0000-0000-000003010000}"/>
    <cellStyle name="Normal 2 17 4" xfId="272" xr:uid="{00000000-0005-0000-0000-000004010000}"/>
    <cellStyle name="Normal 2 17 5" xfId="273" xr:uid="{00000000-0005-0000-0000-000005010000}"/>
    <cellStyle name="Normal 2 17 6" xfId="274" xr:uid="{00000000-0005-0000-0000-000006010000}"/>
    <cellStyle name="Normal 2 17 7" xfId="275" xr:uid="{00000000-0005-0000-0000-000007010000}"/>
    <cellStyle name="Normal 2 17 8" xfId="276" xr:uid="{00000000-0005-0000-0000-000008010000}"/>
    <cellStyle name="Normal 2 17 9" xfId="277" xr:uid="{00000000-0005-0000-0000-000009010000}"/>
    <cellStyle name="Normal 2 18" xfId="278" xr:uid="{00000000-0005-0000-0000-00000A010000}"/>
    <cellStyle name="Normal 2 18 10" xfId="279" xr:uid="{00000000-0005-0000-0000-00000B010000}"/>
    <cellStyle name="Normal 2 18 11" xfId="280" xr:uid="{00000000-0005-0000-0000-00000C010000}"/>
    <cellStyle name="Normal 2 18 12" xfId="281" xr:uid="{00000000-0005-0000-0000-00000D010000}"/>
    <cellStyle name="Normal 2 18 13" xfId="282" xr:uid="{00000000-0005-0000-0000-00000E010000}"/>
    <cellStyle name="Normal 2 18 14" xfId="283" xr:uid="{00000000-0005-0000-0000-00000F010000}"/>
    <cellStyle name="Normal 2 18 15" xfId="284" xr:uid="{00000000-0005-0000-0000-000010010000}"/>
    <cellStyle name="Normal 2 18 16" xfId="285" xr:uid="{00000000-0005-0000-0000-000011010000}"/>
    <cellStyle name="Normal 2 18 17" xfId="286" xr:uid="{00000000-0005-0000-0000-000012010000}"/>
    <cellStyle name="Normal 2 18 18" xfId="287" xr:uid="{00000000-0005-0000-0000-000013010000}"/>
    <cellStyle name="Normal 2 18 19" xfId="288" xr:uid="{00000000-0005-0000-0000-000014010000}"/>
    <cellStyle name="Normal 2 18 2" xfId="289" xr:uid="{00000000-0005-0000-0000-000015010000}"/>
    <cellStyle name="Normal 2 18 20" xfId="290" xr:uid="{00000000-0005-0000-0000-000016010000}"/>
    <cellStyle name="Normal 2 18 21" xfId="291" xr:uid="{00000000-0005-0000-0000-000017010000}"/>
    <cellStyle name="Normal 2 18 22" xfId="292" xr:uid="{00000000-0005-0000-0000-000018010000}"/>
    <cellStyle name="Normal 2 18 23" xfId="293" xr:uid="{00000000-0005-0000-0000-000019010000}"/>
    <cellStyle name="Normal 2 18 3" xfId="294" xr:uid="{00000000-0005-0000-0000-00001A010000}"/>
    <cellStyle name="Normal 2 18 4" xfId="295" xr:uid="{00000000-0005-0000-0000-00001B010000}"/>
    <cellStyle name="Normal 2 18 5" xfId="296" xr:uid="{00000000-0005-0000-0000-00001C010000}"/>
    <cellStyle name="Normal 2 18 6" xfId="297" xr:uid="{00000000-0005-0000-0000-00001D010000}"/>
    <cellStyle name="Normal 2 18 7" xfId="298" xr:uid="{00000000-0005-0000-0000-00001E010000}"/>
    <cellStyle name="Normal 2 18 8" xfId="299" xr:uid="{00000000-0005-0000-0000-00001F010000}"/>
    <cellStyle name="Normal 2 18 9" xfId="300" xr:uid="{00000000-0005-0000-0000-000020010000}"/>
    <cellStyle name="Normal 2 19" xfId="301" xr:uid="{00000000-0005-0000-0000-000021010000}"/>
    <cellStyle name="Normal 2 19 10" xfId="302" xr:uid="{00000000-0005-0000-0000-000022010000}"/>
    <cellStyle name="Normal 2 19 11" xfId="303" xr:uid="{00000000-0005-0000-0000-000023010000}"/>
    <cellStyle name="Normal 2 19 12" xfId="304" xr:uid="{00000000-0005-0000-0000-000024010000}"/>
    <cellStyle name="Normal 2 19 13" xfId="305" xr:uid="{00000000-0005-0000-0000-000025010000}"/>
    <cellStyle name="Normal 2 19 14" xfId="306" xr:uid="{00000000-0005-0000-0000-000026010000}"/>
    <cellStyle name="Normal 2 19 15" xfId="307" xr:uid="{00000000-0005-0000-0000-000027010000}"/>
    <cellStyle name="Normal 2 19 16" xfId="308" xr:uid="{00000000-0005-0000-0000-000028010000}"/>
    <cellStyle name="Normal 2 19 17" xfId="309" xr:uid="{00000000-0005-0000-0000-000029010000}"/>
    <cellStyle name="Normal 2 19 18" xfId="310" xr:uid="{00000000-0005-0000-0000-00002A010000}"/>
    <cellStyle name="Normal 2 19 19" xfId="311" xr:uid="{00000000-0005-0000-0000-00002B010000}"/>
    <cellStyle name="Normal 2 19 2" xfId="312" xr:uid="{00000000-0005-0000-0000-00002C010000}"/>
    <cellStyle name="Normal 2 19 20" xfId="313" xr:uid="{00000000-0005-0000-0000-00002D010000}"/>
    <cellStyle name="Normal 2 19 21" xfId="314" xr:uid="{00000000-0005-0000-0000-00002E010000}"/>
    <cellStyle name="Normal 2 19 22" xfId="315" xr:uid="{00000000-0005-0000-0000-00002F010000}"/>
    <cellStyle name="Normal 2 19 23" xfId="316" xr:uid="{00000000-0005-0000-0000-000030010000}"/>
    <cellStyle name="Normal 2 19 3" xfId="317" xr:uid="{00000000-0005-0000-0000-000031010000}"/>
    <cellStyle name="Normal 2 19 4" xfId="318" xr:uid="{00000000-0005-0000-0000-000032010000}"/>
    <cellStyle name="Normal 2 19 5" xfId="319" xr:uid="{00000000-0005-0000-0000-000033010000}"/>
    <cellStyle name="Normal 2 19 6" xfId="320" xr:uid="{00000000-0005-0000-0000-000034010000}"/>
    <cellStyle name="Normal 2 19 7" xfId="321" xr:uid="{00000000-0005-0000-0000-000035010000}"/>
    <cellStyle name="Normal 2 19 8" xfId="322" xr:uid="{00000000-0005-0000-0000-000036010000}"/>
    <cellStyle name="Normal 2 19 9" xfId="323" xr:uid="{00000000-0005-0000-0000-000037010000}"/>
    <cellStyle name="Normal 2 2" xfId="50" xr:uid="{00000000-0005-0000-0000-000038010000}"/>
    <cellStyle name="Normal 2 2 2" xfId="324" xr:uid="{00000000-0005-0000-0000-000039010000}"/>
    <cellStyle name="Normal 2 2 2 2" xfId="2359" xr:uid="{00000000-0005-0000-0000-000035020000}"/>
    <cellStyle name="Normal 2 2 2 3" xfId="2360" xr:uid="{00000000-0005-0000-0000-000036020000}"/>
    <cellStyle name="Normal 2 2 2 4" xfId="2361" xr:uid="{00000000-0005-0000-0000-000037020000}"/>
    <cellStyle name="Normal 2 2 3" xfId="2362" xr:uid="{00000000-0005-0000-0000-000038020000}"/>
    <cellStyle name="Normal 2 2 4" xfId="2363" xr:uid="{00000000-0005-0000-0000-000039020000}"/>
    <cellStyle name="Normal 2 2 5" xfId="2064" xr:uid="{00000000-0005-0000-0000-000033020000}"/>
    <cellStyle name="Normal 2 2_Summary" xfId="2364" xr:uid="{00000000-0005-0000-0000-00003A020000}"/>
    <cellStyle name="Normal 2 20" xfId="325" xr:uid="{00000000-0005-0000-0000-00003A010000}"/>
    <cellStyle name="Normal 2 20 10" xfId="326" xr:uid="{00000000-0005-0000-0000-00003B010000}"/>
    <cellStyle name="Normal 2 20 11" xfId="327" xr:uid="{00000000-0005-0000-0000-00003C010000}"/>
    <cellStyle name="Normal 2 20 12" xfId="328" xr:uid="{00000000-0005-0000-0000-00003D010000}"/>
    <cellStyle name="Normal 2 20 13" xfId="329" xr:uid="{00000000-0005-0000-0000-00003E010000}"/>
    <cellStyle name="Normal 2 20 14" xfId="330" xr:uid="{00000000-0005-0000-0000-00003F010000}"/>
    <cellStyle name="Normal 2 20 15" xfId="331" xr:uid="{00000000-0005-0000-0000-000040010000}"/>
    <cellStyle name="Normal 2 20 16" xfId="332" xr:uid="{00000000-0005-0000-0000-000041010000}"/>
    <cellStyle name="Normal 2 20 17" xfId="333" xr:uid="{00000000-0005-0000-0000-000042010000}"/>
    <cellStyle name="Normal 2 20 18" xfId="334" xr:uid="{00000000-0005-0000-0000-000043010000}"/>
    <cellStyle name="Normal 2 20 19" xfId="335" xr:uid="{00000000-0005-0000-0000-000044010000}"/>
    <cellStyle name="Normal 2 20 2" xfId="336" xr:uid="{00000000-0005-0000-0000-000045010000}"/>
    <cellStyle name="Normal 2 20 20" xfId="337" xr:uid="{00000000-0005-0000-0000-000046010000}"/>
    <cellStyle name="Normal 2 20 21" xfId="338" xr:uid="{00000000-0005-0000-0000-000047010000}"/>
    <cellStyle name="Normal 2 20 22" xfId="339" xr:uid="{00000000-0005-0000-0000-000048010000}"/>
    <cellStyle name="Normal 2 20 23" xfId="340" xr:uid="{00000000-0005-0000-0000-000049010000}"/>
    <cellStyle name="Normal 2 20 3" xfId="341" xr:uid="{00000000-0005-0000-0000-00004A010000}"/>
    <cellStyle name="Normal 2 20 4" xfId="342" xr:uid="{00000000-0005-0000-0000-00004B010000}"/>
    <cellStyle name="Normal 2 20 5" xfId="343" xr:uid="{00000000-0005-0000-0000-00004C010000}"/>
    <cellStyle name="Normal 2 20 6" xfId="344" xr:uid="{00000000-0005-0000-0000-00004D010000}"/>
    <cellStyle name="Normal 2 20 7" xfId="345" xr:uid="{00000000-0005-0000-0000-00004E010000}"/>
    <cellStyle name="Normal 2 20 8" xfId="346" xr:uid="{00000000-0005-0000-0000-00004F010000}"/>
    <cellStyle name="Normal 2 20 9" xfId="347" xr:uid="{00000000-0005-0000-0000-000050010000}"/>
    <cellStyle name="Normal 2 21" xfId="348" xr:uid="{00000000-0005-0000-0000-000051010000}"/>
    <cellStyle name="Normal 2 21 10" xfId="349" xr:uid="{00000000-0005-0000-0000-000052010000}"/>
    <cellStyle name="Normal 2 21 11" xfId="350" xr:uid="{00000000-0005-0000-0000-000053010000}"/>
    <cellStyle name="Normal 2 21 12" xfId="351" xr:uid="{00000000-0005-0000-0000-000054010000}"/>
    <cellStyle name="Normal 2 21 13" xfId="352" xr:uid="{00000000-0005-0000-0000-000055010000}"/>
    <cellStyle name="Normal 2 21 14" xfId="353" xr:uid="{00000000-0005-0000-0000-000056010000}"/>
    <cellStyle name="Normal 2 21 15" xfId="354" xr:uid="{00000000-0005-0000-0000-000057010000}"/>
    <cellStyle name="Normal 2 21 16" xfId="355" xr:uid="{00000000-0005-0000-0000-000058010000}"/>
    <cellStyle name="Normal 2 21 17" xfId="356" xr:uid="{00000000-0005-0000-0000-000059010000}"/>
    <cellStyle name="Normal 2 21 18" xfId="357" xr:uid="{00000000-0005-0000-0000-00005A010000}"/>
    <cellStyle name="Normal 2 21 19" xfId="358" xr:uid="{00000000-0005-0000-0000-00005B010000}"/>
    <cellStyle name="Normal 2 21 2" xfId="359" xr:uid="{00000000-0005-0000-0000-00005C010000}"/>
    <cellStyle name="Normal 2 21 20" xfId="360" xr:uid="{00000000-0005-0000-0000-00005D010000}"/>
    <cellStyle name="Normal 2 21 21" xfId="361" xr:uid="{00000000-0005-0000-0000-00005E010000}"/>
    <cellStyle name="Normal 2 21 22" xfId="362" xr:uid="{00000000-0005-0000-0000-00005F010000}"/>
    <cellStyle name="Normal 2 21 23" xfId="363" xr:uid="{00000000-0005-0000-0000-000060010000}"/>
    <cellStyle name="Normal 2 21 3" xfId="364" xr:uid="{00000000-0005-0000-0000-000061010000}"/>
    <cellStyle name="Normal 2 21 4" xfId="365" xr:uid="{00000000-0005-0000-0000-000062010000}"/>
    <cellStyle name="Normal 2 21 5" xfId="366" xr:uid="{00000000-0005-0000-0000-000063010000}"/>
    <cellStyle name="Normal 2 21 6" xfId="367" xr:uid="{00000000-0005-0000-0000-000064010000}"/>
    <cellStyle name="Normal 2 21 7" xfId="368" xr:uid="{00000000-0005-0000-0000-000065010000}"/>
    <cellStyle name="Normal 2 21 8" xfId="369" xr:uid="{00000000-0005-0000-0000-000066010000}"/>
    <cellStyle name="Normal 2 21 9" xfId="370" xr:uid="{00000000-0005-0000-0000-000067010000}"/>
    <cellStyle name="Normal 2 22" xfId="371" xr:uid="{00000000-0005-0000-0000-000068010000}"/>
    <cellStyle name="Normal 2 22 10" xfId="372" xr:uid="{00000000-0005-0000-0000-000069010000}"/>
    <cellStyle name="Normal 2 22 11" xfId="373" xr:uid="{00000000-0005-0000-0000-00006A010000}"/>
    <cellStyle name="Normal 2 22 12" xfId="374" xr:uid="{00000000-0005-0000-0000-00006B010000}"/>
    <cellStyle name="Normal 2 22 13" xfId="375" xr:uid="{00000000-0005-0000-0000-00006C010000}"/>
    <cellStyle name="Normal 2 22 14" xfId="376" xr:uid="{00000000-0005-0000-0000-00006D010000}"/>
    <cellStyle name="Normal 2 22 15" xfId="377" xr:uid="{00000000-0005-0000-0000-00006E010000}"/>
    <cellStyle name="Normal 2 22 16" xfId="378" xr:uid="{00000000-0005-0000-0000-00006F010000}"/>
    <cellStyle name="Normal 2 22 17" xfId="379" xr:uid="{00000000-0005-0000-0000-000070010000}"/>
    <cellStyle name="Normal 2 22 18" xfId="380" xr:uid="{00000000-0005-0000-0000-000071010000}"/>
    <cellStyle name="Normal 2 22 19" xfId="381" xr:uid="{00000000-0005-0000-0000-000072010000}"/>
    <cellStyle name="Normal 2 22 2" xfId="382" xr:uid="{00000000-0005-0000-0000-000073010000}"/>
    <cellStyle name="Normal 2 22 20" xfId="383" xr:uid="{00000000-0005-0000-0000-000074010000}"/>
    <cellStyle name="Normal 2 22 21" xfId="384" xr:uid="{00000000-0005-0000-0000-000075010000}"/>
    <cellStyle name="Normal 2 22 22" xfId="385" xr:uid="{00000000-0005-0000-0000-000076010000}"/>
    <cellStyle name="Normal 2 22 23" xfId="386" xr:uid="{00000000-0005-0000-0000-000077010000}"/>
    <cellStyle name="Normal 2 22 3" xfId="387" xr:uid="{00000000-0005-0000-0000-000078010000}"/>
    <cellStyle name="Normal 2 22 4" xfId="388" xr:uid="{00000000-0005-0000-0000-000079010000}"/>
    <cellStyle name="Normal 2 22 5" xfId="389" xr:uid="{00000000-0005-0000-0000-00007A010000}"/>
    <cellStyle name="Normal 2 22 6" xfId="390" xr:uid="{00000000-0005-0000-0000-00007B010000}"/>
    <cellStyle name="Normal 2 22 7" xfId="391" xr:uid="{00000000-0005-0000-0000-00007C010000}"/>
    <cellStyle name="Normal 2 22 8" xfId="392" xr:uid="{00000000-0005-0000-0000-00007D010000}"/>
    <cellStyle name="Normal 2 22 9" xfId="393" xr:uid="{00000000-0005-0000-0000-00007E010000}"/>
    <cellStyle name="Normal 2 23" xfId="394" xr:uid="{00000000-0005-0000-0000-00007F010000}"/>
    <cellStyle name="Normal 2 23 10" xfId="395" xr:uid="{00000000-0005-0000-0000-000080010000}"/>
    <cellStyle name="Normal 2 23 11" xfId="396" xr:uid="{00000000-0005-0000-0000-000081010000}"/>
    <cellStyle name="Normal 2 23 12" xfId="397" xr:uid="{00000000-0005-0000-0000-000082010000}"/>
    <cellStyle name="Normal 2 23 13" xfId="398" xr:uid="{00000000-0005-0000-0000-000083010000}"/>
    <cellStyle name="Normal 2 23 14" xfId="399" xr:uid="{00000000-0005-0000-0000-000084010000}"/>
    <cellStyle name="Normal 2 23 15" xfId="400" xr:uid="{00000000-0005-0000-0000-000085010000}"/>
    <cellStyle name="Normal 2 23 16" xfId="401" xr:uid="{00000000-0005-0000-0000-000086010000}"/>
    <cellStyle name="Normal 2 23 17" xfId="402" xr:uid="{00000000-0005-0000-0000-000087010000}"/>
    <cellStyle name="Normal 2 23 18" xfId="403" xr:uid="{00000000-0005-0000-0000-000088010000}"/>
    <cellStyle name="Normal 2 23 19" xfId="404" xr:uid="{00000000-0005-0000-0000-000089010000}"/>
    <cellStyle name="Normal 2 23 2" xfId="405" xr:uid="{00000000-0005-0000-0000-00008A010000}"/>
    <cellStyle name="Normal 2 23 20" xfId="406" xr:uid="{00000000-0005-0000-0000-00008B010000}"/>
    <cellStyle name="Normal 2 23 21" xfId="407" xr:uid="{00000000-0005-0000-0000-00008C010000}"/>
    <cellStyle name="Normal 2 23 22" xfId="408" xr:uid="{00000000-0005-0000-0000-00008D010000}"/>
    <cellStyle name="Normal 2 23 23" xfId="409" xr:uid="{00000000-0005-0000-0000-00008E010000}"/>
    <cellStyle name="Normal 2 23 3" xfId="410" xr:uid="{00000000-0005-0000-0000-00008F010000}"/>
    <cellStyle name="Normal 2 23 4" xfId="411" xr:uid="{00000000-0005-0000-0000-000090010000}"/>
    <cellStyle name="Normal 2 23 5" xfId="412" xr:uid="{00000000-0005-0000-0000-000091010000}"/>
    <cellStyle name="Normal 2 23 6" xfId="413" xr:uid="{00000000-0005-0000-0000-000092010000}"/>
    <cellStyle name="Normal 2 23 7" xfId="414" xr:uid="{00000000-0005-0000-0000-000093010000}"/>
    <cellStyle name="Normal 2 23 8" xfId="415" xr:uid="{00000000-0005-0000-0000-000094010000}"/>
    <cellStyle name="Normal 2 23 9" xfId="416" xr:uid="{00000000-0005-0000-0000-000095010000}"/>
    <cellStyle name="Normal 2 24" xfId="417" xr:uid="{00000000-0005-0000-0000-000096010000}"/>
    <cellStyle name="Normal 2 24 10" xfId="418" xr:uid="{00000000-0005-0000-0000-000097010000}"/>
    <cellStyle name="Normal 2 24 11" xfId="419" xr:uid="{00000000-0005-0000-0000-000098010000}"/>
    <cellStyle name="Normal 2 24 12" xfId="420" xr:uid="{00000000-0005-0000-0000-000099010000}"/>
    <cellStyle name="Normal 2 24 13" xfId="421" xr:uid="{00000000-0005-0000-0000-00009A010000}"/>
    <cellStyle name="Normal 2 24 14" xfId="422" xr:uid="{00000000-0005-0000-0000-00009B010000}"/>
    <cellStyle name="Normal 2 24 15" xfId="423" xr:uid="{00000000-0005-0000-0000-00009C010000}"/>
    <cellStyle name="Normal 2 24 16" xfId="424" xr:uid="{00000000-0005-0000-0000-00009D010000}"/>
    <cellStyle name="Normal 2 24 17" xfId="425" xr:uid="{00000000-0005-0000-0000-00009E010000}"/>
    <cellStyle name="Normal 2 24 18" xfId="426" xr:uid="{00000000-0005-0000-0000-00009F010000}"/>
    <cellStyle name="Normal 2 24 19" xfId="427" xr:uid="{00000000-0005-0000-0000-0000A0010000}"/>
    <cellStyle name="Normal 2 24 2" xfId="428" xr:uid="{00000000-0005-0000-0000-0000A1010000}"/>
    <cellStyle name="Normal 2 24 20" xfId="429" xr:uid="{00000000-0005-0000-0000-0000A2010000}"/>
    <cellStyle name="Normal 2 24 21" xfId="430" xr:uid="{00000000-0005-0000-0000-0000A3010000}"/>
    <cellStyle name="Normal 2 24 22" xfId="431" xr:uid="{00000000-0005-0000-0000-0000A4010000}"/>
    <cellStyle name="Normal 2 24 23" xfId="432" xr:uid="{00000000-0005-0000-0000-0000A5010000}"/>
    <cellStyle name="Normal 2 24 3" xfId="433" xr:uid="{00000000-0005-0000-0000-0000A6010000}"/>
    <cellStyle name="Normal 2 24 4" xfId="434" xr:uid="{00000000-0005-0000-0000-0000A7010000}"/>
    <cellStyle name="Normal 2 24 5" xfId="435" xr:uid="{00000000-0005-0000-0000-0000A8010000}"/>
    <cellStyle name="Normal 2 24 6" xfId="436" xr:uid="{00000000-0005-0000-0000-0000A9010000}"/>
    <cellStyle name="Normal 2 24 7" xfId="437" xr:uid="{00000000-0005-0000-0000-0000AA010000}"/>
    <cellStyle name="Normal 2 24 8" xfId="438" xr:uid="{00000000-0005-0000-0000-0000AB010000}"/>
    <cellStyle name="Normal 2 24 9" xfId="439" xr:uid="{00000000-0005-0000-0000-0000AC010000}"/>
    <cellStyle name="Normal 2 25" xfId="440" xr:uid="{00000000-0005-0000-0000-0000AD010000}"/>
    <cellStyle name="Normal 2 25 10" xfId="441" xr:uid="{00000000-0005-0000-0000-0000AE010000}"/>
    <cellStyle name="Normal 2 25 11" xfId="442" xr:uid="{00000000-0005-0000-0000-0000AF010000}"/>
    <cellStyle name="Normal 2 25 12" xfId="443" xr:uid="{00000000-0005-0000-0000-0000B0010000}"/>
    <cellStyle name="Normal 2 25 13" xfId="444" xr:uid="{00000000-0005-0000-0000-0000B1010000}"/>
    <cellStyle name="Normal 2 25 14" xfId="445" xr:uid="{00000000-0005-0000-0000-0000B2010000}"/>
    <cellStyle name="Normal 2 25 15" xfId="446" xr:uid="{00000000-0005-0000-0000-0000B3010000}"/>
    <cellStyle name="Normal 2 25 16" xfId="447" xr:uid="{00000000-0005-0000-0000-0000B4010000}"/>
    <cellStyle name="Normal 2 25 17" xfId="448" xr:uid="{00000000-0005-0000-0000-0000B5010000}"/>
    <cellStyle name="Normal 2 25 18" xfId="449" xr:uid="{00000000-0005-0000-0000-0000B6010000}"/>
    <cellStyle name="Normal 2 25 19" xfId="450" xr:uid="{00000000-0005-0000-0000-0000B7010000}"/>
    <cellStyle name="Normal 2 25 2" xfId="451" xr:uid="{00000000-0005-0000-0000-0000B8010000}"/>
    <cellStyle name="Normal 2 25 20" xfId="452" xr:uid="{00000000-0005-0000-0000-0000B9010000}"/>
    <cellStyle name="Normal 2 25 21" xfId="453" xr:uid="{00000000-0005-0000-0000-0000BA010000}"/>
    <cellStyle name="Normal 2 25 22" xfId="454" xr:uid="{00000000-0005-0000-0000-0000BB010000}"/>
    <cellStyle name="Normal 2 25 23" xfId="455" xr:uid="{00000000-0005-0000-0000-0000BC010000}"/>
    <cellStyle name="Normal 2 25 3" xfId="456" xr:uid="{00000000-0005-0000-0000-0000BD010000}"/>
    <cellStyle name="Normal 2 25 4" xfId="457" xr:uid="{00000000-0005-0000-0000-0000BE010000}"/>
    <cellStyle name="Normal 2 25 5" xfId="458" xr:uid="{00000000-0005-0000-0000-0000BF010000}"/>
    <cellStyle name="Normal 2 25 6" xfId="459" xr:uid="{00000000-0005-0000-0000-0000C0010000}"/>
    <cellStyle name="Normal 2 25 7" xfId="460" xr:uid="{00000000-0005-0000-0000-0000C1010000}"/>
    <cellStyle name="Normal 2 25 8" xfId="461" xr:uid="{00000000-0005-0000-0000-0000C2010000}"/>
    <cellStyle name="Normal 2 25 9" xfId="462" xr:uid="{00000000-0005-0000-0000-0000C3010000}"/>
    <cellStyle name="Normal 2 26" xfId="463" xr:uid="{00000000-0005-0000-0000-0000C4010000}"/>
    <cellStyle name="Normal 2 26 10" xfId="464" xr:uid="{00000000-0005-0000-0000-0000C5010000}"/>
    <cellStyle name="Normal 2 26 11" xfId="465" xr:uid="{00000000-0005-0000-0000-0000C6010000}"/>
    <cellStyle name="Normal 2 26 12" xfId="466" xr:uid="{00000000-0005-0000-0000-0000C7010000}"/>
    <cellStyle name="Normal 2 26 13" xfId="467" xr:uid="{00000000-0005-0000-0000-0000C8010000}"/>
    <cellStyle name="Normal 2 26 14" xfId="468" xr:uid="{00000000-0005-0000-0000-0000C9010000}"/>
    <cellStyle name="Normal 2 26 15" xfId="469" xr:uid="{00000000-0005-0000-0000-0000CA010000}"/>
    <cellStyle name="Normal 2 26 16" xfId="470" xr:uid="{00000000-0005-0000-0000-0000CB010000}"/>
    <cellStyle name="Normal 2 26 17" xfId="471" xr:uid="{00000000-0005-0000-0000-0000CC010000}"/>
    <cellStyle name="Normal 2 26 18" xfId="472" xr:uid="{00000000-0005-0000-0000-0000CD010000}"/>
    <cellStyle name="Normal 2 26 19" xfId="473" xr:uid="{00000000-0005-0000-0000-0000CE010000}"/>
    <cellStyle name="Normal 2 26 2" xfId="474" xr:uid="{00000000-0005-0000-0000-0000CF010000}"/>
    <cellStyle name="Normal 2 26 20" xfId="475" xr:uid="{00000000-0005-0000-0000-0000D0010000}"/>
    <cellStyle name="Normal 2 26 21" xfId="476" xr:uid="{00000000-0005-0000-0000-0000D1010000}"/>
    <cellStyle name="Normal 2 26 22" xfId="477" xr:uid="{00000000-0005-0000-0000-0000D2010000}"/>
    <cellStyle name="Normal 2 26 23" xfId="478" xr:uid="{00000000-0005-0000-0000-0000D3010000}"/>
    <cellStyle name="Normal 2 26 3" xfId="479" xr:uid="{00000000-0005-0000-0000-0000D4010000}"/>
    <cellStyle name="Normal 2 26 4" xfId="480" xr:uid="{00000000-0005-0000-0000-0000D5010000}"/>
    <cellStyle name="Normal 2 26 5" xfId="481" xr:uid="{00000000-0005-0000-0000-0000D6010000}"/>
    <cellStyle name="Normal 2 26 6" xfId="482" xr:uid="{00000000-0005-0000-0000-0000D7010000}"/>
    <cellStyle name="Normal 2 26 7" xfId="483" xr:uid="{00000000-0005-0000-0000-0000D8010000}"/>
    <cellStyle name="Normal 2 26 8" xfId="484" xr:uid="{00000000-0005-0000-0000-0000D9010000}"/>
    <cellStyle name="Normal 2 26 9" xfId="485" xr:uid="{00000000-0005-0000-0000-0000DA010000}"/>
    <cellStyle name="Normal 2 27" xfId="486" xr:uid="{00000000-0005-0000-0000-0000DB010000}"/>
    <cellStyle name="Normal 2 27 10" xfId="487" xr:uid="{00000000-0005-0000-0000-0000DC010000}"/>
    <cellStyle name="Normal 2 27 11" xfId="488" xr:uid="{00000000-0005-0000-0000-0000DD010000}"/>
    <cellStyle name="Normal 2 27 12" xfId="489" xr:uid="{00000000-0005-0000-0000-0000DE010000}"/>
    <cellStyle name="Normal 2 27 13" xfId="490" xr:uid="{00000000-0005-0000-0000-0000DF010000}"/>
    <cellStyle name="Normal 2 27 14" xfId="491" xr:uid="{00000000-0005-0000-0000-0000E0010000}"/>
    <cellStyle name="Normal 2 27 15" xfId="492" xr:uid="{00000000-0005-0000-0000-0000E1010000}"/>
    <cellStyle name="Normal 2 27 16" xfId="493" xr:uid="{00000000-0005-0000-0000-0000E2010000}"/>
    <cellStyle name="Normal 2 27 17" xfId="494" xr:uid="{00000000-0005-0000-0000-0000E3010000}"/>
    <cellStyle name="Normal 2 27 18" xfId="495" xr:uid="{00000000-0005-0000-0000-0000E4010000}"/>
    <cellStyle name="Normal 2 27 19" xfId="496" xr:uid="{00000000-0005-0000-0000-0000E5010000}"/>
    <cellStyle name="Normal 2 27 2" xfId="497" xr:uid="{00000000-0005-0000-0000-0000E6010000}"/>
    <cellStyle name="Normal 2 27 20" xfId="498" xr:uid="{00000000-0005-0000-0000-0000E7010000}"/>
    <cellStyle name="Normal 2 27 21" xfId="499" xr:uid="{00000000-0005-0000-0000-0000E8010000}"/>
    <cellStyle name="Normal 2 27 22" xfId="500" xr:uid="{00000000-0005-0000-0000-0000E9010000}"/>
    <cellStyle name="Normal 2 27 23" xfId="501" xr:uid="{00000000-0005-0000-0000-0000EA010000}"/>
    <cellStyle name="Normal 2 27 3" xfId="502" xr:uid="{00000000-0005-0000-0000-0000EB010000}"/>
    <cellStyle name="Normal 2 27 4" xfId="503" xr:uid="{00000000-0005-0000-0000-0000EC010000}"/>
    <cellStyle name="Normal 2 27 5" xfId="504" xr:uid="{00000000-0005-0000-0000-0000ED010000}"/>
    <cellStyle name="Normal 2 27 6" xfId="505" xr:uid="{00000000-0005-0000-0000-0000EE010000}"/>
    <cellStyle name="Normal 2 27 7" xfId="506" xr:uid="{00000000-0005-0000-0000-0000EF010000}"/>
    <cellStyle name="Normal 2 27 8" xfId="507" xr:uid="{00000000-0005-0000-0000-0000F0010000}"/>
    <cellStyle name="Normal 2 27 9" xfId="508" xr:uid="{00000000-0005-0000-0000-0000F1010000}"/>
    <cellStyle name="Normal 2 28" xfId="509" xr:uid="{00000000-0005-0000-0000-0000F2010000}"/>
    <cellStyle name="Normal 2 28 10" xfId="510" xr:uid="{00000000-0005-0000-0000-0000F3010000}"/>
    <cellStyle name="Normal 2 28 11" xfId="511" xr:uid="{00000000-0005-0000-0000-0000F4010000}"/>
    <cellStyle name="Normal 2 28 12" xfId="512" xr:uid="{00000000-0005-0000-0000-0000F5010000}"/>
    <cellStyle name="Normal 2 28 13" xfId="513" xr:uid="{00000000-0005-0000-0000-0000F6010000}"/>
    <cellStyle name="Normal 2 28 14" xfId="514" xr:uid="{00000000-0005-0000-0000-0000F7010000}"/>
    <cellStyle name="Normal 2 28 15" xfId="515" xr:uid="{00000000-0005-0000-0000-0000F8010000}"/>
    <cellStyle name="Normal 2 28 16" xfId="516" xr:uid="{00000000-0005-0000-0000-0000F9010000}"/>
    <cellStyle name="Normal 2 28 17" xfId="517" xr:uid="{00000000-0005-0000-0000-0000FA010000}"/>
    <cellStyle name="Normal 2 28 18" xfId="518" xr:uid="{00000000-0005-0000-0000-0000FB010000}"/>
    <cellStyle name="Normal 2 28 19" xfId="519" xr:uid="{00000000-0005-0000-0000-0000FC010000}"/>
    <cellStyle name="Normal 2 28 2" xfId="520" xr:uid="{00000000-0005-0000-0000-0000FD010000}"/>
    <cellStyle name="Normal 2 28 20" xfId="521" xr:uid="{00000000-0005-0000-0000-0000FE010000}"/>
    <cellStyle name="Normal 2 28 21" xfId="522" xr:uid="{00000000-0005-0000-0000-0000FF010000}"/>
    <cellStyle name="Normal 2 28 22" xfId="523" xr:uid="{00000000-0005-0000-0000-000000020000}"/>
    <cellStyle name="Normal 2 28 23" xfId="524" xr:uid="{00000000-0005-0000-0000-000001020000}"/>
    <cellStyle name="Normal 2 28 3" xfId="525" xr:uid="{00000000-0005-0000-0000-000002020000}"/>
    <cellStyle name="Normal 2 28 4" xfId="526" xr:uid="{00000000-0005-0000-0000-000003020000}"/>
    <cellStyle name="Normal 2 28 5" xfId="527" xr:uid="{00000000-0005-0000-0000-000004020000}"/>
    <cellStyle name="Normal 2 28 6" xfId="528" xr:uid="{00000000-0005-0000-0000-000005020000}"/>
    <cellStyle name="Normal 2 28 7" xfId="529" xr:uid="{00000000-0005-0000-0000-000006020000}"/>
    <cellStyle name="Normal 2 28 8" xfId="530" xr:uid="{00000000-0005-0000-0000-000007020000}"/>
    <cellStyle name="Normal 2 28 9" xfId="531" xr:uid="{00000000-0005-0000-0000-000008020000}"/>
    <cellStyle name="Normal 2 29" xfId="532" xr:uid="{00000000-0005-0000-0000-000009020000}"/>
    <cellStyle name="Normal 2 29 10" xfId="533" xr:uid="{00000000-0005-0000-0000-00000A020000}"/>
    <cellStyle name="Normal 2 29 11" xfId="534" xr:uid="{00000000-0005-0000-0000-00000B020000}"/>
    <cellStyle name="Normal 2 29 12" xfId="535" xr:uid="{00000000-0005-0000-0000-00000C020000}"/>
    <cellStyle name="Normal 2 29 13" xfId="536" xr:uid="{00000000-0005-0000-0000-00000D020000}"/>
    <cellStyle name="Normal 2 29 14" xfId="537" xr:uid="{00000000-0005-0000-0000-00000E020000}"/>
    <cellStyle name="Normal 2 29 15" xfId="538" xr:uid="{00000000-0005-0000-0000-00000F020000}"/>
    <cellStyle name="Normal 2 29 16" xfId="539" xr:uid="{00000000-0005-0000-0000-000010020000}"/>
    <cellStyle name="Normal 2 29 17" xfId="540" xr:uid="{00000000-0005-0000-0000-000011020000}"/>
    <cellStyle name="Normal 2 29 18" xfId="541" xr:uid="{00000000-0005-0000-0000-000012020000}"/>
    <cellStyle name="Normal 2 29 19" xfId="542" xr:uid="{00000000-0005-0000-0000-000013020000}"/>
    <cellStyle name="Normal 2 29 2" xfId="543" xr:uid="{00000000-0005-0000-0000-000014020000}"/>
    <cellStyle name="Normal 2 29 20" xfId="544" xr:uid="{00000000-0005-0000-0000-000015020000}"/>
    <cellStyle name="Normal 2 29 21" xfId="545" xr:uid="{00000000-0005-0000-0000-000016020000}"/>
    <cellStyle name="Normal 2 29 22" xfId="546" xr:uid="{00000000-0005-0000-0000-000017020000}"/>
    <cellStyle name="Normal 2 29 23" xfId="547" xr:uid="{00000000-0005-0000-0000-000018020000}"/>
    <cellStyle name="Normal 2 29 3" xfId="548" xr:uid="{00000000-0005-0000-0000-000019020000}"/>
    <cellStyle name="Normal 2 29 4" xfId="549" xr:uid="{00000000-0005-0000-0000-00001A020000}"/>
    <cellStyle name="Normal 2 29 5" xfId="550" xr:uid="{00000000-0005-0000-0000-00001B020000}"/>
    <cellStyle name="Normal 2 29 6" xfId="551" xr:uid="{00000000-0005-0000-0000-00001C020000}"/>
    <cellStyle name="Normal 2 29 7" xfId="552" xr:uid="{00000000-0005-0000-0000-00001D020000}"/>
    <cellStyle name="Normal 2 29 8" xfId="553" xr:uid="{00000000-0005-0000-0000-00001E020000}"/>
    <cellStyle name="Normal 2 29 9" xfId="554" xr:uid="{00000000-0005-0000-0000-00001F020000}"/>
    <cellStyle name="Normal 2 3" xfId="555" xr:uid="{00000000-0005-0000-0000-000020020000}"/>
    <cellStyle name="Normal 2 3 2" xfId="2365" xr:uid="{00000000-0005-0000-0000-000022030000}"/>
    <cellStyle name="Normal 2 3 2 2" xfId="2366" xr:uid="{00000000-0005-0000-0000-000023030000}"/>
    <cellStyle name="Normal 2 3 3" xfId="2367" xr:uid="{00000000-0005-0000-0000-000024030000}"/>
    <cellStyle name="Normal 2 3 4" xfId="2368" xr:uid="{00000000-0005-0000-0000-000025030000}"/>
    <cellStyle name="Normal 2 3 5" xfId="2369" xr:uid="{00000000-0005-0000-0000-000026030000}"/>
    <cellStyle name="Normal 2 3_Summary" xfId="2370" xr:uid="{00000000-0005-0000-0000-000027030000}"/>
    <cellStyle name="Normal 2 30" xfId="556" xr:uid="{00000000-0005-0000-0000-000021020000}"/>
    <cellStyle name="Normal 2 30 10" xfId="557" xr:uid="{00000000-0005-0000-0000-000022020000}"/>
    <cellStyle name="Normal 2 30 11" xfId="558" xr:uid="{00000000-0005-0000-0000-000023020000}"/>
    <cellStyle name="Normal 2 30 12" xfId="559" xr:uid="{00000000-0005-0000-0000-000024020000}"/>
    <cellStyle name="Normal 2 30 13" xfId="560" xr:uid="{00000000-0005-0000-0000-000025020000}"/>
    <cellStyle name="Normal 2 30 14" xfId="561" xr:uid="{00000000-0005-0000-0000-000026020000}"/>
    <cellStyle name="Normal 2 30 15" xfId="562" xr:uid="{00000000-0005-0000-0000-000027020000}"/>
    <cellStyle name="Normal 2 30 16" xfId="563" xr:uid="{00000000-0005-0000-0000-000028020000}"/>
    <cellStyle name="Normal 2 30 17" xfId="564" xr:uid="{00000000-0005-0000-0000-000029020000}"/>
    <cellStyle name="Normal 2 30 18" xfId="565" xr:uid="{00000000-0005-0000-0000-00002A020000}"/>
    <cellStyle name="Normal 2 30 19" xfId="566" xr:uid="{00000000-0005-0000-0000-00002B020000}"/>
    <cellStyle name="Normal 2 30 2" xfId="567" xr:uid="{00000000-0005-0000-0000-00002C020000}"/>
    <cellStyle name="Normal 2 30 20" xfId="568" xr:uid="{00000000-0005-0000-0000-00002D020000}"/>
    <cellStyle name="Normal 2 30 21" xfId="569" xr:uid="{00000000-0005-0000-0000-00002E020000}"/>
    <cellStyle name="Normal 2 30 22" xfId="570" xr:uid="{00000000-0005-0000-0000-00002F020000}"/>
    <cellStyle name="Normal 2 30 23" xfId="571" xr:uid="{00000000-0005-0000-0000-000030020000}"/>
    <cellStyle name="Normal 2 30 24" xfId="2372" xr:uid="{00000000-0005-0000-0000-000038030000}"/>
    <cellStyle name="Normal 2 30 25" xfId="2373" xr:uid="{00000000-0005-0000-0000-000039030000}"/>
    <cellStyle name="Normal 2 30 26" xfId="2371" xr:uid="{00000000-0005-0000-0000-000028030000}"/>
    <cellStyle name="Normal 2 30 3" xfId="572" xr:uid="{00000000-0005-0000-0000-000031020000}"/>
    <cellStyle name="Normal 2 30 4" xfId="573" xr:uid="{00000000-0005-0000-0000-000032020000}"/>
    <cellStyle name="Normal 2 30 5" xfId="574" xr:uid="{00000000-0005-0000-0000-000033020000}"/>
    <cellStyle name="Normal 2 30 6" xfId="575" xr:uid="{00000000-0005-0000-0000-000034020000}"/>
    <cellStyle name="Normal 2 30 7" xfId="576" xr:uid="{00000000-0005-0000-0000-000035020000}"/>
    <cellStyle name="Normal 2 30 8" xfId="577" xr:uid="{00000000-0005-0000-0000-000036020000}"/>
    <cellStyle name="Normal 2 30 9" xfId="578" xr:uid="{00000000-0005-0000-0000-000037020000}"/>
    <cellStyle name="Normal 2 31" xfId="579" xr:uid="{00000000-0005-0000-0000-000038020000}"/>
    <cellStyle name="Normal 2 31 10" xfId="580" xr:uid="{00000000-0005-0000-0000-000039020000}"/>
    <cellStyle name="Normal 2 31 11" xfId="581" xr:uid="{00000000-0005-0000-0000-00003A020000}"/>
    <cellStyle name="Normal 2 31 12" xfId="582" xr:uid="{00000000-0005-0000-0000-00003B020000}"/>
    <cellStyle name="Normal 2 31 13" xfId="583" xr:uid="{00000000-0005-0000-0000-00003C020000}"/>
    <cellStyle name="Normal 2 31 14" xfId="584" xr:uid="{00000000-0005-0000-0000-00003D020000}"/>
    <cellStyle name="Normal 2 31 15" xfId="585" xr:uid="{00000000-0005-0000-0000-00003E020000}"/>
    <cellStyle name="Normal 2 31 16" xfId="586" xr:uid="{00000000-0005-0000-0000-00003F020000}"/>
    <cellStyle name="Normal 2 31 17" xfId="587" xr:uid="{00000000-0005-0000-0000-000040020000}"/>
    <cellStyle name="Normal 2 31 18" xfId="588" xr:uid="{00000000-0005-0000-0000-000041020000}"/>
    <cellStyle name="Normal 2 31 19" xfId="589" xr:uid="{00000000-0005-0000-0000-000042020000}"/>
    <cellStyle name="Normal 2 31 2" xfId="590" xr:uid="{00000000-0005-0000-0000-000043020000}"/>
    <cellStyle name="Normal 2 31 20" xfId="591" xr:uid="{00000000-0005-0000-0000-000044020000}"/>
    <cellStyle name="Normal 2 31 21" xfId="592" xr:uid="{00000000-0005-0000-0000-000045020000}"/>
    <cellStyle name="Normal 2 31 22" xfId="593" xr:uid="{00000000-0005-0000-0000-000046020000}"/>
    <cellStyle name="Normal 2 31 23" xfId="594" xr:uid="{00000000-0005-0000-0000-000047020000}"/>
    <cellStyle name="Normal 2 31 3" xfId="595" xr:uid="{00000000-0005-0000-0000-000048020000}"/>
    <cellStyle name="Normal 2 31 4" xfId="596" xr:uid="{00000000-0005-0000-0000-000049020000}"/>
    <cellStyle name="Normal 2 31 5" xfId="597" xr:uid="{00000000-0005-0000-0000-00004A020000}"/>
    <cellStyle name="Normal 2 31 6" xfId="598" xr:uid="{00000000-0005-0000-0000-00004B020000}"/>
    <cellStyle name="Normal 2 31 7" xfId="599" xr:uid="{00000000-0005-0000-0000-00004C020000}"/>
    <cellStyle name="Normal 2 31 8" xfId="600" xr:uid="{00000000-0005-0000-0000-00004D020000}"/>
    <cellStyle name="Normal 2 31 9" xfId="601" xr:uid="{00000000-0005-0000-0000-00004E020000}"/>
    <cellStyle name="Normal 2 32" xfId="602" xr:uid="{00000000-0005-0000-0000-00004F020000}"/>
    <cellStyle name="Normal 2 32 10" xfId="603" xr:uid="{00000000-0005-0000-0000-000050020000}"/>
    <cellStyle name="Normal 2 32 11" xfId="604" xr:uid="{00000000-0005-0000-0000-000051020000}"/>
    <cellStyle name="Normal 2 32 12" xfId="605" xr:uid="{00000000-0005-0000-0000-000052020000}"/>
    <cellStyle name="Normal 2 32 13" xfId="606" xr:uid="{00000000-0005-0000-0000-000053020000}"/>
    <cellStyle name="Normal 2 32 14" xfId="607" xr:uid="{00000000-0005-0000-0000-000054020000}"/>
    <cellStyle name="Normal 2 32 15" xfId="608" xr:uid="{00000000-0005-0000-0000-000055020000}"/>
    <cellStyle name="Normal 2 32 16" xfId="609" xr:uid="{00000000-0005-0000-0000-000056020000}"/>
    <cellStyle name="Normal 2 32 17" xfId="610" xr:uid="{00000000-0005-0000-0000-000057020000}"/>
    <cellStyle name="Normal 2 32 18" xfId="611" xr:uid="{00000000-0005-0000-0000-000058020000}"/>
    <cellStyle name="Normal 2 32 19" xfId="612" xr:uid="{00000000-0005-0000-0000-000059020000}"/>
    <cellStyle name="Normal 2 32 2" xfId="613" xr:uid="{00000000-0005-0000-0000-00005A020000}"/>
    <cellStyle name="Normal 2 32 20" xfId="614" xr:uid="{00000000-0005-0000-0000-00005B020000}"/>
    <cellStyle name="Normal 2 32 21" xfId="615" xr:uid="{00000000-0005-0000-0000-00005C020000}"/>
    <cellStyle name="Normal 2 32 22" xfId="616" xr:uid="{00000000-0005-0000-0000-00005D020000}"/>
    <cellStyle name="Normal 2 32 23" xfId="617" xr:uid="{00000000-0005-0000-0000-00005E020000}"/>
    <cellStyle name="Normal 2 32 3" xfId="618" xr:uid="{00000000-0005-0000-0000-00005F020000}"/>
    <cellStyle name="Normal 2 32 4" xfId="619" xr:uid="{00000000-0005-0000-0000-000060020000}"/>
    <cellStyle name="Normal 2 32 5" xfId="620" xr:uid="{00000000-0005-0000-0000-000061020000}"/>
    <cellStyle name="Normal 2 32 6" xfId="621" xr:uid="{00000000-0005-0000-0000-000062020000}"/>
    <cellStyle name="Normal 2 32 7" xfId="622" xr:uid="{00000000-0005-0000-0000-000063020000}"/>
    <cellStyle name="Normal 2 32 8" xfId="623" xr:uid="{00000000-0005-0000-0000-000064020000}"/>
    <cellStyle name="Normal 2 32 9" xfId="624" xr:uid="{00000000-0005-0000-0000-000065020000}"/>
    <cellStyle name="Normal 2 33" xfId="625" xr:uid="{00000000-0005-0000-0000-000066020000}"/>
    <cellStyle name="Normal 2 33 10" xfId="626" xr:uid="{00000000-0005-0000-0000-000067020000}"/>
    <cellStyle name="Normal 2 33 11" xfId="627" xr:uid="{00000000-0005-0000-0000-000068020000}"/>
    <cellStyle name="Normal 2 33 12" xfId="628" xr:uid="{00000000-0005-0000-0000-000069020000}"/>
    <cellStyle name="Normal 2 33 13" xfId="629" xr:uid="{00000000-0005-0000-0000-00006A020000}"/>
    <cellStyle name="Normal 2 33 14" xfId="630" xr:uid="{00000000-0005-0000-0000-00006B020000}"/>
    <cellStyle name="Normal 2 33 15" xfId="631" xr:uid="{00000000-0005-0000-0000-00006C020000}"/>
    <cellStyle name="Normal 2 33 16" xfId="632" xr:uid="{00000000-0005-0000-0000-00006D020000}"/>
    <cellStyle name="Normal 2 33 17" xfId="633" xr:uid="{00000000-0005-0000-0000-00006E020000}"/>
    <cellStyle name="Normal 2 33 18" xfId="634" xr:uid="{00000000-0005-0000-0000-00006F020000}"/>
    <cellStyle name="Normal 2 33 19" xfId="635" xr:uid="{00000000-0005-0000-0000-000070020000}"/>
    <cellStyle name="Normal 2 33 2" xfId="636" xr:uid="{00000000-0005-0000-0000-000071020000}"/>
    <cellStyle name="Normal 2 33 20" xfId="637" xr:uid="{00000000-0005-0000-0000-000072020000}"/>
    <cellStyle name="Normal 2 33 21" xfId="638" xr:uid="{00000000-0005-0000-0000-000073020000}"/>
    <cellStyle name="Normal 2 33 22" xfId="639" xr:uid="{00000000-0005-0000-0000-000074020000}"/>
    <cellStyle name="Normal 2 33 23" xfId="640" xr:uid="{00000000-0005-0000-0000-000075020000}"/>
    <cellStyle name="Normal 2 33 3" xfId="641" xr:uid="{00000000-0005-0000-0000-000076020000}"/>
    <cellStyle name="Normal 2 33 4" xfId="642" xr:uid="{00000000-0005-0000-0000-000077020000}"/>
    <cellStyle name="Normal 2 33 5" xfId="643" xr:uid="{00000000-0005-0000-0000-000078020000}"/>
    <cellStyle name="Normal 2 33 6" xfId="644" xr:uid="{00000000-0005-0000-0000-000079020000}"/>
    <cellStyle name="Normal 2 33 7" xfId="645" xr:uid="{00000000-0005-0000-0000-00007A020000}"/>
    <cellStyle name="Normal 2 33 8" xfId="646" xr:uid="{00000000-0005-0000-0000-00007B020000}"/>
    <cellStyle name="Normal 2 33 9" xfId="647" xr:uid="{00000000-0005-0000-0000-00007C020000}"/>
    <cellStyle name="Normal 2 34" xfId="648" xr:uid="{00000000-0005-0000-0000-00007D020000}"/>
    <cellStyle name="Normal 2 34 10" xfId="649" xr:uid="{00000000-0005-0000-0000-00007E020000}"/>
    <cellStyle name="Normal 2 34 11" xfId="650" xr:uid="{00000000-0005-0000-0000-00007F020000}"/>
    <cellStyle name="Normal 2 34 12" xfId="651" xr:uid="{00000000-0005-0000-0000-000080020000}"/>
    <cellStyle name="Normal 2 34 13" xfId="652" xr:uid="{00000000-0005-0000-0000-000081020000}"/>
    <cellStyle name="Normal 2 34 14" xfId="653" xr:uid="{00000000-0005-0000-0000-000082020000}"/>
    <cellStyle name="Normal 2 34 15" xfId="654" xr:uid="{00000000-0005-0000-0000-000083020000}"/>
    <cellStyle name="Normal 2 34 16" xfId="655" xr:uid="{00000000-0005-0000-0000-000084020000}"/>
    <cellStyle name="Normal 2 34 17" xfId="656" xr:uid="{00000000-0005-0000-0000-000085020000}"/>
    <cellStyle name="Normal 2 34 18" xfId="657" xr:uid="{00000000-0005-0000-0000-000086020000}"/>
    <cellStyle name="Normal 2 34 19" xfId="658" xr:uid="{00000000-0005-0000-0000-000087020000}"/>
    <cellStyle name="Normal 2 34 2" xfId="659" xr:uid="{00000000-0005-0000-0000-000088020000}"/>
    <cellStyle name="Normal 2 34 20" xfId="660" xr:uid="{00000000-0005-0000-0000-000089020000}"/>
    <cellStyle name="Normal 2 34 21" xfId="661" xr:uid="{00000000-0005-0000-0000-00008A020000}"/>
    <cellStyle name="Normal 2 34 22" xfId="662" xr:uid="{00000000-0005-0000-0000-00008B020000}"/>
    <cellStyle name="Normal 2 34 23" xfId="663" xr:uid="{00000000-0005-0000-0000-00008C020000}"/>
    <cellStyle name="Normal 2 34 3" xfId="664" xr:uid="{00000000-0005-0000-0000-00008D020000}"/>
    <cellStyle name="Normal 2 34 4" xfId="665" xr:uid="{00000000-0005-0000-0000-00008E020000}"/>
    <cellStyle name="Normal 2 34 5" xfId="666" xr:uid="{00000000-0005-0000-0000-00008F020000}"/>
    <cellStyle name="Normal 2 34 6" xfId="667" xr:uid="{00000000-0005-0000-0000-000090020000}"/>
    <cellStyle name="Normal 2 34 7" xfId="668" xr:uid="{00000000-0005-0000-0000-000091020000}"/>
    <cellStyle name="Normal 2 34 8" xfId="669" xr:uid="{00000000-0005-0000-0000-000092020000}"/>
    <cellStyle name="Normal 2 34 9" xfId="670" xr:uid="{00000000-0005-0000-0000-000093020000}"/>
    <cellStyle name="Normal 2 35" xfId="671" xr:uid="{00000000-0005-0000-0000-000094020000}"/>
    <cellStyle name="Normal 2 35 10" xfId="672" xr:uid="{00000000-0005-0000-0000-000095020000}"/>
    <cellStyle name="Normal 2 35 11" xfId="673" xr:uid="{00000000-0005-0000-0000-000096020000}"/>
    <cellStyle name="Normal 2 35 12" xfId="674" xr:uid="{00000000-0005-0000-0000-000097020000}"/>
    <cellStyle name="Normal 2 35 13" xfId="675" xr:uid="{00000000-0005-0000-0000-000098020000}"/>
    <cellStyle name="Normal 2 35 14" xfId="676" xr:uid="{00000000-0005-0000-0000-000099020000}"/>
    <cellStyle name="Normal 2 35 15" xfId="677" xr:uid="{00000000-0005-0000-0000-00009A020000}"/>
    <cellStyle name="Normal 2 35 16" xfId="678" xr:uid="{00000000-0005-0000-0000-00009B020000}"/>
    <cellStyle name="Normal 2 35 17" xfId="679" xr:uid="{00000000-0005-0000-0000-00009C020000}"/>
    <cellStyle name="Normal 2 35 18" xfId="680" xr:uid="{00000000-0005-0000-0000-00009D020000}"/>
    <cellStyle name="Normal 2 35 19" xfId="681" xr:uid="{00000000-0005-0000-0000-00009E020000}"/>
    <cellStyle name="Normal 2 35 2" xfId="682" xr:uid="{00000000-0005-0000-0000-00009F020000}"/>
    <cellStyle name="Normal 2 35 20" xfId="683" xr:uid="{00000000-0005-0000-0000-0000A0020000}"/>
    <cellStyle name="Normal 2 35 21" xfId="684" xr:uid="{00000000-0005-0000-0000-0000A1020000}"/>
    <cellStyle name="Normal 2 35 22" xfId="685" xr:uid="{00000000-0005-0000-0000-0000A2020000}"/>
    <cellStyle name="Normal 2 35 23" xfId="686" xr:uid="{00000000-0005-0000-0000-0000A3020000}"/>
    <cellStyle name="Normal 2 35 3" xfId="687" xr:uid="{00000000-0005-0000-0000-0000A4020000}"/>
    <cellStyle name="Normal 2 35 4" xfId="688" xr:uid="{00000000-0005-0000-0000-0000A5020000}"/>
    <cellStyle name="Normal 2 35 5" xfId="689" xr:uid="{00000000-0005-0000-0000-0000A6020000}"/>
    <cellStyle name="Normal 2 35 6" xfId="690" xr:uid="{00000000-0005-0000-0000-0000A7020000}"/>
    <cellStyle name="Normal 2 35 7" xfId="691" xr:uid="{00000000-0005-0000-0000-0000A8020000}"/>
    <cellStyle name="Normal 2 35 8" xfId="692" xr:uid="{00000000-0005-0000-0000-0000A9020000}"/>
    <cellStyle name="Normal 2 35 9" xfId="693" xr:uid="{00000000-0005-0000-0000-0000AA020000}"/>
    <cellStyle name="Normal 2 36" xfId="694" xr:uid="{00000000-0005-0000-0000-0000AB020000}"/>
    <cellStyle name="Normal 2 36 10" xfId="695" xr:uid="{00000000-0005-0000-0000-0000AC020000}"/>
    <cellStyle name="Normal 2 36 11" xfId="696" xr:uid="{00000000-0005-0000-0000-0000AD020000}"/>
    <cellStyle name="Normal 2 36 12" xfId="697" xr:uid="{00000000-0005-0000-0000-0000AE020000}"/>
    <cellStyle name="Normal 2 36 13" xfId="698" xr:uid="{00000000-0005-0000-0000-0000AF020000}"/>
    <cellStyle name="Normal 2 36 14" xfId="699" xr:uid="{00000000-0005-0000-0000-0000B0020000}"/>
    <cellStyle name="Normal 2 36 15" xfId="700" xr:uid="{00000000-0005-0000-0000-0000B1020000}"/>
    <cellStyle name="Normal 2 36 16" xfId="701" xr:uid="{00000000-0005-0000-0000-0000B2020000}"/>
    <cellStyle name="Normal 2 36 17" xfId="702" xr:uid="{00000000-0005-0000-0000-0000B3020000}"/>
    <cellStyle name="Normal 2 36 18" xfId="703" xr:uid="{00000000-0005-0000-0000-0000B4020000}"/>
    <cellStyle name="Normal 2 36 19" xfId="704" xr:uid="{00000000-0005-0000-0000-0000B5020000}"/>
    <cellStyle name="Normal 2 36 2" xfId="705" xr:uid="{00000000-0005-0000-0000-0000B6020000}"/>
    <cellStyle name="Normal 2 36 20" xfId="706" xr:uid="{00000000-0005-0000-0000-0000B7020000}"/>
    <cellStyle name="Normal 2 36 21" xfId="707" xr:uid="{00000000-0005-0000-0000-0000B8020000}"/>
    <cellStyle name="Normal 2 36 22" xfId="708" xr:uid="{00000000-0005-0000-0000-0000B9020000}"/>
    <cellStyle name="Normal 2 36 23" xfId="709" xr:uid="{00000000-0005-0000-0000-0000BA020000}"/>
    <cellStyle name="Normal 2 36 3" xfId="710" xr:uid="{00000000-0005-0000-0000-0000BB020000}"/>
    <cellStyle name="Normal 2 36 4" xfId="711" xr:uid="{00000000-0005-0000-0000-0000BC020000}"/>
    <cellStyle name="Normal 2 36 5" xfId="712" xr:uid="{00000000-0005-0000-0000-0000BD020000}"/>
    <cellStyle name="Normal 2 36 6" xfId="713" xr:uid="{00000000-0005-0000-0000-0000BE020000}"/>
    <cellStyle name="Normal 2 36 7" xfId="714" xr:uid="{00000000-0005-0000-0000-0000BF020000}"/>
    <cellStyle name="Normal 2 36 8" xfId="715" xr:uid="{00000000-0005-0000-0000-0000C0020000}"/>
    <cellStyle name="Normal 2 36 9" xfId="716" xr:uid="{00000000-0005-0000-0000-0000C1020000}"/>
    <cellStyle name="Normal 2 37" xfId="717" xr:uid="{00000000-0005-0000-0000-0000C2020000}"/>
    <cellStyle name="Normal 2 37 10" xfId="718" xr:uid="{00000000-0005-0000-0000-0000C3020000}"/>
    <cellStyle name="Normal 2 37 11" xfId="719" xr:uid="{00000000-0005-0000-0000-0000C4020000}"/>
    <cellStyle name="Normal 2 37 12" xfId="720" xr:uid="{00000000-0005-0000-0000-0000C5020000}"/>
    <cellStyle name="Normal 2 37 13" xfId="721" xr:uid="{00000000-0005-0000-0000-0000C6020000}"/>
    <cellStyle name="Normal 2 37 14" xfId="722" xr:uid="{00000000-0005-0000-0000-0000C7020000}"/>
    <cellStyle name="Normal 2 37 15" xfId="723" xr:uid="{00000000-0005-0000-0000-0000C8020000}"/>
    <cellStyle name="Normal 2 37 16" xfId="724" xr:uid="{00000000-0005-0000-0000-0000C9020000}"/>
    <cellStyle name="Normal 2 37 17" xfId="725" xr:uid="{00000000-0005-0000-0000-0000CA020000}"/>
    <cellStyle name="Normal 2 37 18" xfId="726" xr:uid="{00000000-0005-0000-0000-0000CB020000}"/>
    <cellStyle name="Normal 2 37 19" xfId="727" xr:uid="{00000000-0005-0000-0000-0000CC020000}"/>
    <cellStyle name="Normal 2 37 2" xfId="728" xr:uid="{00000000-0005-0000-0000-0000CD020000}"/>
    <cellStyle name="Normal 2 37 20" xfId="729" xr:uid="{00000000-0005-0000-0000-0000CE020000}"/>
    <cellStyle name="Normal 2 37 21" xfId="730" xr:uid="{00000000-0005-0000-0000-0000CF020000}"/>
    <cellStyle name="Normal 2 37 22" xfId="731" xr:uid="{00000000-0005-0000-0000-0000D0020000}"/>
    <cellStyle name="Normal 2 37 23" xfId="732" xr:uid="{00000000-0005-0000-0000-0000D1020000}"/>
    <cellStyle name="Normal 2 37 3" xfId="733" xr:uid="{00000000-0005-0000-0000-0000D2020000}"/>
    <cellStyle name="Normal 2 37 4" xfId="734" xr:uid="{00000000-0005-0000-0000-0000D3020000}"/>
    <cellStyle name="Normal 2 37 5" xfId="735" xr:uid="{00000000-0005-0000-0000-0000D4020000}"/>
    <cellStyle name="Normal 2 37 6" xfId="736" xr:uid="{00000000-0005-0000-0000-0000D5020000}"/>
    <cellStyle name="Normal 2 37 7" xfId="737" xr:uid="{00000000-0005-0000-0000-0000D6020000}"/>
    <cellStyle name="Normal 2 37 8" xfId="738" xr:uid="{00000000-0005-0000-0000-0000D7020000}"/>
    <cellStyle name="Normal 2 37 9" xfId="739" xr:uid="{00000000-0005-0000-0000-0000D8020000}"/>
    <cellStyle name="Normal 2 38" xfId="740" xr:uid="{00000000-0005-0000-0000-0000D9020000}"/>
    <cellStyle name="Normal 2 38 10" xfId="741" xr:uid="{00000000-0005-0000-0000-0000DA020000}"/>
    <cellStyle name="Normal 2 38 11" xfId="742" xr:uid="{00000000-0005-0000-0000-0000DB020000}"/>
    <cellStyle name="Normal 2 38 12" xfId="743" xr:uid="{00000000-0005-0000-0000-0000DC020000}"/>
    <cellStyle name="Normal 2 38 13" xfId="744" xr:uid="{00000000-0005-0000-0000-0000DD020000}"/>
    <cellStyle name="Normal 2 38 14" xfId="745" xr:uid="{00000000-0005-0000-0000-0000DE020000}"/>
    <cellStyle name="Normal 2 38 15" xfId="746" xr:uid="{00000000-0005-0000-0000-0000DF020000}"/>
    <cellStyle name="Normal 2 38 16" xfId="747" xr:uid="{00000000-0005-0000-0000-0000E0020000}"/>
    <cellStyle name="Normal 2 38 17" xfId="748" xr:uid="{00000000-0005-0000-0000-0000E1020000}"/>
    <cellStyle name="Normal 2 38 18" xfId="749" xr:uid="{00000000-0005-0000-0000-0000E2020000}"/>
    <cellStyle name="Normal 2 38 19" xfId="750" xr:uid="{00000000-0005-0000-0000-0000E3020000}"/>
    <cellStyle name="Normal 2 38 2" xfId="751" xr:uid="{00000000-0005-0000-0000-0000E4020000}"/>
    <cellStyle name="Normal 2 38 20" xfId="752" xr:uid="{00000000-0005-0000-0000-0000E5020000}"/>
    <cellStyle name="Normal 2 38 21" xfId="753" xr:uid="{00000000-0005-0000-0000-0000E6020000}"/>
    <cellStyle name="Normal 2 38 22" xfId="754" xr:uid="{00000000-0005-0000-0000-0000E7020000}"/>
    <cellStyle name="Normal 2 38 23" xfId="755" xr:uid="{00000000-0005-0000-0000-0000E8020000}"/>
    <cellStyle name="Normal 2 38 3" xfId="756" xr:uid="{00000000-0005-0000-0000-0000E9020000}"/>
    <cellStyle name="Normal 2 38 4" xfId="757" xr:uid="{00000000-0005-0000-0000-0000EA020000}"/>
    <cellStyle name="Normal 2 38 5" xfId="758" xr:uid="{00000000-0005-0000-0000-0000EB020000}"/>
    <cellStyle name="Normal 2 38 6" xfId="759" xr:uid="{00000000-0005-0000-0000-0000EC020000}"/>
    <cellStyle name="Normal 2 38 7" xfId="760" xr:uid="{00000000-0005-0000-0000-0000ED020000}"/>
    <cellStyle name="Normal 2 38 8" xfId="761" xr:uid="{00000000-0005-0000-0000-0000EE020000}"/>
    <cellStyle name="Normal 2 38 9" xfId="762" xr:uid="{00000000-0005-0000-0000-0000EF020000}"/>
    <cellStyle name="Normal 2 39" xfId="763" xr:uid="{00000000-0005-0000-0000-0000F0020000}"/>
    <cellStyle name="Normal 2 39 10" xfId="764" xr:uid="{00000000-0005-0000-0000-0000F1020000}"/>
    <cellStyle name="Normal 2 39 11" xfId="765" xr:uid="{00000000-0005-0000-0000-0000F2020000}"/>
    <cellStyle name="Normal 2 39 12" xfId="766" xr:uid="{00000000-0005-0000-0000-0000F3020000}"/>
    <cellStyle name="Normal 2 39 13" xfId="767" xr:uid="{00000000-0005-0000-0000-0000F4020000}"/>
    <cellStyle name="Normal 2 39 14" xfId="768" xr:uid="{00000000-0005-0000-0000-0000F5020000}"/>
    <cellStyle name="Normal 2 39 15" xfId="769" xr:uid="{00000000-0005-0000-0000-0000F6020000}"/>
    <cellStyle name="Normal 2 39 16" xfId="770" xr:uid="{00000000-0005-0000-0000-0000F7020000}"/>
    <cellStyle name="Normal 2 39 17" xfId="771" xr:uid="{00000000-0005-0000-0000-0000F8020000}"/>
    <cellStyle name="Normal 2 39 18" xfId="772" xr:uid="{00000000-0005-0000-0000-0000F9020000}"/>
    <cellStyle name="Normal 2 39 19" xfId="773" xr:uid="{00000000-0005-0000-0000-0000FA020000}"/>
    <cellStyle name="Normal 2 39 2" xfId="774" xr:uid="{00000000-0005-0000-0000-0000FB020000}"/>
    <cellStyle name="Normal 2 39 20" xfId="775" xr:uid="{00000000-0005-0000-0000-0000FC020000}"/>
    <cellStyle name="Normal 2 39 21" xfId="776" xr:uid="{00000000-0005-0000-0000-0000FD020000}"/>
    <cellStyle name="Normal 2 39 22" xfId="777" xr:uid="{00000000-0005-0000-0000-0000FE020000}"/>
    <cellStyle name="Normal 2 39 23" xfId="778" xr:uid="{00000000-0005-0000-0000-0000FF020000}"/>
    <cellStyle name="Normal 2 39 3" xfId="779" xr:uid="{00000000-0005-0000-0000-000000030000}"/>
    <cellStyle name="Normal 2 39 4" xfId="780" xr:uid="{00000000-0005-0000-0000-000001030000}"/>
    <cellStyle name="Normal 2 39 5" xfId="781" xr:uid="{00000000-0005-0000-0000-000002030000}"/>
    <cellStyle name="Normal 2 39 6" xfId="782" xr:uid="{00000000-0005-0000-0000-000003030000}"/>
    <cellStyle name="Normal 2 39 7" xfId="783" xr:uid="{00000000-0005-0000-0000-000004030000}"/>
    <cellStyle name="Normal 2 39 8" xfId="784" xr:uid="{00000000-0005-0000-0000-000005030000}"/>
    <cellStyle name="Normal 2 39 9" xfId="785" xr:uid="{00000000-0005-0000-0000-000006030000}"/>
    <cellStyle name="Normal 2 4" xfId="786" xr:uid="{00000000-0005-0000-0000-000007030000}"/>
    <cellStyle name="Normal 2 4 2" xfId="2374" xr:uid="{00000000-0005-0000-0000-000011040000}"/>
    <cellStyle name="Normal 2 4 3" xfId="2375" xr:uid="{00000000-0005-0000-0000-000012040000}"/>
    <cellStyle name="Normal 2 40" xfId="787" xr:uid="{00000000-0005-0000-0000-000008030000}"/>
    <cellStyle name="Normal 2 41" xfId="788" xr:uid="{00000000-0005-0000-0000-000009030000}"/>
    <cellStyle name="Normal 2 42" xfId="789" xr:uid="{00000000-0005-0000-0000-00000A030000}"/>
    <cellStyle name="Normal 2 43" xfId="790" xr:uid="{00000000-0005-0000-0000-00000B030000}"/>
    <cellStyle name="Normal 2 44" xfId="791" xr:uid="{00000000-0005-0000-0000-00000C030000}"/>
    <cellStyle name="Normal 2 45" xfId="792" xr:uid="{00000000-0005-0000-0000-00000D030000}"/>
    <cellStyle name="Normal 2 46" xfId="793" xr:uid="{00000000-0005-0000-0000-00000E030000}"/>
    <cellStyle name="Normal 2 47" xfId="794" xr:uid="{00000000-0005-0000-0000-00000F030000}"/>
    <cellStyle name="Normal 2 48" xfId="795" xr:uid="{00000000-0005-0000-0000-000010030000}"/>
    <cellStyle name="Normal 2 49" xfId="796" xr:uid="{00000000-0005-0000-0000-000011030000}"/>
    <cellStyle name="Normal 2 5" xfId="797" xr:uid="{00000000-0005-0000-0000-000012030000}"/>
    <cellStyle name="Normal 2 5 10" xfId="798" xr:uid="{00000000-0005-0000-0000-000013030000}"/>
    <cellStyle name="Normal 2 5 11" xfId="799" xr:uid="{00000000-0005-0000-0000-000014030000}"/>
    <cellStyle name="Normal 2 5 12" xfId="800" xr:uid="{00000000-0005-0000-0000-000015030000}"/>
    <cellStyle name="Normal 2 5 13" xfId="801" xr:uid="{00000000-0005-0000-0000-000016030000}"/>
    <cellStyle name="Normal 2 5 14" xfId="802" xr:uid="{00000000-0005-0000-0000-000017030000}"/>
    <cellStyle name="Normal 2 5 15" xfId="803" xr:uid="{00000000-0005-0000-0000-000018030000}"/>
    <cellStyle name="Normal 2 5 16" xfId="804" xr:uid="{00000000-0005-0000-0000-000019030000}"/>
    <cellStyle name="Normal 2 5 17" xfId="805" xr:uid="{00000000-0005-0000-0000-00001A030000}"/>
    <cellStyle name="Normal 2 5 18" xfId="806" xr:uid="{00000000-0005-0000-0000-00001B030000}"/>
    <cellStyle name="Normal 2 5 19" xfId="807" xr:uid="{00000000-0005-0000-0000-00001C030000}"/>
    <cellStyle name="Normal 2 5 2" xfId="808" xr:uid="{00000000-0005-0000-0000-00001D030000}"/>
    <cellStyle name="Normal 2 5 2 10" xfId="809" xr:uid="{00000000-0005-0000-0000-00001E030000}"/>
    <cellStyle name="Normal 2 5 2 11" xfId="810" xr:uid="{00000000-0005-0000-0000-00001F030000}"/>
    <cellStyle name="Normal 2 5 2 12" xfId="811" xr:uid="{00000000-0005-0000-0000-000020030000}"/>
    <cellStyle name="Normal 2 5 2 13" xfId="812" xr:uid="{00000000-0005-0000-0000-000021030000}"/>
    <cellStyle name="Normal 2 5 2 14" xfId="813" xr:uid="{00000000-0005-0000-0000-000022030000}"/>
    <cellStyle name="Normal 2 5 2 15" xfId="814" xr:uid="{00000000-0005-0000-0000-000023030000}"/>
    <cellStyle name="Normal 2 5 2 16" xfId="815" xr:uid="{00000000-0005-0000-0000-000024030000}"/>
    <cellStyle name="Normal 2 5 2 17" xfId="816" xr:uid="{00000000-0005-0000-0000-000025030000}"/>
    <cellStyle name="Normal 2 5 2 18" xfId="817" xr:uid="{00000000-0005-0000-0000-000026030000}"/>
    <cellStyle name="Normal 2 5 2 19" xfId="818" xr:uid="{00000000-0005-0000-0000-000027030000}"/>
    <cellStyle name="Normal 2 5 2 2" xfId="819" xr:uid="{00000000-0005-0000-0000-000028030000}"/>
    <cellStyle name="Normal 2 5 2 2 10" xfId="820" xr:uid="{00000000-0005-0000-0000-000029030000}"/>
    <cellStyle name="Normal 2 5 2 2 11" xfId="821" xr:uid="{00000000-0005-0000-0000-00002A030000}"/>
    <cellStyle name="Normal 2 5 2 2 12" xfId="822" xr:uid="{00000000-0005-0000-0000-00002B030000}"/>
    <cellStyle name="Normal 2 5 2 2 13" xfId="823" xr:uid="{00000000-0005-0000-0000-00002C030000}"/>
    <cellStyle name="Normal 2 5 2 2 14" xfId="824" xr:uid="{00000000-0005-0000-0000-00002D030000}"/>
    <cellStyle name="Normal 2 5 2 2 15" xfId="825" xr:uid="{00000000-0005-0000-0000-00002E030000}"/>
    <cellStyle name="Normal 2 5 2 2 16" xfId="826" xr:uid="{00000000-0005-0000-0000-00002F030000}"/>
    <cellStyle name="Normal 2 5 2 2 17" xfId="827" xr:uid="{00000000-0005-0000-0000-000030030000}"/>
    <cellStyle name="Normal 2 5 2 2 18" xfId="828" xr:uid="{00000000-0005-0000-0000-000031030000}"/>
    <cellStyle name="Normal 2 5 2 2 19" xfId="829" xr:uid="{00000000-0005-0000-0000-000032030000}"/>
    <cellStyle name="Normal 2 5 2 2 2" xfId="830" xr:uid="{00000000-0005-0000-0000-000033030000}"/>
    <cellStyle name="Normal 2 5 2 2 20" xfId="831" xr:uid="{00000000-0005-0000-0000-000034030000}"/>
    <cellStyle name="Normal 2 5 2 2 21" xfId="832" xr:uid="{00000000-0005-0000-0000-000035030000}"/>
    <cellStyle name="Normal 2 5 2 2 22" xfId="833" xr:uid="{00000000-0005-0000-0000-000036030000}"/>
    <cellStyle name="Normal 2 5 2 2 23" xfId="834" xr:uid="{00000000-0005-0000-0000-000037030000}"/>
    <cellStyle name="Normal 2 5 2 2 24" xfId="835" xr:uid="{00000000-0005-0000-0000-000038030000}"/>
    <cellStyle name="Normal 2 5 2 2 25" xfId="836" xr:uid="{00000000-0005-0000-0000-000039030000}"/>
    <cellStyle name="Normal 2 5 2 2 26" xfId="837" xr:uid="{00000000-0005-0000-0000-00003A030000}"/>
    <cellStyle name="Normal 2 5 2 2 27" xfId="838" xr:uid="{00000000-0005-0000-0000-00003B030000}"/>
    <cellStyle name="Normal 2 5 2 2 28" xfId="839" xr:uid="{00000000-0005-0000-0000-00003C030000}"/>
    <cellStyle name="Normal 2 5 2 2 29" xfId="840" xr:uid="{00000000-0005-0000-0000-00003D030000}"/>
    <cellStyle name="Normal 2 5 2 2 3" xfId="841" xr:uid="{00000000-0005-0000-0000-00003E030000}"/>
    <cellStyle name="Normal 2 5 2 2 30" xfId="842" xr:uid="{00000000-0005-0000-0000-00003F030000}"/>
    <cellStyle name="Normal 2 5 2 2 31" xfId="843" xr:uid="{00000000-0005-0000-0000-000040030000}"/>
    <cellStyle name="Normal 2 5 2 2 32" xfId="844" xr:uid="{00000000-0005-0000-0000-000041030000}"/>
    <cellStyle name="Normal 2 5 2 2 33" xfId="845" xr:uid="{00000000-0005-0000-0000-000042030000}"/>
    <cellStyle name="Normal 2 5 2 2 34" xfId="846" xr:uid="{00000000-0005-0000-0000-000043030000}"/>
    <cellStyle name="Normal 2 5 2 2 35" xfId="847" xr:uid="{00000000-0005-0000-0000-000044030000}"/>
    <cellStyle name="Normal 2 5 2 2 36" xfId="848" xr:uid="{00000000-0005-0000-0000-000045030000}"/>
    <cellStyle name="Normal 2 5 2 2 37" xfId="849" xr:uid="{00000000-0005-0000-0000-000046030000}"/>
    <cellStyle name="Normal 2 5 2 2 38" xfId="850" xr:uid="{00000000-0005-0000-0000-000047030000}"/>
    <cellStyle name="Normal 2 5 2 2 39" xfId="851" xr:uid="{00000000-0005-0000-0000-000048030000}"/>
    <cellStyle name="Normal 2 5 2 2 4" xfId="852" xr:uid="{00000000-0005-0000-0000-000049030000}"/>
    <cellStyle name="Normal 2 5 2 2 40" xfId="853" xr:uid="{00000000-0005-0000-0000-00004A030000}"/>
    <cellStyle name="Normal 2 5 2 2 41" xfId="854" xr:uid="{00000000-0005-0000-0000-00004B030000}"/>
    <cellStyle name="Normal 2 5 2 2 42" xfId="855" xr:uid="{00000000-0005-0000-0000-00004C030000}"/>
    <cellStyle name="Normal 2 5 2 2 43" xfId="856" xr:uid="{00000000-0005-0000-0000-00004D030000}"/>
    <cellStyle name="Normal 2 5 2 2 44" xfId="857" xr:uid="{00000000-0005-0000-0000-00004E030000}"/>
    <cellStyle name="Normal 2 5 2 2 45" xfId="858" xr:uid="{00000000-0005-0000-0000-00004F030000}"/>
    <cellStyle name="Normal 2 5 2 2 46" xfId="859" xr:uid="{00000000-0005-0000-0000-000050030000}"/>
    <cellStyle name="Normal 2 5 2 2 47" xfId="860" xr:uid="{00000000-0005-0000-0000-000051030000}"/>
    <cellStyle name="Normal 2 5 2 2 48" xfId="861" xr:uid="{00000000-0005-0000-0000-000052030000}"/>
    <cellStyle name="Normal 2 5 2 2 49" xfId="862" xr:uid="{00000000-0005-0000-0000-000053030000}"/>
    <cellStyle name="Normal 2 5 2 2 5" xfId="863" xr:uid="{00000000-0005-0000-0000-000054030000}"/>
    <cellStyle name="Normal 2 5 2 2 50" xfId="864" xr:uid="{00000000-0005-0000-0000-000055030000}"/>
    <cellStyle name="Normal 2 5 2 2 51" xfId="865" xr:uid="{00000000-0005-0000-0000-000056030000}"/>
    <cellStyle name="Normal 2 5 2 2 52" xfId="866" xr:uid="{00000000-0005-0000-0000-000057030000}"/>
    <cellStyle name="Normal 2 5 2 2 53" xfId="867" xr:uid="{00000000-0005-0000-0000-000058030000}"/>
    <cellStyle name="Normal 2 5 2 2 54" xfId="868" xr:uid="{00000000-0005-0000-0000-000059030000}"/>
    <cellStyle name="Normal 2 5 2 2 55" xfId="869" xr:uid="{00000000-0005-0000-0000-00005A030000}"/>
    <cellStyle name="Normal 2 5 2 2 6" xfId="870" xr:uid="{00000000-0005-0000-0000-00005B030000}"/>
    <cellStyle name="Normal 2 5 2 2 7" xfId="871" xr:uid="{00000000-0005-0000-0000-00005C030000}"/>
    <cellStyle name="Normal 2 5 2 2 8" xfId="872" xr:uid="{00000000-0005-0000-0000-00005D030000}"/>
    <cellStyle name="Normal 2 5 2 2 9" xfId="873" xr:uid="{00000000-0005-0000-0000-00005E030000}"/>
    <cellStyle name="Normal 2 5 2 20" xfId="874" xr:uid="{00000000-0005-0000-0000-00005F030000}"/>
    <cellStyle name="Normal 2 5 2 21" xfId="875" xr:uid="{00000000-0005-0000-0000-000060030000}"/>
    <cellStyle name="Normal 2 5 2 22" xfId="876" xr:uid="{00000000-0005-0000-0000-000061030000}"/>
    <cellStyle name="Normal 2 5 2 23" xfId="877" xr:uid="{00000000-0005-0000-0000-000062030000}"/>
    <cellStyle name="Normal 2 5 2 24" xfId="878" xr:uid="{00000000-0005-0000-0000-000063030000}"/>
    <cellStyle name="Normal 2 5 2 25" xfId="879" xr:uid="{00000000-0005-0000-0000-000064030000}"/>
    <cellStyle name="Normal 2 5 2 26" xfId="880" xr:uid="{00000000-0005-0000-0000-000065030000}"/>
    <cellStyle name="Normal 2 5 2 27" xfId="881" xr:uid="{00000000-0005-0000-0000-000066030000}"/>
    <cellStyle name="Normal 2 5 2 28" xfId="882" xr:uid="{00000000-0005-0000-0000-000067030000}"/>
    <cellStyle name="Normal 2 5 2 29" xfId="883" xr:uid="{00000000-0005-0000-0000-000068030000}"/>
    <cellStyle name="Normal 2 5 2 3" xfId="884" xr:uid="{00000000-0005-0000-0000-000069030000}"/>
    <cellStyle name="Normal 2 5 2 30" xfId="885" xr:uid="{00000000-0005-0000-0000-00006A030000}"/>
    <cellStyle name="Normal 2 5 2 31" xfId="886" xr:uid="{00000000-0005-0000-0000-00006B030000}"/>
    <cellStyle name="Normal 2 5 2 32" xfId="887" xr:uid="{00000000-0005-0000-0000-00006C030000}"/>
    <cellStyle name="Normal 2 5 2 33" xfId="888" xr:uid="{00000000-0005-0000-0000-00006D030000}"/>
    <cellStyle name="Normal 2 5 2 4" xfId="889" xr:uid="{00000000-0005-0000-0000-00006E030000}"/>
    <cellStyle name="Normal 2 5 2 5" xfId="890" xr:uid="{00000000-0005-0000-0000-00006F030000}"/>
    <cellStyle name="Normal 2 5 2 6" xfId="891" xr:uid="{00000000-0005-0000-0000-000070030000}"/>
    <cellStyle name="Normal 2 5 2 7" xfId="892" xr:uid="{00000000-0005-0000-0000-000071030000}"/>
    <cellStyle name="Normal 2 5 2 8" xfId="893" xr:uid="{00000000-0005-0000-0000-000072030000}"/>
    <cellStyle name="Normal 2 5 2 9" xfId="894" xr:uid="{00000000-0005-0000-0000-000073030000}"/>
    <cellStyle name="Normal 2 5 20" xfId="895" xr:uid="{00000000-0005-0000-0000-000074030000}"/>
    <cellStyle name="Normal 2 5 21" xfId="896" xr:uid="{00000000-0005-0000-0000-000075030000}"/>
    <cellStyle name="Normal 2 5 22" xfId="897" xr:uid="{00000000-0005-0000-0000-000076030000}"/>
    <cellStyle name="Normal 2 5 23" xfId="898" xr:uid="{00000000-0005-0000-0000-000077030000}"/>
    <cellStyle name="Normal 2 5 24" xfId="899" xr:uid="{00000000-0005-0000-0000-000078030000}"/>
    <cellStyle name="Normal 2 5 25" xfId="900" xr:uid="{00000000-0005-0000-0000-000079030000}"/>
    <cellStyle name="Normal 2 5 26" xfId="901" xr:uid="{00000000-0005-0000-0000-00007A030000}"/>
    <cellStyle name="Normal 2 5 27" xfId="902" xr:uid="{00000000-0005-0000-0000-00007B030000}"/>
    <cellStyle name="Normal 2 5 28" xfId="903" xr:uid="{00000000-0005-0000-0000-00007C030000}"/>
    <cellStyle name="Normal 2 5 29" xfId="904" xr:uid="{00000000-0005-0000-0000-00007D030000}"/>
    <cellStyle name="Normal 2 5 3" xfId="905" xr:uid="{00000000-0005-0000-0000-00007E030000}"/>
    <cellStyle name="Normal 2 5 30" xfId="906" xr:uid="{00000000-0005-0000-0000-00007F030000}"/>
    <cellStyle name="Normal 2 5 31" xfId="907" xr:uid="{00000000-0005-0000-0000-000080030000}"/>
    <cellStyle name="Normal 2 5 32" xfId="908" xr:uid="{00000000-0005-0000-0000-000081030000}"/>
    <cellStyle name="Normal 2 5 33" xfId="909" xr:uid="{00000000-0005-0000-0000-000082030000}"/>
    <cellStyle name="Normal 2 5 34" xfId="910" xr:uid="{00000000-0005-0000-0000-000083030000}"/>
    <cellStyle name="Normal 2 5 35" xfId="911" xr:uid="{00000000-0005-0000-0000-000084030000}"/>
    <cellStyle name="Normal 2 5 36" xfId="912" xr:uid="{00000000-0005-0000-0000-000085030000}"/>
    <cellStyle name="Normal 2 5 37" xfId="913" xr:uid="{00000000-0005-0000-0000-000086030000}"/>
    <cellStyle name="Normal 2 5 38" xfId="914" xr:uid="{00000000-0005-0000-0000-000087030000}"/>
    <cellStyle name="Normal 2 5 39" xfId="915" xr:uid="{00000000-0005-0000-0000-000088030000}"/>
    <cellStyle name="Normal 2 5 4" xfId="916" xr:uid="{00000000-0005-0000-0000-000089030000}"/>
    <cellStyle name="Normal 2 5 40" xfId="917" xr:uid="{00000000-0005-0000-0000-00008A030000}"/>
    <cellStyle name="Normal 2 5 41" xfId="918" xr:uid="{00000000-0005-0000-0000-00008B030000}"/>
    <cellStyle name="Normal 2 5 42" xfId="919" xr:uid="{00000000-0005-0000-0000-00008C030000}"/>
    <cellStyle name="Normal 2 5 43" xfId="920" xr:uid="{00000000-0005-0000-0000-00008D030000}"/>
    <cellStyle name="Normal 2 5 44" xfId="921" xr:uid="{00000000-0005-0000-0000-00008E030000}"/>
    <cellStyle name="Normal 2 5 45" xfId="922" xr:uid="{00000000-0005-0000-0000-00008F030000}"/>
    <cellStyle name="Normal 2 5 46" xfId="923" xr:uid="{00000000-0005-0000-0000-000090030000}"/>
    <cellStyle name="Normal 2 5 47" xfId="924" xr:uid="{00000000-0005-0000-0000-000091030000}"/>
    <cellStyle name="Normal 2 5 48" xfId="925" xr:uid="{00000000-0005-0000-0000-000092030000}"/>
    <cellStyle name="Normal 2 5 49" xfId="926" xr:uid="{00000000-0005-0000-0000-000093030000}"/>
    <cellStyle name="Normal 2 5 5" xfId="927" xr:uid="{00000000-0005-0000-0000-000094030000}"/>
    <cellStyle name="Normal 2 5 50" xfId="928" xr:uid="{00000000-0005-0000-0000-000095030000}"/>
    <cellStyle name="Normal 2 5 51" xfId="929" xr:uid="{00000000-0005-0000-0000-000096030000}"/>
    <cellStyle name="Normal 2 5 52" xfId="930" xr:uid="{00000000-0005-0000-0000-000097030000}"/>
    <cellStyle name="Normal 2 5 53" xfId="931" xr:uid="{00000000-0005-0000-0000-000098030000}"/>
    <cellStyle name="Normal 2 5 54" xfId="932" xr:uid="{00000000-0005-0000-0000-000099030000}"/>
    <cellStyle name="Normal 2 5 55" xfId="933" xr:uid="{00000000-0005-0000-0000-00009A030000}"/>
    <cellStyle name="Normal 2 5 56" xfId="934" xr:uid="{00000000-0005-0000-0000-00009B030000}"/>
    <cellStyle name="Normal 2 5 57" xfId="935" xr:uid="{00000000-0005-0000-0000-00009C030000}"/>
    <cellStyle name="Normal 2 5 58" xfId="936" xr:uid="{00000000-0005-0000-0000-00009D030000}"/>
    <cellStyle name="Normal 2 5 59" xfId="937" xr:uid="{00000000-0005-0000-0000-00009E030000}"/>
    <cellStyle name="Normal 2 5 6" xfId="938" xr:uid="{00000000-0005-0000-0000-00009F030000}"/>
    <cellStyle name="Normal 2 5 60" xfId="939" xr:uid="{00000000-0005-0000-0000-0000A0030000}"/>
    <cellStyle name="Normal 2 5 61" xfId="940" xr:uid="{00000000-0005-0000-0000-0000A1030000}"/>
    <cellStyle name="Normal 2 5 62" xfId="941" xr:uid="{00000000-0005-0000-0000-0000A2030000}"/>
    <cellStyle name="Normal 2 5 63" xfId="942" xr:uid="{00000000-0005-0000-0000-0000A3030000}"/>
    <cellStyle name="Normal 2 5 64" xfId="943" xr:uid="{00000000-0005-0000-0000-0000A4030000}"/>
    <cellStyle name="Normal 2 5 65" xfId="944" xr:uid="{00000000-0005-0000-0000-0000A5030000}"/>
    <cellStyle name="Normal 2 5 66" xfId="945" xr:uid="{00000000-0005-0000-0000-0000A6030000}"/>
    <cellStyle name="Normal 2 5 67" xfId="946" xr:uid="{00000000-0005-0000-0000-0000A7030000}"/>
    <cellStyle name="Normal 2 5 68" xfId="947" xr:uid="{00000000-0005-0000-0000-0000A8030000}"/>
    <cellStyle name="Normal 2 5 69" xfId="948" xr:uid="{00000000-0005-0000-0000-0000A9030000}"/>
    <cellStyle name="Normal 2 5 7" xfId="949" xr:uid="{00000000-0005-0000-0000-0000AA030000}"/>
    <cellStyle name="Normal 2 5 70" xfId="950" xr:uid="{00000000-0005-0000-0000-0000AB030000}"/>
    <cellStyle name="Normal 2 5 71" xfId="951" xr:uid="{00000000-0005-0000-0000-0000AC030000}"/>
    <cellStyle name="Normal 2 5 72" xfId="952" xr:uid="{00000000-0005-0000-0000-0000AD030000}"/>
    <cellStyle name="Normal 2 5 73" xfId="953" xr:uid="{00000000-0005-0000-0000-0000AE030000}"/>
    <cellStyle name="Normal 2 5 74" xfId="954" xr:uid="{00000000-0005-0000-0000-0000AF030000}"/>
    <cellStyle name="Normal 2 5 75" xfId="955" xr:uid="{00000000-0005-0000-0000-0000B0030000}"/>
    <cellStyle name="Normal 2 5 76" xfId="956" xr:uid="{00000000-0005-0000-0000-0000B1030000}"/>
    <cellStyle name="Normal 2 5 77" xfId="957" xr:uid="{00000000-0005-0000-0000-0000B2030000}"/>
    <cellStyle name="Normal 2 5 78" xfId="958" xr:uid="{00000000-0005-0000-0000-0000B3030000}"/>
    <cellStyle name="Normal 2 5 79" xfId="959" xr:uid="{00000000-0005-0000-0000-0000B4030000}"/>
    <cellStyle name="Normal 2 5 8" xfId="960" xr:uid="{00000000-0005-0000-0000-0000B5030000}"/>
    <cellStyle name="Normal 2 5 80" xfId="961" xr:uid="{00000000-0005-0000-0000-0000B6030000}"/>
    <cellStyle name="Normal 2 5 81" xfId="962" xr:uid="{00000000-0005-0000-0000-0000B7030000}"/>
    <cellStyle name="Normal 2 5 82" xfId="963" xr:uid="{00000000-0005-0000-0000-0000B8030000}"/>
    <cellStyle name="Normal 2 5 83" xfId="964" xr:uid="{00000000-0005-0000-0000-0000B9030000}"/>
    <cellStyle name="Normal 2 5 84" xfId="965" xr:uid="{00000000-0005-0000-0000-0000BA030000}"/>
    <cellStyle name="Normal 2 5 85" xfId="966" xr:uid="{00000000-0005-0000-0000-0000BB030000}"/>
    <cellStyle name="Normal 2 5 86" xfId="967" xr:uid="{00000000-0005-0000-0000-0000BC030000}"/>
    <cellStyle name="Normal 2 5 87" xfId="968" xr:uid="{00000000-0005-0000-0000-0000BD030000}"/>
    <cellStyle name="Normal 2 5 88" xfId="2376" xr:uid="{00000000-0005-0000-0000-0000C9040000}"/>
    <cellStyle name="Normal 2 5 9" xfId="969" xr:uid="{00000000-0005-0000-0000-0000BE030000}"/>
    <cellStyle name="Normal 2 5_DEER 032008 Cost Summary Delivery - Rev 4 (2)" xfId="970" xr:uid="{00000000-0005-0000-0000-0000BF030000}"/>
    <cellStyle name="Normal 2 50" xfId="971" xr:uid="{00000000-0005-0000-0000-0000C0030000}"/>
    <cellStyle name="Normal 2 51" xfId="972" xr:uid="{00000000-0005-0000-0000-0000C1030000}"/>
    <cellStyle name="Normal 2 52" xfId="973" xr:uid="{00000000-0005-0000-0000-0000C2030000}"/>
    <cellStyle name="Normal 2 53" xfId="974" xr:uid="{00000000-0005-0000-0000-0000C3030000}"/>
    <cellStyle name="Normal 2 54" xfId="975" xr:uid="{00000000-0005-0000-0000-0000C4030000}"/>
    <cellStyle name="Normal 2 55" xfId="976" xr:uid="{00000000-0005-0000-0000-0000C5030000}"/>
    <cellStyle name="Normal 2 56" xfId="977" xr:uid="{00000000-0005-0000-0000-0000C6030000}"/>
    <cellStyle name="Normal 2 57" xfId="978" xr:uid="{00000000-0005-0000-0000-0000C7030000}"/>
    <cellStyle name="Normal 2 58" xfId="979" xr:uid="{00000000-0005-0000-0000-0000C8030000}"/>
    <cellStyle name="Normal 2 59" xfId="980" xr:uid="{00000000-0005-0000-0000-0000C9030000}"/>
    <cellStyle name="Normal 2 6" xfId="981" xr:uid="{00000000-0005-0000-0000-0000CA030000}"/>
    <cellStyle name="Normal 2 6 2" xfId="2377" xr:uid="{00000000-0005-0000-0000-0000D7040000}"/>
    <cellStyle name="Normal 2 60" xfId="982" xr:uid="{00000000-0005-0000-0000-0000CB030000}"/>
    <cellStyle name="Normal 2 61" xfId="983" xr:uid="{00000000-0005-0000-0000-0000CC030000}"/>
    <cellStyle name="Normal 2 62" xfId="984" xr:uid="{00000000-0005-0000-0000-0000CD030000}"/>
    <cellStyle name="Normal 2 63" xfId="985" xr:uid="{00000000-0005-0000-0000-0000CE030000}"/>
    <cellStyle name="Normal 2 64" xfId="986" xr:uid="{00000000-0005-0000-0000-0000CF030000}"/>
    <cellStyle name="Normal 2 65" xfId="987" xr:uid="{00000000-0005-0000-0000-0000D0030000}"/>
    <cellStyle name="Normal 2 66" xfId="988" xr:uid="{00000000-0005-0000-0000-0000D1030000}"/>
    <cellStyle name="Normal 2 67" xfId="989" xr:uid="{00000000-0005-0000-0000-0000D2030000}"/>
    <cellStyle name="Normal 2 68" xfId="990" xr:uid="{00000000-0005-0000-0000-0000D3030000}"/>
    <cellStyle name="Normal 2 69" xfId="991" xr:uid="{00000000-0005-0000-0000-0000D4030000}"/>
    <cellStyle name="Normal 2 7" xfId="992" xr:uid="{00000000-0005-0000-0000-0000D5030000}"/>
    <cellStyle name="Normal 2 70" xfId="993" xr:uid="{00000000-0005-0000-0000-0000D6030000}"/>
    <cellStyle name="Normal 2 71" xfId="994" xr:uid="{00000000-0005-0000-0000-0000D7030000}"/>
    <cellStyle name="Normal 2 72" xfId="995" xr:uid="{00000000-0005-0000-0000-0000D8030000}"/>
    <cellStyle name="Normal 2 73" xfId="996" xr:uid="{00000000-0005-0000-0000-0000D9030000}"/>
    <cellStyle name="Normal 2 74" xfId="997" xr:uid="{00000000-0005-0000-0000-0000DA030000}"/>
    <cellStyle name="Normal 2 75" xfId="998" xr:uid="{00000000-0005-0000-0000-0000DB030000}"/>
    <cellStyle name="Normal 2 76" xfId="999" xr:uid="{00000000-0005-0000-0000-0000DC030000}"/>
    <cellStyle name="Normal 2 77" xfId="1000" xr:uid="{00000000-0005-0000-0000-0000DD030000}"/>
    <cellStyle name="Normal 2 78" xfId="1001" xr:uid="{00000000-0005-0000-0000-0000DE030000}"/>
    <cellStyle name="Normal 2 79" xfId="1002" xr:uid="{00000000-0005-0000-0000-0000DF030000}"/>
    <cellStyle name="Normal 2 8" xfId="1003" xr:uid="{00000000-0005-0000-0000-0000E0030000}"/>
    <cellStyle name="Normal 2 8 10" xfId="1004" xr:uid="{00000000-0005-0000-0000-0000E1030000}"/>
    <cellStyle name="Normal 2 8 11" xfId="1005" xr:uid="{00000000-0005-0000-0000-0000E2030000}"/>
    <cellStyle name="Normal 2 8 12" xfId="1006" xr:uid="{00000000-0005-0000-0000-0000E3030000}"/>
    <cellStyle name="Normal 2 8 13" xfId="1007" xr:uid="{00000000-0005-0000-0000-0000E4030000}"/>
    <cellStyle name="Normal 2 8 14" xfId="1008" xr:uid="{00000000-0005-0000-0000-0000E5030000}"/>
    <cellStyle name="Normal 2 8 15" xfId="1009" xr:uid="{00000000-0005-0000-0000-0000E6030000}"/>
    <cellStyle name="Normal 2 8 16" xfId="1010" xr:uid="{00000000-0005-0000-0000-0000E7030000}"/>
    <cellStyle name="Normal 2 8 17" xfId="1011" xr:uid="{00000000-0005-0000-0000-0000E8030000}"/>
    <cellStyle name="Normal 2 8 18" xfId="1012" xr:uid="{00000000-0005-0000-0000-0000E9030000}"/>
    <cellStyle name="Normal 2 8 19" xfId="1013" xr:uid="{00000000-0005-0000-0000-0000EA030000}"/>
    <cellStyle name="Normal 2 8 2" xfId="1014" xr:uid="{00000000-0005-0000-0000-0000EB030000}"/>
    <cellStyle name="Normal 2 8 20" xfId="1015" xr:uid="{00000000-0005-0000-0000-0000EC030000}"/>
    <cellStyle name="Normal 2 8 21" xfId="1016" xr:uid="{00000000-0005-0000-0000-0000ED030000}"/>
    <cellStyle name="Normal 2 8 22" xfId="1017" xr:uid="{00000000-0005-0000-0000-0000EE030000}"/>
    <cellStyle name="Normal 2 8 23" xfId="1018" xr:uid="{00000000-0005-0000-0000-0000EF030000}"/>
    <cellStyle name="Normal 2 8 3" xfId="1019" xr:uid="{00000000-0005-0000-0000-0000F0030000}"/>
    <cellStyle name="Normal 2 8 4" xfId="1020" xr:uid="{00000000-0005-0000-0000-0000F1030000}"/>
    <cellStyle name="Normal 2 8 5" xfId="1021" xr:uid="{00000000-0005-0000-0000-0000F2030000}"/>
    <cellStyle name="Normal 2 8 6" xfId="1022" xr:uid="{00000000-0005-0000-0000-0000F3030000}"/>
    <cellStyle name="Normal 2 8 7" xfId="1023" xr:uid="{00000000-0005-0000-0000-0000F4030000}"/>
    <cellStyle name="Normal 2 8 8" xfId="1024" xr:uid="{00000000-0005-0000-0000-0000F5030000}"/>
    <cellStyle name="Normal 2 8 9" xfId="1025" xr:uid="{00000000-0005-0000-0000-0000F6030000}"/>
    <cellStyle name="Normal 2 80" xfId="1026" xr:uid="{00000000-0005-0000-0000-0000F7030000}"/>
    <cellStyle name="Normal 2 81" xfId="1027" xr:uid="{00000000-0005-0000-0000-0000F8030000}"/>
    <cellStyle name="Normal 2 82" xfId="1028" xr:uid="{00000000-0005-0000-0000-0000F9030000}"/>
    <cellStyle name="Normal 2 83" xfId="1029" xr:uid="{00000000-0005-0000-0000-0000FA030000}"/>
    <cellStyle name="Normal 2 84" xfId="1030" xr:uid="{00000000-0005-0000-0000-0000FB030000}"/>
    <cellStyle name="Normal 2 85" xfId="1031" xr:uid="{00000000-0005-0000-0000-0000FC030000}"/>
    <cellStyle name="Normal 2 86" xfId="1032" xr:uid="{00000000-0005-0000-0000-0000FD030000}"/>
    <cellStyle name="Normal 2 87" xfId="1033" xr:uid="{00000000-0005-0000-0000-0000FE030000}"/>
    <cellStyle name="Normal 2 88" xfId="1034" xr:uid="{00000000-0005-0000-0000-0000FF030000}"/>
    <cellStyle name="Normal 2 89" xfId="1035" xr:uid="{00000000-0005-0000-0000-000000040000}"/>
    <cellStyle name="Normal 2 9" xfId="1036" xr:uid="{00000000-0005-0000-0000-000001040000}"/>
    <cellStyle name="Normal 2 9 10" xfId="1037" xr:uid="{00000000-0005-0000-0000-000002040000}"/>
    <cellStyle name="Normal 2 9 11" xfId="1038" xr:uid="{00000000-0005-0000-0000-000003040000}"/>
    <cellStyle name="Normal 2 9 12" xfId="1039" xr:uid="{00000000-0005-0000-0000-000004040000}"/>
    <cellStyle name="Normal 2 9 13" xfId="1040" xr:uid="{00000000-0005-0000-0000-000005040000}"/>
    <cellStyle name="Normal 2 9 14" xfId="1041" xr:uid="{00000000-0005-0000-0000-000006040000}"/>
    <cellStyle name="Normal 2 9 15" xfId="1042" xr:uid="{00000000-0005-0000-0000-000007040000}"/>
    <cellStyle name="Normal 2 9 16" xfId="1043" xr:uid="{00000000-0005-0000-0000-000008040000}"/>
    <cellStyle name="Normal 2 9 17" xfId="1044" xr:uid="{00000000-0005-0000-0000-000009040000}"/>
    <cellStyle name="Normal 2 9 18" xfId="1045" xr:uid="{00000000-0005-0000-0000-00000A040000}"/>
    <cellStyle name="Normal 2 9 19" xfId="1046" xr:uid="{00000000-0005-0000-0000-00000B040000}"/>
    <cellStyle name="Normal 2 9 2" xfId="1047" xr:uid="{00000000-0005-0000-0000-00000C040000}"/>
    <cellStyle name="Normal 2 9 20" xfId="1048" xr:uid="{00000000-0005-0000-0000-00000D040000}"/>
    <cellStyle name="Normal 2 9 21" xfId="1049" xr:uid="{00000000-0005-0000-0000-00000E040000}"/>
    <cellStyle name="Normal 2 9 22" xfId="1050" xr:uid="{00000000-0005-0000-0000-00000F040000}"/>
    <cellStyle name="Normal 2 9 23" xfId="1051" xr:uid="{00000000-0005-0000-0000-000010040000}"/>
    <cellStyle name="Normal 2 9 3" xfId="1052" xr:uid="{00000000-0005-0000-0000-000011040000}"/>
    <cellStyle name="Normal 2 9 4" xfId="1053" xr:uid="{00000000-0005-0000-0000-000012040000}"/>
    <cellStyle name="Normal 2 9 5" xfId="1054" xr:uid="{00000000-0005-0000-0000-000013040000}"/>
    <cellStyle name="Normal 2 9 6" xfId="1055" xr:uid="{00000000-0005-0000-0000-000014040000}"/>
    <cellStyle name="Normal 2 9 7" xfId="1056" xr:uid="{00000000-0005-0000-0000-000015040000}"/>
    <cellStyle name="Normal 2 9 8" xfId="1057" xr:uid="{00000000-0005-0000-0000-000016040000}"/>
    <cellStyle name="Normal 2 9 9" xfId="1058" xr:uid="{00000000-0005-0000-0000-000017040000}"/>
    <cellStyle name="Normal 2 90" xfId="1059" xr:uid="{00000000-0005-0000-0000-000018040000}"/>
    <cellStyle name="Normal 2 91" xfId="1060" xr:uid="{00000000-0005-0000-0000-000019040000}"/>
    <cellStyle name="Normal 2 92" xfId="1061" xr:uid="{00000000-0005-0000-0000-00001A040000}"/>
    <cellStyle name="Normal 2 93" xfId="1062" xr:uid="{00000000-0005-0000-0000-00001B040000}"/>
    <cellStyle name="Normal 2 94" xfId="55" xr:uid="{00000000-0005-0000-0000-00001C040000}"/>
    <cellStyle name="Normal 2 95" xfId="2063" xr:uid="{00000000-0005-0000-0000-00004C010000}"/>
    <cellStyle name="Normal 2_DEER 032008 Cost Summary Delivery - Rev 4 (2)" xfId="1063" xr:uid="{00000000-0005-0000-0000-00001D040000}"/>
    <cellStyle name="Normal 20" xfId="2378" xr:uid="{00000000-0005-0000-0000-00002B050000}"/>
    <cellStyle name="Normal 21" xfId="2379" xr:uid="{00000000-0005-0000-0000-00002C050000}"/>
    <cellStyle name="Normal 22" xfId="2380" xr:uid="{00000000-0005-0000-0000-00002D050000}"/>
    <cellStyle name="Normal 23" xfId="2381" xr:uid="{00000000-0005-0000-0000-00002E050000}"/>
    <cellStyle name="Normal 24" xfId="2382" xr:uid="{00000000-0005-0000-0000-00002F050000}"/>
    <cellStyle name="Normal 3" xfId="51" xr:uid="{00000000-0005-0000-0000-00001E040000}"/>
    <cellStyle name="Normal 3 10" xfId="1065" xr:uid="{00000000-0005-0000-0000-00001F040000}"/>
    <cellStyle name="Normal 3 10 10" xfId="1066" xr:uid="{00000000-0005-0000-0000-000020040000}"/>
    <cellStyle name="Normal 3 10 11" xfId="1067" xr:uid="{00000000-0005-0000-0000-000021040000}"/>
    <cellStyle name="Normal 3 10 12" xfId="1068" xr:uid="{00000000-0005-0000-0000-000022040000}"/>
    <cellStyle name="Normal 3 10 13" xfId="1069" xr:uid="{00000000-0005-0000-0000-000023040000}"/>
    <cellStyle name="Normal 3 10 14" xfId="1070" xr:uid="{00000000-0005-0000-0000-000024040000}"/>
    <cellStyle name="Normal 3 10 15" xfId="1071" xr:uid="{00000000-0005-0000-0000-000025040000}"/>
    <cellStyle name="Normal 3 10 16" xfId="1072" xr:uid="{00000000-0005-0000-0000-000026040000}"/>
    <cellStyle name="Normal 3 10 17" xfId="1073" xr:uid="{00000000-0005-0000-0000-000027040000}"/>
    <cellStyle name="Normal 3 10 18" xfId="1074" xr:uid="{00000000-0005-0000-0000-000028040000}"/>
    <cellStyle name="Normal 3 10 19" xfId="1075" xr:uid="{00000000-0005-0000-0000-000029040000}"/>
    <cellStyle name="Normal 3 10 2" xfId="1076" xr:uid="{00000000-0005-0000-0000-00002A040000}"/>
    <cellStyle name="Normal 3 10 20" xfId="1077" xr:uid="{00000000-0005-0000-0000-00002B040000}"/>
    <cellStyle name="Normal 3 10 21" xfId="1078" xr:uid="{00000000-0005-0000-0000-00002C040000}"/>
    <cellStyle name="Normal 3 10 22" xfId="1079" xr:uid="{00000000-0005-0000-0000-00002D040000}"/>
    <cellStyle name="Normal 3 10 23" xfId="1080" xr:uid="{00000000-0005-0000-0000-00002E040000}"/>
    <cellStyle name="Normal 3 10 3" xfId="1081" xr:uid="{00000000-0005-0000-0000-00002F040000}"/>
    <cellStyle name="Normal 3 10 4" xfId="1082" xr:uid="{00000000-0005-0000-0000-000030040000}"/>
    <cellStyle name="Normal 3 10 5" xfId="1083" xr:uid="{00000000-0005-0000-0000-000031040000}"/>
    <cellStyle name="Normal 3 10 6" xfId="1084" xr:uid="{00000000-0005-0000-0000-000032040000}"/>
    <cellStyle name="Normal 3 10 7" xfId="1085" xr:uid="{00000000-0005-0000-0000-000033040000}"/>
    <cellStyle name="Normal 3 10 8" xfId="1086" xr:uid="{00000000-0005-0000-0000-000034040000}"/>
    <cellStyle name="Normal 3 10 9" xfId="1087" xr:uid="{00000000-0005-0000-0000-000035040000}"/>
    <cellStyle name="Normal 3 11" xfId="1088" xr:uid="{00000000-0005-0000-0000-000036040000}"/>
    <cellStyle name="Normal 3 11 10" xfId="1089" xr:uid="{00000000-0005-0000-0000-000037040000}"/>
    <cellStyle name="Normal 3 11 11" xfId="1090" xr:uid="{00000000-0005-0000-0000-000038040000}"/>
    <cellStyle name="Normal 3 11 12" xfId="1091" xr:uid="{00000000-0005-0000-0000-000039040000}"/>
    <cellStyle name="Normal 3 11 13" xfId="1092" xr:uid="{00000000-0005-0000-0000-00003A040000}"/>
    <cellStyle name="Normal 3 11 14" xfId="1093" xr:uid="{00000000-0005-0000-0000-00003B040000}"/>
    <cellStyle name="Normal 3 11 15" xfId="1094" xr:uid="{00000000-0005-0000-0000-00003C040000}"/>
    <cellStyle name="Normal 3 11 16" xfId="1095" xr:uid="{00000000-0005-0000-0000-00003D040000}"/>
    <cellStyle name="Normal 3 11 17" xfId="1096" xr:uid="{00000000-0005-0000-0000-00003E040000}"/>
    <cellStyle name="Normal 3 11 18" xfId="1097" xr:uid="{00000000-0005-0000-0000-00003F040000}"/>
    <cellStyle name="Normal 3 11 19" xfId="1098" xr:uid="{00000000-0005-0000-0000-000040040000}"/>
    <cellStyle name="Normal 3 11 2" xfId="1099" xr:uid="{00000000-0005-0000-0000-000041040000}"/>
    <cellStyle name="Normal 3 11 20" xfId="1100" xr:uid="{00000000-0005-0000-0000-000042040000}"/>
    <cellStyle name="Normal 3 11 21" xfId="1101" xr:uid="{00000000-0005-0000-0000-000043040000}"/>
    <cellStyle name="Normal 3 11 22" xfId="1102" xr:uid="{00000000-0005-0000-0000-000044040000}"/>
    <cellStyle name="Normal 3 11 23" xfId="1103" xr:uid="{00000000-0005-0000-0000-000045040000}"/>
    <cellStyle name="Normal 3 11 24" xfId="2383" xr:uid="{00000000-0005-0000-0000-000048050000}"/>
    <cellStyle name="Normal 3 11 3" xfId="1104" xr:uid="{00000000-0005-0000-0000-000046040000}"/>
    <cellStyle name="Normal 3 11 4" xfId="1105" xr:uid="{00000000-0005-0000-0000-000047040000}"/>
    <cellStyle name="Normal 3 11 5" xfId="1106" xr:uid="{00000000-0005-0000-0000-000048040000}"/>
    <cellStyle name="Normal 3 11 6" xfId="1107" xr:uid="{00000000-0005-0000-0000-000049040000}"/>
    <cellStyle name="Normal 3 11 7" xfId="1108" xr:uid="{00000000-0005-0000-0000-00004A040000}"/>
    <cellStyle name="Normal 3 11 8" xfId="1109" xr:uid="{00000000-0005-0000-0000-00004B040000}"/>
    <cellStyle name="Normal 3 11 9" xfId="1110" xr:uid="{00000000-0005-0000-0000-00004C040000}"/>
    <cellStyle name="Normal 3 12" xfId="1111" xr:uid="{00000000-0005-0000-0000-00004D040000}"/>
    <cellStyle name="Normal 3 12 10" xfId="1112" xr:uid="{00000000-0005-0000-0000-00004E040000}"/>
    <cellStyle name="Normal 3 12 11" xfId="1113" xr:uid="{00000000-0005-0000-0000-00004F040000}"/>
    <cellStyle name="Normal 3 12 12" xfId="1114" xr:uid="{00000000-0005-0000-0000-000050040000}"/>
    <cellStyle name="Normal 3 12 13" xfId="1115" xr:uid="{00000000-0005-0000-0000-000051040000}"/>
    <cellStyle name="Normal 3 12 14" xfId="1116" xr:uid="{00000000-0005-0000-0000-000052040000}"/>
    <cellStyle name="Normal 3 12 15" xfId="1117" xr:uid="{00000000-0005-0000-0000-000053040000}"/>
    <cellStyle name="Normal 3 12 16" xfId="1118" xr:uid="{00000000-0005-0000-0000-000054040000}"/>
    <cellStyle name="Normal 3 12 17" xfId="1119" xr:uid="{00000000-0005-0000-0000-000055040000}"/>
    <cellStyle name="Normal 3 12 18" xfId="1120" xr:uid="{00000000-0005-0000-0000-000056040000}"/>
    <cellStyle name="Normal 3 12 19" xfId="1121" xr:uid="{00000000-0005-0000-0000-000057040000}"/>
    <cellStyle name="Normal 3 12 2" xfId="1122" xr:uid="{00000000-0005-0000-0000-000058040000}"/>
    <cellStyle name="Normal 3 12 20" xfId="1123" xr:uid="{00000000-0005-0000-0000-000059040000}"/>
    <cellStyle name="Normal 3 12 21" xfId="1124" xr:uid="{00000000-0005-0000-0000-00005A040000}"/>
    <cellStyle name="Normal 3 12 22" xfId="1125" xr:uid="{00000000-0005-0000-0000-00005B040000}"/>
    <cellStyle name="Normal 3 12 23" xfId="1126" xr:uid="{00000000-0005-0000-0000-00005C040000}"/>
    <cellStyle name="Normal 3 12 3" xfId="1127" xr:uid="{00000000-0005-0000-0000-00005D040000}"/>
    <cellStyle name="Normal 3 12 4" xfId="1128" xr:uid="{00000000-0005-0000-0000-00005E040000}"/>
    <cellStyle name="Normal 3 12 5" xfId="1129" xr:uid="{00000000-0005-0000-0000-00005F040000}"/>
    <cellStyle name="Normal 3 12 6" xfId="1130" xr:uid="{00000000-0005-0000-0000-000060040000}"/>
    <cellStyle name="Normal 3 12 7" xfId="1131" xr:uid="{00000000-0005-0000-0000-000061040000}"/>
    <cellStyle name="Normal 3 12 8" xfId="1132" xr:uid="{00000000-0005-0000-0000-000062040000}"/>
    <cellStyle name="Normal 3 12 9" xfId="1133" xr:uid="{00000000-0005-0000-0000-000063040000}"/>
    <cellStyle name="Normal 3 13" xfId="1134" xr:uid="{00000000-0005-0000-0000-000064040000}"/>
    <cellStyle name="Normal 3 13 10" xfId="1135" xr:uid="{00000000-0005-0000-0000-000065040000}"/>
    <cellStyle name="Normal 3 13 11" xfId="1136" xr:uid="{00000000-0005-0000-0000-000066040000}"/>
    <cellStyle name="Normal 3 13 12" xfId="1137" xr:uid="{00000000-0005-0000-0000-000067040000}"/>
    <cellStyle name="Normal 3 13 13" xfId="1138" xr:uid="{00000000-0005-0000-0000-000068040000}"/>
    <cellStyle name="Normal 3 13 14" xfId="1139" xr:uid="{00000000-0005-0000-0000-000069040000}"/>
    <cellStyle name="Normal 3 13 15" xfId="1140" xr:uid="{00000000-0005-0000-0000-00006A040000}"/>
    <cellStyle name="Normal 3 13 16" xfId="1141" xr:uid="{00000000-0005-0000-0000-00006B040000}"/>
    <cellStyle name="Normal 3 13 17" xfId="1142" xr:uid="{00000000-0005-0000-0000-00006C040000}"/>
    <cellStyle name="Normal 3 13 18" xfId="1143" xr:uid="{00000000-0005-0000-0000-00006D040000}"/>
    <cellStyle name="Normal 3 13 19" xfId="1144" xr:uid="{00000000-0005-0000-0000-00006E040000}"/>
    <cellStyle name="Normal 3 13 2" xfId="1145" xr:uid="{00000000-0005-0000-0000-00006F040000}"/>
    <cellStyle name="Normal 3 13 20" xfId="1146" xr:uid="{00000000-0005-0000-0000-000070040000}"/>
    <cellStyle name="Normal 3 13 21" xfId="1147" xr:uid="{00000000-0005-0000-0000-000071040000}"/>
    <cellStyle name="Normal 3 13 22" xfId="1148" xr:uid="{00000000-0005-0000-0000-000072040000}"/>
    <cellStyle name="Normal 3 13 23" xfId="1149" xr:uid="{00000000-0005-0000-0000-000073040000}"/>
    <cellStyle name="Normal 3 13 3" xfId="1150" xr:uid="{00000000-0005-0000-0000-000074040000}"/>
    <cellStyle name="Normal 3 13 4" xfId="1151" xr:uid="{00000000-0005-0000-0000-000075040000}"/>
    <cellStyle name="Normal 3 13 5" xfId="1152" xr:uid="{00000000-0005-0000-0000-000076040000}"/>
    <cellStyle name="Normal 3 13 6" xfId="1153" xr:uid="{00000000-0005-0000-0000-000077040000}"/>
    <cellStyle name="Normal 3 13 7" xfId="1154" xr:uid="{00000000-0005-0000-0000-000078040000}"/>
    <cellStyle name="Normal 3 13 8" xfId="1155" xr:uid="{00000000-0005-0000-0000-000079040000}"/>
    <cellStyle name="Normal 3 13 9" xfId="1156" xr:uid="{00000000-0005-0000-0000-00007A040000}"/>
    <cellStyle name="Normal 3 14" xfId="1157" xr:uid="{00000000-0005-0000-0000-00007B040000}"/>
    <cellStyle name="Normal 3 14 10" xfId="1158" xr:uid="{00000000-0005-0000-0000-00007C040000}"/>
    <cellStyle name="Normal 3 14 11" xfId="1159" xr:uid="{00000000-0005-0000-0000-00007D040000}"/>
    <cellStyle name="Normal 3 14 12" xfId="1160" xr:uid="{00000000-0005-0000-0000-00007E040000}"/>
    <cellStyle name="Normal 3 14 13" xfId="1161" xr:uid="{00000000-0005-0000-0000-00007F040000}"/>
    <cellStyle name="Normal 3 14 14" xfId="1162" xr:uid="{00000000-0005-0000-0000-000080040000}"/>
    <cellStyle name="Normal 3 14 15" xfId="1163" xr:uid="{00000000-0005-0000-0000-000081040000}"/>
    <cellStyle name="Normal 3 14 16" xfId="1164" xr:uid="{00000000-0005-0000-0000-000082040000}"/>
    <cellStyle name="Normal 3 14 17" xfId="1165" xr:uid="{00000000-0005-0000-0000-000083040000}"/>
    <cellStyle name="Normal 3 14 18" xfId="1166" xr:uid="{00000000-0005-0000-0000-000084040000}"/>
    <cellStyle name="Normal 3 14 19" xfId="1167" xr:uid="{00000000-0005-0000-0000-000085040000}"/>
    <cellStyle name="Normal 3 14 2" xfId="1168" xr:uid="{00000000-0005-0000-0000-000086040000}"/>
    <cellStyle name="Normal 3 14 20" xfId="1169" xr:uid="{00000000-0005-0000-0000-000087040000}"/>
    <cellStyle name="Normal 3 14 21" xfId="1170" xr:uid="{00000000-0005-0000-0000-000088040000}"/>
    <cellStyle name="Normal 3 14 22" xfId="1171" xr:uid="{00000000-0005-0000-0000-000089040000}"/>
    <cellStyle name="Normal 3 14 23" xfId="1172" xr:uid="{00000000-0005-0000-0000-00008A040000}"/>
    <cellStyle name="Normal 3 14 24" xfId="2384" xr:uid="{00000000-0005-0000-0000-00008D050000}"/>
    <cellStyle name="Normal 3 14 3" xfId="1173" xr:uid="{00000000-0005-0000-0000-00008B040000}"/>
    <cellStyle name="Normal 3 14 4" xfId="1174" xr:uid="{00000000-0005-0000-0000-00008C040000}"/>
    <cellStyle name="Normal 3 14 5" xfId="1175" xr:uid="{00000000-0005-0000-0000-00008D040000}"/>
    <cellStyle name="Normal 3 14 6" xfId="1176" xr:uid="{00000000-0005-0000-0000-00008E040000}"/>
    <cellStyle name="Normal 3 14 7" xfId="1177" xr:uid="{00000000-0005-0000-0000-00008F040000}"/>
    <cellStyle name="Normal 3 14 8" xfId="1178" xr:uid="{00000000-0005-0000-0000-000090040000}"/>
    <cellStyle name="Normal 3 14 9" xfId="1179" xr:uid="{00000000-0005-0000-0000-000091040000}"/>
    <cellStyle name="Normal 3 15" xfId="1180" xr:uid="{00000000-0005-0000-0000-000092040000}"/>
    <cellStyle name="Normal 3 15 10" xfId="1181" xr:uid="{00000000-0005-0000-0000-000093040000}"/>
    <cellStyle name="Normal 3 15 11" xfId="1182" xr:uid="{00000000-0005-0000-0000-000094040000}"/>
    <cellStyle name="Normal 3 15 12" xfId="1183" xr:uid="{00000000-0005-0000-0000-000095040000}"/>
    <cellStyle name="Normal 3 15 13" xfId="1184" xr:uid="{00000000-0005-0000-0000-000096040000}"/>
    <cellStyle name="Normal 3 15 14" xfId="1185" xr:uid="{00000000-0005-0000-0000-000097040000}"/>
    <cellStyle name="Normal 3 15 15" xfId="1186" xr:uid="{00000000-0005-0000-0000-000098040000}"/>
    <cellStyle name="Normal 3 15 16" xfId="1187" xr:uid="{00000000-0005-0000-0000-000099040000}"/>
    <cellStyle name="Normal 3 15 17" xfId="1188" xr:uid="{00000000-0005-0000-0000-00009A040000}"/>
    <cellStyle name="Normal 3 15 18" xfId="1189" xr:uid="{00000000-0005-0000-0000-00009B040000}"/>
    <cellStyle name="Normal 3 15 19" xfId="1190" xr:uid="{00000000-0005-0000-0000-00009C040000}"/>
    <cellStyle name="Normal 3 15 2" xfId="1191" xr:uid="{00000000-0005-0000-0000-00009D040000}"/>
    <cellStyle name="Normal 3 15 20" xfId="1192" xr:uid="{00000000-0005-0000-0000-00009E040000}"/>
    <cellStyle name="Normal 3 15 21" xfId="1193" xr:uid="{00000000-0005-0000-0000-00009F040000}"/>
    <cellStyle name="Normal 3 15 22" xfId="1194" xr:uid="{00000000-0005-0000-0000-0000A0040000}"/>
    <cellStyle name="Normal 3 15 23" xfId="1195" xr:uid="{00000000-0005-0000-0000-0000A1040000}"/>
    <cellStyle name="Normal 3 15 3" xfId="1196" xr:uid="{00000000-0005-0000-0000-0000A2040000}"/>
    <cellStyle name="Normal 3 15 4" xfId="1197" xr:uid="{00000000-0005-0000-0000-0000A3040000}"/>
    <cellStyle name="Normal 3 15 5" xfId="1198" xr:uid="{00000000-0005-0000-0000-0000A4040000}"/>
    <cellStyle name="Normal 3 15 6" xfId="1199" xr:uid="{00000000-0005-0000-0000-0000A5040000}"/>
    <cellStyle name="Normal 3 15 7" xfId="1200" xr:uid="{00000000-0005-0000-0000-0000A6040000}"/>
    <cellStyle name="Normal 3 15 8" xfId="1201" xr:uid="{00000000-0005-0000-0000-0000A7040000}"/>
    <cellStyle name="Normal 3 15 9" xfId="1202" xr:uid="{00000000-0005-0000-0000-0000A8040000}"/>
    <cellStyle name="Normal 3 16" xfId="1203" xr:uid="{00000000-0005-0000-0000-0000A9040000}"/>
    <cellStyle name="Normal 3 16 10" xfId="1204" xr:uid="{00000000-0005-0000-0000-0000AA040000}"/>
    <cellStyle name="Normal 3 16 11" xfId="1205" xr:uid="{00000000-0005-0000-0000-0000AB040000}"/>
    <cellStyle name="Normal 3 16 12" xfId="1206" xr:uid="{00000000-0005-0000-0000-0000AC040000}"/>
    <cellStyle name="Normal 3 16 13" xfId="1207" xr:uid="{00000000-0005-0000-0000-0000AD040000}"/>
    <cellStyle name="Normal 3 16 14" xfId="1208" xr:uid="{00000000-0005-0000-0000-0000AE040000}"/>
    <cellStyle name="Normal 3 16 15" xfId="1209" xr:uid="{00000000-0005-0000-0000-0000AF040000}"/>
    <cellStyle name="Normal 3 16 16" xfId="1210" xr:uid="{00000000-0005-0000-0000-0000B0040000}"/>
    <cellStyle name="Normal 3 16 17" xfId="1211" xr:uid="{00000000-0005-0000-0000-0000B1040000}"/>
    <cellStyle name="Normal 3 16 18" xfId="1212" xr:uid="{00000000-0005-0000-0000-0000B2040000}"/>
    <cellStyle name="Normal 3 16 19" xfId="1213" xr:uid="{00000000-0005-0000-0000-0000B3040000}"/>
    <cellStyle name="Normal 3 16 2" xfId="1214" xr:uid="{00000000-0005-0000-0000-0000B4040000}"/>
    <cellStyle name="Normal 3 16 20" xfId="1215" xr:uid="{00000000-0005-0000-0000-0000B5040000}"/>
    <cellStyle name="Normal 3 16 21" xfId="1216" xr:uid="{00000000-0005-0000-0000-0000B6040000}"/>
    <cellStyle name="Normal 3 16 22" xfId="1217" xr:uid="{00000000-0005-0000-0000-0000B7040000}"/>
    <cellStyle name="Normal 3 16 23" xfId="1218" xr:uid="{00000000-0005-0000-0000-0000B8040000}"/>
    <cellStyle name="Normal 3 16 3" xfId="1219" xr:uid="{00000000-0005-0000-0000-0000B9040000}"/>
    <cellStyle name="Normal 3 16 4" xfId="1220" xr:uid="{00000000-0005-0000-0000-0000BA040000}"/>
    <cellStyle name="Normal 3 16 5" xfId="1221" xr:uid="{00000000-0005-0000-0000-0000BB040000}"/>
    <cellStyle name="Normal 3 16 6" xfId="1222" xr:uid="{00000000-0005-0000-0000-0000BC040000}"/>
    <cellStyle name="Normal 3 16 7" xfId="1223" xr:uid="{00000000-0005-0000-0000-0000BD040000}"/>
    <cellStyle name="Normal 3 16 8" xfId="1224" xr:uid="{00000000-0005-0000-0000-0000BE040000}"/>
    <cellStyle name="Normal 3 16 9" xfId="1225" xr:uid="{00000000-0005-0000-0000-0000BF040000}"/>
    <cellStyle name="Normal 3 17" xfId="1226" xr:uid="{00000000-0005-0000-0000-0000C0040000}"/>
    <cellStyle name="Normal 3 17 10" xfId="1227" xr:uid="{00000000-0005-0000-0000-0000C1040000}"/>
    <cellStyle name="Normal 3 17 11" xfId="1228" xr:uid="{00000000-0005-0000-0000-0000C2040000}"/>
    <cellStyle name="Normal 3 17 12" xfId="1229" xr:uid="{00000000-0005-0000-0000-0000C3040000}"/>
    <cellStyle name="Normal 3 17 13" xfId="1230" xr:uid="{00000000-0005-0000-0000-0000C4040000}"/>
    <cellStyle name="Normal 3 17 14" xfId="1231" xr:uid="{00000000-0005-0000-0000-0000C5040000}"/>
    <cellStyle name="Normal 3 17 15" xfId="1232" xr:uid="{00000000-0005-0000-0000-0000C6040000}"/>
    <cellStyle name="Normal 3 17 16" xfId="1233" xr:uid="{00000000-0005-0000-0000-0000C7040000}"/>
    <cellStyle name="Normal 3 17 17" xfId="1234" xr:uid="{00000000-0005-0000-0000-0000C8040000}"/>
    <cellStyle name="Normal 3 17 18" xfId="1235" xr:uid="{00000000-0005-0000-0000-0000C9040000}"/>
    <cellStyle name="Normal 3 17 19" xfId="1236" xr:uid="{00000000-0005-0000-0000-0000CA040000}"/>
    <cellStyle name="Normal 3 17 2" xfId="1237" xr:uid="{00000000-0005-0000-0000-0000CB040000}"/>
    <cellStyle name="Normal 3 17 20" xfId="1238" xr:uid="{00000000-0005-0000-0000-0000CC040000}"/>
    <cellStyle name="Normal 3 17 21" xfId="1239" xr:uid="{00000000-0005-0000-0000-0000CD040000}"/>
    <cellStyle name="Normal 3 17 22" xfId="1240" xr:uid="{00000000-0005-0000-0000-0000CE040000}"/>
    <cellStyle name="Normal 3 17 23" xfId="1241" xr:uid="{00000000-0005-0000-0000-0000CF040000}"/>
    <cellStyle name="Normal 3 17 3" xfId="1242" xr:uid="{00000000-0005-0000-0000-0000D0040000}"/>
    <cellStyle name="Normal 3 17 4" xfId="1243" xr:uid="{00000000-0005-0000-0000-0000D1040000}"/>
    <cellStyle name="Normal 3 17 5" xfId="1244" xr:uid="{00000000-0005-0000-0000-0000D2040000}"/>
    <cellStyle name="Normal 3 17 6" xfId="1245" xr:uid="{00000000-0005-0000-0000-0000D3040000}"/>
    <cellStyle name="Normal 3 17 7" xfId="1246" xr:uid="{00000000-0005-0000-0000-0000D4040000}"/>
    <cellStyle name="Normal 3 17 8" xfId="1247" xr:uid="{00000000-0005-0000-0000-0000D5040000}"/>
    <cellStyle name="Normal 3 17 9" xfId="1248" xr:uid="{00000000-0005-0000-0000-0000D6040000}"/>
    <cellStyle name="Normal 3 18" xfId="1249" xr:uid="{00000000-0005-0000-0000-0000D7040000}"/>
    <cellStyle name="Normal 3 18 10" xfId="1250" xr:uid="{00000000-0005-0000-0000-0000D8040000}"/>
    <cellStyle name="Normal 3 18 11" xfId="1251" xr:uid="{00000000-0005-0000-0000-0000D9040000}"/>
    <cellStyle name="Normal 3 18 12" xfId="1252" xr:uid="{00000000-0005-0000-0000-0000DA040000}"/>
    <cellStyle name="Normal 3 18 13" xfId="1253" xr:uid="{00000000-0005-0000-0000-0000DB040000}"/>
    <cellStyle name="Normal 3 18 14" xfId="1254" xr:uid="{00000000-0005-0000-0000-0000DC040000}"/>
    <cellStyle name="Normal 3 18 15" xfId="1255" xr:uid="{00000000-0005-0000-0000-0000DD040000}"/>
    <cellStyle name="Normal 3 18 16" xfId="1256" xr:uid="{00000000-0005-0000-0000-0000DE040000}"/>
    <cellStyle name="Normal 3 18 17" xfId="1257" xr:uid="{00000000-0005-0000-0000-0000DF040000}"/>
    <cellStyle name="Normal 3 18 18" xfId="1258" xr:uid="{00000000-0005-0000-0000-0000E0040000}"/>
    <cellStyle name="Normal 3 18 19" xfId="1259" xr:uid="{00000000-0005-0000-0000-0000E1040000}"/>
    <cellStyle name="Normal 3 18 2" xfId="1260" xr:uid="{00000000-0005-0000-0000-0000E2040000}"/>
    <cellStyle name="Normal 3 18 20" xfId="1261" xr:uid="{00000000-0005-0000-0000-0000E3040000}"/>
    <cellStyle name="Normal 3 18 21" xfId="1262" xr:uid="{00000000-0005-0000-0000-0000E4040000}"/>
    <cellStyle name="Normal 3 18 22" xfId="1263" xr:uid="{00000000-0005-0000-0000-0000E5040000}"/>
    <cellStyle name="Normal 3 18 23" xfId="1264" xr:uid="{00000000-0005-0000-0000-0000E6040000}"/>
    <cellStyle name="Normal 3 18 3" xfId="1265" xr:uid="{00000000-0005-0000-0000-0000E7040000}"/>
    <cellStyle name="Normal 3 18 4" xfId="1266" xr:uid="{00000000-0005-0000-0000-0000E8040000}"/>
    <cellStyle name="Normal 3 18 5" xfId="1267" xr:uid="{00000000-0005-0000-0000-0000E9040000}"/>
    <cellStyle name="Normal 3 18 6" xfId="1268" xr:uid="{00000000-0005-0000-0000-0000EA040000}"/>
    <cellStyle name="Normal 3 18 7" xfId="1269" xr:uid="{00000000-0005-0000-0000-0000EB040000}"/>
    <cellStyle name="Normal 3 18 8" xfId="1270" xr:uid="{00000000-0005-0000-0000-0000EC040000}"/>
    <cellStyle name="Normal 3 18 9" xfId="1271" xr:uid="{00000000-0005-0000-0000-0000ED040000}"/>
    <cellStyle name="Normal 3 19" xfId="1272" xr:uid="{00000000-0005-0000-0000-0000EE040000}"/>
    <cellStyle name="Normal 3 19 10" xfId="1273" xr:uid="{00000000-0005-0000-0000-0000EF040000}"/>
    <cellStyle name="Normal 3 19 11" xfId="1274" xr:uid="{00000000-0005-0000-0000-0000F0040000}"/>
    <cellStyle name="Normal 3 19 12" xfId="1275" xr:uid="{00000000-0005-0000-0000-0000F1040000}"/>
    <cellStyle name="Normal 3 19 13" xfId="1276" xr:uid="{00000000-0005-0000-0000-0000F2040000}"/>
    <cellStyle name="Normal 3 19 14" xfId="1277" xr:uid="{00000000-0005-0000-0000-0000F3040000}"/>
    <cellStyle name="Normal 3 19 15" xfId="1278" xr:uid="{00000000-0005-0000-0000-0000F4040000}"/>
    <cellStyle name="Normal 3 19 16" xfId="1279" xr:uid="{00000000-0005-0000-0000-0000F5040000}"/>
    <cellStyle name="Normal 3 19 17" xfId="1280" xr:uid="{00000000-0005-0000-0000-0000F6040000}"/>
    <cellStyle name="Normal 3 19 18" xfId="1281" xr:uid="{00000000-0005-0000-0000-0000F7040000}"/>
    <cellStyle name="Normal 3 19 19" xfId="1282" xr:uid="{00000000-0005-0000-0000-0000F8040000}"/>
    <cellStyle name="Normal 3 19 2" xfId="1283" xr:uid="{00000000-0005-0000-0000-0000F9040000}"/>
    <cellStyle name="Normal 3 19 20" xfId="1284" xr:uid="{00000000-0005-0000-0000-0000FA040000}"/>
    <cellStyle name="Normal 3 19 21" xfId="1285" xr:uid="{00000000-0005-0000-0000-0000FB040000}"/>
    <cellStyle name="Normal 3 19 22" xfId="1286" xr:uid="{00000000-0005-0000-0000-0000FC040000}"/>
    <cellStyle name="Normal 3 19 23" xfId="1287" xr:uid="{00000000-0005-0000-0000-0000FD040000}"/>
    <cellStyle name="Normal 3 19 3" xfId="1288" xr:uid="{00000000-0005-0000-0000-0000FE040000}"/>
    <cellStyle name="Normal 3 19 4" xfId="1289" xr:uid="{00000000-0005-0000-0000-0000FF040000}"/>
    <cellStyle name="Normal 3 19 5" xfId="1290" xr:uid="{00000000-0005-0000-0000-000000050000}"/>
    <cellStyle name="Normal 3 19 6" xfId="1291" xr:uid="{00000000-0005-0000-0000-000001050000}"/>
    <cellStyle name="Normal 3 19 7" xfId="1292" xr:uid="{00000000-0005-0000-0000-000002050000}"/>
    <cellStyle name="Normal 3 19 8" xfId="1293" xr:uid="{00000000-0005-0000-0000-000003050000}"/>
    <cellStyle name="Normal 3 19 9" xfId="1294" xr:uid="{00000000-0005-0000-0000-000004050000}"/>
    <cellStyle name="Normal 3 2" xfId="1295" xr:uid="{00000000-0005-0000-0000-000005050000}"/>
    <cellStyle name="Normal 3 2 10" xfId="1296" xr:uid="{00000000-0005-0000-0000-000006050000}"/>
    <cellStyle name="Normal 3 2 11" xfId="1297" xr:uid="{00000000-0005-0000-0000-000007050000}"/>
    <cellStyle name="Normal 3 2 12" xfId="1298" xr:uid="{00000000-0005-0000-0000-000008050000}"/>
    <cellStyle name="Normal 3 2 13" xfId="1299" xr:uid="{00000000-0005-0000-0000-000009050000}"/>
    <cellStyle name="Normal 3 2 14" xfId="1300" xr:uid="{00000000-0005-0000-0000-00000A050000}"/>
    <cellStyle name="Normal 3 2 15" xfId="1301" xr:uid="{00000000-0005-0000-0000-00000B050000}"/>
    <cellStyle name="Normal 3 2 16" xfId="1302" xr:uid="{00000000-0005-0000-0000-00000C050000}"/>
    <cellStyle name="Normal 3 2 17" xfId="1303" xr:uid="{00000000-0005-0000-0000-00000D050000}"/>
    <cellStyle name="Normal 3 2 18" xfId="1304" xr:uid="{00000000-0005-0000-0000-00000E050000}"/>
    <cellStyle name="Normal 3 2 19" xfId="1305" xr:uid="{00000000-0005-0000-0000-00000F050000}"/>
    <cellStyle name="Normal 3 2 2" xfId="1306" xr:uid="{00000000-0005-0000-0000-000010050000}"/>
    <cellStyle name="Normal 3 2 2 10" xfId="1307" xr:uid="{00000000-0005-0000-0000-000011050000}"/>
    <cellStyle name="Normal 3 2 2 11" xfId="1308" xr:uid="{00000000-0005-0000-0000-000012050000}"/>
    <cellStyle name="Normal 3 2 2 12" xfId="1309" xr:uid="{00000000-0005-0000-0000-000013050000}"/>
    <cellStyle name="Normal 3 2 2 13" xfId="1310" xr:uid="{00000000-0005-0000-0000-000014050000}"/>
    <cellStyle name="Normal 3 2 2 14" xfId="1311" xr:uid="{00000000-0005-0000-0000-000015050000}"/>
    <cellStyle name="Normal 3 2 2 15" xfId="1312" xr:uid="{00000000-0005-0000-0000-000016050000}"/>
    <cellStyle name="Normal 3 2 2 16" xfId="1313" xr:uid="{00000000-0005-0000-0000-000017050000}"/>
    <cellStyle name="Normal 3 2 2 17" xfId="1314" xr:uid="{00000000-0005-0000-0000-000018050000}"/>
    <cellStyle name="Normal 3 2 2 18" xfId="1315" xr:uid="{00000000-0005-0000-0000-000019050000}"/>
    <cellStyle name="Normal 3 2 2 19" xfId="1316" xr:uid="{00000000-0005-0000-0000-00001A050000}"/>
    <cellStyle name="Normal 3 2 2 2" xfId="1317" xr:uid="{00000000-0005-0000-0000-00001B050000}"/>
    <cellStyle name="Normal 3 2 2 20" xfId="1318" xr:uid="{00000000-0005-0000-0000-00001C050000}"/>
    <cellStyle name="Normal 3 2 2 21" xfId="1319" xr:uid="{00000000-0005-0000-0000-00001D050000}"/>
    <cellStyle name="Normal 3 2 2 22" xfId="1320" xr:uid="{00000000-0005-0000-0000-00001E050000}"/>
    <cellStyle name="Normal 3 2 2 23" xfId="1321" xr:uid="{00000000-0005-0000-0000-00001F050000}"/>
    <cellStyle name="Normal 3 2 2 24" xfId="1322" xr:uid="{00000000-0005-0000-0000-000020050000}"/>
    <cellStyle name="Normal 3 2 2 25" xfId="1323" xr:uid="{00000000-0005-0000-0000-000021050000}"/>
    <cellStyle name="Normal 3 2 2 26" xfId="1324" xr:uid="{00000000-0005-0000-0000-000022050000}"/>
    <cellStyle name="Normal 3 2 2 27" xfId="1325" xr:uid="{00000000-0005-0000-0000-000023050000}"/>
    <cellStyle name="Normal 3 2 2 28" xfId="1326" xr:uid="{00000000-0005-0000-0000-000024050000}"/>
    <cellStyle name="Normal 3 2 2 29" xfId="1327" xr:uid="{00000000-0005-0000-0000-000025050000}"/>
    <cellStyle name="Normal 3 2 2 3" xfId="1328" xr:uid="{00000000-0005-0000-0000-000026050000}"/>
    <cellStyle name="Normal 3 2 2 30" xfId="1329" xr:uid="{00000000-0005-0000-0000-000027050000}"/>
    <cellStyle name="Normal 3 2 2 31" xfId="1330" xr:uid="{00000000-0005-0000-0000-000028050000}"/>
    <cellStyle name="Normal 3 2 2 32" xfId="1331" xr:uid="{00000000-0005-0000-0000-000029050000}"/>
    <cellStyle name="Normal 3 2 2 33" xfId="1332" xr:uid="{00000000-0005-0000-0000-00002A050000}"/>
    <cellStyle name="Normal 3 2 2 4" xfId="1333" xr:uid="{00000000-0005-0000-0000-00002B050000}"/>
    <cellStyle name="Normal 3 2 2 5" xfId="1334" xr:uid="{00000000-0005-0000-0000-00002C050000}"/>
    <cellStyle name="Normal 3 2 2 6" xfId="1335" xr:uid="{00000000-0005-0000-0000-00002D050000}"/>
    <cellStyle name="Normal 3 2 2 7" xfId="1336" xr:uid="{00000000-0005-0000-0000-00002E050000}"/>
    <cellStyle name="Normal 3 2 2 8" xfId="1337" xr:uid="{00000000-0005-0000-0000-00002F050000}"/>
    <cellStyle name="Normal 3 2 2 9" xfId="1338" xr:uid="{00000000-0005-0000-0000-000030050000}"/>
    <cellStyle name="Normal 3 2 20" xfId="1339" xr:uid="{00000000-0005-0000-0000-000031050000}"/>
    <cellStyle name="Normal 3 2 21" xfId="1340" xr:uid="{00000000-0005-0000-0000-000032050000}"/>
    <cellStyle name="Normal 3 2 22" xfId="1341" xr:uid="{00000000-0005-0000-0000-000033050000}"/>
    <cellStyle name="Normal 3 2 23" xfId="1342" xr:uid="{00000000-0005-0000-0000-000034050000}"/>
    <cellStyle name="Normal 3 2 24" xfId="1343" xr:uid="{00000000-0005-0000-0000-000035050000}"/>
    <cellStyle name="Normal 3 2 25" xfId="1344" xr:uid="{00000000-0005-0000-0000-000036050000}"/>
    <cellStyle name="Normal 3 2 26" xfId="1345" xr:uid="{00000000-0005-0000-0000-000037050000}"/>
    <cellStyle name="Normal 3 2 27" xfId="1346" xr:uid="{00000000-0005-0000-0000-000038050000}"/>
    <cellStyle name="Normal 3 2 28" xfId="1347" xr:uid="{00000000-0005-0000-0000-000039050000}"/>
    <cellStyle name="Normal 3 2 29" xfId="1348" xr:uid="{00000000-0005-0000-0000-00003A050000}"/>
    <cellStyle name="Normal 3 2 3" xfId="1349" xr:uid="{00000000-0005-0000-0000-00003B050000}"/>
    <cellStyle name="Normal 3 2 30" xfId="1350" xr:uid="{00000000-0005-0000-0000-00003C050000}"/>
    <cellStyle name="Normal 3 2 31" xfId="1351" xr:uid="{00000000-0005-0000-0000-00003D050000}"/>
    <cellStyle name="Normal 3 2 32" xfId="1352" xr:uid="{00000000-0005-0000-0000-00003E050000}"/>
    <cellStyle name="Normal 3 2 33" xfId="1353" xr:uid="{00000000-0005-0000-0000-00003F050000}"/>
    <cellStyle name="Normal 3 2 34" xfId="1354" xr:uid="{00000000-0005-0000-0000-000040050000}"/>
    <cellStyle name="Normal 3 2 35" xfId="1355" xr:uid="{00000000-0005-0000-0000-000041050000}"/>
    <cellStyle name="Normal 3 2 36" xfId="1356" xr:uid="{00000000-0005-0000-0000-000042050000}"/>
    <cellStyle name="Normal 3 2 37" xfId="1357" xr:uid="{00000000-0005-0000-0000-000043050000}"/>
    <cellStyle name="Normal 3 2 38" xfId="1358" xr:uid="{00000000-0005-0000-0000-000044050000}"/>
    <cellStyle name="Normal 3 2 39" xfId="1359" xr:uid="{00000000-0005-0000-0000-000045050000}"/>
    <cellStyle name="Normal 3 2 4" xfId="1360" xr:uid="{00000000-0005-0000-0000-000046050000}"/>
    <cellStyle name="Normal 3 2 40" xfId="1361" xr:uid="{00000000-0005-0000-0000-000047050000}"/>
    <cellStyle name="Normal 3 2 41" xfId="1362" xr:uid="{00000000-0005-0000-0000-000048050000}"/>
    <cellStyle name="Normal 3 2 42" xfId="1363" xr:uid="{00000000-0005-0000-0000-000049050000}"/>
    <cellStyle name="Normal 3 2 43" xfId="1364" xr:uid="{00000000-0005-0000-0000-00004A050000}"/>
    <cellStyle name="Normal 3 2 44" xfId="1365" xr:uid="{00000000-0005-0000-0000-00004B050000}"/>
    <cellStyle name="Normal 3 2 45" xfId="1366" xr:uid="{00000000-0005-0000-0000-00004C050000}"/>
    <cellStyle name="Normal 3 2 46" xfId="1367" xr:uid="{00000000-0005-0000-0000-00004D050000}"/>
    <cellStyle name="Normal 3 2 47" xfId="1368" xr:uid="{00000000-0005-0000-0000-00004E050000}"/>
    <cellStyle name="Normal 3 2 48" xfId="1369" xr:uid="{00000000-0005-0000-0000-00004F050000}"/>
    <cellStyle name="Normal 3 2 49" xfId="1370" xr:uid="{00000000-0005-0000-0000-000050050000}"/>
    <cellStyle name="Normal 3 2 5" xfId="1371" xr:uid="{00000000-0005-0000-0000-000051050000}"/>
    <cellStyle name="Normal 3 2 50" xfId="1372" xr:uid="{00000000-0005-0000-0000-000052050000}"/>
    <cellStyle name="Normal 3 2 51" xfId="1373" xr:uid="{00000000-0005-0000-0000-000053050000}"/>
    <cellStyle name="Normal 3 2 52" xfId="1374" xr:uid="{00000000-0005-0000-0000-000054050000}"/>
    <cellStyle name="Normal 3 2 53" xfId="1375" xr:uid="{00000000-0005-0000-0000-000055050000}"/>
    <cellStyle name="Normal 3 2 54" xfId="1376" xr:uid="{00000000-0005-0000-0000-000056050000}"/>
    <cellStyle name="Normal 3 2 55" xfId="1377" xr:uid="{00000000-0005-0000-0000-000057050000}"/>
    <cellStyle name="Normal 3 2 56" xfId="2385" xr:uid="{00000000-0005-0000-0000-00006A060000}"/>
    <cellStyle name="Normal 3 2 6" xfId="1378" xr:uid="{00000000-0005-0000-0000-000058050000}"/>
    <cellStyle name="Normal 3 2 7" xfId="1379" xr:uid="{00000000-0005-0000-0000-000059050000}"/>
    <cellStyle name="Normal 3 2 8" xfId="1380" xr:uid="{00000000-0005-0000-0000-00005A050000}"/>
    <cellStyle name="Normal 3 2 9" xfId="1381" xr:uid="{00000000-0005-0000-0000-00005B050000}"/>
    <cellStyle name="Normal 3 20" xfId="1382" xr:uid="{00000000-0005-0000-0000-00005C050000}"/>
    <cellStyle name="Normal 3 20 10" xfId="1383" xr:uid="{00000000-0005-0000-0000-00005D050000}"/>
    <cellStyle name="Normal 3 20 11" xfId="1384" xr:uid="{00000000-0005-0000-0000-00005E050000}"/>
    <cellStyle name="Normal 3 20 12" xfId="1385" xr:uid="{00000000-0005-0000-0000-00005F050000}"/>
    <cellStyle name="Normal 3 20 13" xfId="1386" xr:uid="{00000000-0005-0000-0000-000060050000}"/>
    <cellStyle name="Normal 3 20 14" xfId="1387" xr:uid="{00000000-0005-0000-0000-000061050000}"/>
    <cellStyle name="Normal 3 20 15" xfId="1388" xr:uid="{00000000-0005-0000-0000-000062050000}"/>
    <cellStyle name="Normal 3 20 16" xfId="1389" xr:uid="{00000000-0005-0000-0000-000063050000}"/>
    <cellStyle name="Normal 3 20 17" xfId="1390" xr:uid="{00000000-0005-0000-0000-000064050000}"/>
    <cellStyle name="Normal 3 20 18" xfId="1391" xr:uid="{00000000-0005-0000-0000-000065050000}"/>
    <cellStyle name="Normal 3 20 19" xfId="1392" xr:uid="{00000000-0005-0000-0000-000066050000}"/>
    <cellStyle name="Normal 3 20 2" xfId="1393" xr:uid="{00000000-0005-0000-0000-000067050000}"/>
    <cellStyle name="Normal 3 20 20" xfId="1394" xr:uid="{00000000-0005-0000-0000-000068050000}"/>
    <cellStyle name="Normal 3 20 21" xfId="1395" xr:uid="{00000000-0005-0000-0000-000069050000}"/>
    <cellStyle name="Normal 3 20 22" xfId="1396" xr:uid="{00000000-0005-0000-0000-00006A050000}"/>
    <cellStyle name="Normal 3 20 23" xfId="1397" xr:uid="{00000000-0005-0000-0000-00006B050000}"/>
    <cellStyle name="Normal 3 20 3" xfId="1398" xr:uid="{00000000-0005-0000-0000-00006C050000}"/>
    <cellStyle name="Normal 3 20 4" xfId="1399" xr:uid="{00000000-0005-0000-0000-00006D050000}"/>
    <cellStyle name="Normal 3 20 5" xfId="1400" xr:uid="{00000000-0005-0000-0000-00006E050000}"/>
    <cellStyle name="Normal 3 20 6" xfId="1401" xr:uid="{00000000-0005-0000-0000-00006F050000}"/>
    <cellStyle name="Normal 3 20 7" xfId="1402" xr:uid="{00000000-0005-0000-0000-000070050000}"/>
    <cellStyle name="Normal 3 20 8" xfId="1403" xr:uid="{00000000-0005-0000-0000-000071050000}"/>
    <cellStyle name="Normal 3 20 9" xfId="1404" xr:uid="{00000000-0005-0000-0000-000072050000}"/>
    <cellStyle name="Normal 3 21" xfId="1405" xr:uid="{00000000-0005-0000-0000-000073050000}"/>
    <cellStyle name="Normal 3 21 10" xfId="1406" xr:uid="{00000000-0005-0000-0000-000074050000}"/>
    <cellStyle name="Normal 3 21 11" xfId="1407" xr:uid="{00000000-0005-0000-0000-000075050000}"/>
    <cellStyle name="Normal 3 21 12" xfId="1408" xr:uid="{00000000-0005-0000-0000-000076050000}"/>
    <cellStyle name="Normal 3 21 13" xfId="1409" xr:uid="{00000000-0005-0000-0000-000077050000}"/>
    <cellStyle name="Normal 3 21 14" xfId="1410" xr:uid="{00000000-0005-0000-0000-000078050000}"/>
    <cellStyle name="Normal 3 21 15" xfId="1411" xr:uid="{00000000-0005-0000-0000-000079050000}"/>
    <cellStyle name="Normal 3 21 16" xfId="1412" xr:uid="{00000000-0005-0000-0000-00007A050000}"/>
    <cellStyle name="Normal 3 21 17" xfId="1413" xr:uid="{00000000-0005-0000-0000-00007B050000}"/>
    <cellStyle name="Normal 3 21 18" xfId="1414" xr:uid="{00000000-0005-0000-0000-00007C050000}"/>
    <cellStyle name="Normal 3 21 19" xfId="1415" xr:uid="{00000000-0005-0000-0000-00007D050000}"/>
    <cellStyle name="Normal 3 21 2" xfId="1416" xr:uid="{00000000-0005-0000-0000-00007E050000}"/>
    <cellStyle name="Normal 3 21 20" xfId="1417" xr:uid="{00000000-0005-0000-0000-00007F050000}"/>
    <cellStyle name="Normal 3 21 21" xfId="1418" xr:uid="{00000000-0005-0000-0000-000080050000}"/>
    <cellStyle name="Normal 3 21 22" xfId="1419" xr:uid="{00000000-0005-0000-0000-000081050000}"/>
    <cellStyle name="Normal 3 21 23" xfId="1420" xr:uid="{00000000-0005-0000-0000-000082050000}"/>
    <cellStyle name="Normal 3 21 3" xfId="1421" xr:uid="{00000000-0005-0000-0000-000083050000}"/>
    <cellStyle name="Normal 3 21 4" xfId="1422" xr:uid="{00000000-0005-0000-0000-000084050000}"/>
    <cellStyle name="Normal 3 21 5" xfId="1423" xr:uid="{00000000-0005-0000-0000-000085050000}"/>
    <cellStyle name="Normal 3 21 6" xfId="1424" xr:uid="{00000000-0005-0000-0000-000086050000}"/>
    <cellStyle name="Normal 3 21 7" xfId="1425" xr:uid="{00000000-0005-0000-0000-000087050000}"/>
    <cellStyle name="Normal 3 21 8" xfId="1426" xr:uid="{00000000-0005-0000-0000-000088050000}"/>
    <cellStyle name="Normal 3 21 9" xfId="1427" xr:uid="{00000000-0005-0000-0000-000089050000}"/>
    <cellStyle name="Normal 3 22" xfId="1428" xr:uid="{00000000-0005-0000-0000-00008A050000}"/>
    <cellStyle name="Normal 3 22 10" xfId="1429" xr:uid="{00000000-0005-0000-0000-00008B050000}"/>
    <cellStyle name="Normal 3 22 11" xfId="1430" xr:uid="{00000000-0005-0000-0000-00008C050000}"/>
    <cellStyle name="Normal 3 22 12" xfId="1431" xr:uid="{00000000-0005-0000-0000-00008D050000}"/>
    <cellStyle name="Normal 3 22 13" xfId="1432" xr:uid="{00000000-0005-0000-0000-00008E050000}"/>
    <cellStyle name="Normal 3 22 14" xfId="1433" xr:uid="{00000000-0005-0000-0000-00008F050000}"/>
    <cellStyle name="Normal 3 22 15" xfId="1434" xr:uid="{00000000-0005-0000-0000-000090050000}"/>
    <cellStyle name="Normal 3 22 16" xfId="1435" xr:uid="{00000000-0005-0000-0000-000091050000}"/>
    <cellStyle name="Normal 3 22 17" xfId="1436" xr:uid="{00000000-0005-0000-0000-000092050000}"/>
    <cellStyle name="Normal 3 22 18" xfId="1437" xr:uid="{00000000-0005-0000-0000-000093050000}"/>
    <cellStyle name="Normal 3 22 19" xfId="1438" xr:uid="{00000000-0005-0000-0000-000094050000}"/>
    <cellStyle name="Normal 3 22 2" xfId="1439" xr:uid="{00000000-0005-0000-0000-000095050000}"/>
    <cellStyle name="Normal 3 22 20" xfId="1440" xr:uid="{00000000-0005-0000-0000-000096050000}"/>
    <cellStyle name="Normal 3 22 21" xfId="1441" xr:uid="{00000000-0005-0000-0000-000097050000}"/>
    <cellStyle name="Normal 3 22 22" xfId="1442" xr:uid="{00000000-0005-0000-0000-000098050000}"/>
    <cellStyle name="Normal 3 22 23" xfId="1443" xr:uid="{00000000-0005-0000-0000-000099050000}"/>
    <cellStyle name="Normal 3 22 3" xfId="1444" xr:uid="{00000000-0005-0000-0000-00009A050000}"/>
    <cellStyle name="Normal 3 22 4" xfId="1445" xr:uid="{00000000-0005-0000-0000-00009B050000}"/>
    <cellStyle name="Normal 3 22 5" xfId="1446" xr:uid="{00000000-0005-0000-0000-00009C050000}"/>
    <cellStyle name="Normal 3 22 6" xfId="1447" xr:uid="{00000000-0005-0000-0000-00009D050000}"/>
    <cellStyle name="Normal 3 22 7" xfId="1448" xr:uid="{00000000-0005-0000-0000-00009E050000}"/>
    <cellStyle name="Normal 3 22 8" xfId="1449" xr:uid="{00000000-0005-0000-0000-00009F050000}"/>
    <cellStyle name="Normal 3 22 9" xfId="1450" xr:uid="{00000000-0005-0000-0000-0000A0050000}"/>
    <cellStyle name="Normal 3 23" xfId="1451" xr:uid="{00000000-0005-0000-0000-0000A1050000}"/>
    <cellStyle name="Normal 3 23 10" xfId="1452" xr:uid="{00000000-0005-0000-0000-0000A2050000}"/>
    <cellStyle name="Normal 3 23 11" xfId="1453" xr:uid="{00000000-0005-0000-0000-0000A3050000}"/>
    <cellStyle name="Normal 3 23 12" xfId="1454" xr:uid="{00000000-0005-0000-0000-0000A4050000}"/>
    <cellStyle name="Normal 3 23 13" xfId="1455" xr:uid="{00000000-0005-0000-0000-0000A5050000}"/>
    <cellStyle name="Normal 3 23 14" xfId="1456" xr:uid="{00000000-0005-0000-0000-0000A6050000}"/>
    <cellStyle name="Normal 3 23 15" xfId="1457" xr:uid="{00000000-0005-0000-0000-0000A7050000}"/>
    <cellStyle name="Normal 3 23 16" xfId="1458" xr:uid="{00000000-0005-0000-0000-0000A8050000}"/>
    <cellStyle name="Normal 3 23 17" xfId="1459" xr:uid="{00000000-0005-0000-0000-0000A9050000}"/>
    <cellStyle name="Normal 3 23 18" xfId="1460" xr:uid="{00000000-0005-0000-0000-0000AA050000}"/>
    <cellStyle name="Normal 3 23 19" xfId="1461" xr:uid="{00000000-0005-0000-0000-0000AB050000}"/>
    <cellStyle name="Normal 3 23 2" xfId="1462" xr:uid="{00000000-0005-0000-0000-0000AC050000}"/>
    <cellStyle name="Normal 3 23 20" xfId="1463" xr:uid="{00000000-0005-0000-0000-0000AD050000}"/>
    <cellStyle name="Normal 3 23 21" xfId="1464" xr:uid="{00000000-0005-0000-0000-0000AE050000}"/>
    <cellStyle name="Normal 3 23 22" xfId="1465" xr:uid="{00000000-0005-0000-0000-0000AF050000}"/>
    <cellStyle name="Normal 3 23 23" xfId="1466" xr:uid="{00000000-0005-0000-0000-0000B0050000}"/>
    <cellStyle name="Normal 3 23 3" xfId="1467" xr:uid="{00000000-0005-0000-0000-0000B1050000}"/>
    <cellStyle name="Normal 3 23 4" xfId="1468" xr:uid="{00000000-0005-0000-0000-0000B2050000}"/>
    <cellStyle name="Normal 3 23 5" xfId="1469" xr:uid="{00000000-0005-0000-0000-0000B3050000}"/>
    <cellStyle name="Normal 3 23 6" xfId="1470" xr:uid="{00000000-0005-0000-0000-0000B4050000}"/>
    <cellStyle name="Normal 3 23 7" xfId="1471" xr:uid="{00000000-0005-0000-0000-0000B5050000}"/>
    <cellStyle name="Normal 3 23 8" xfId="1472" xr:uid="{00000000-0005-0000-0000-0000B6050000}"/>
    <cellStyle name="Normal 3 23 9" xfId="1473" xr:uid="{00000000-0005-0000-0000-0000B7050000}"/>
    <cellStyle name="Normal 3 24" xfId="1474" xr:uid="{00000000-0005-0000-0000-0000B8050000}"/>
    <cellStyle name="Normal 3 24 10" xfId="1475" xr:uid="{00000000-0005-0000-0000-0000B9050000}"/>
    <cellStyle name="Normal 3 24 11" xfId="1476" xr:uid="{00000000-0005-0000-0000-0000BA050000}"/>
    <cellStyle name="Normal 3 24 12" xfId="1477" xr:uid="{00000000-0005-0000-0000-0000BB050000}"/>
    <cellStyle name="Normal 3 24 13" xfId="1478" xr:uid="{00000000-0005-0000-0000-0000BC050000}"/>
    <cellStyle name="Normal 3 24 14" xfId="1479" xr:uid="{00000000-0005-0000-0000-0000BD050000}"/>
    <cellStyle name="Normal 3 24 15" xfId="1480" xr:uid="{00000000-0005-0000-0000-0000BE050000}"/>
    <cellStyle name="Normal 3 24 16" xfId="1481" xr:uid="{00000000-0005-0000-0000-0000BF050000}"/>
    <cellStyle name="Normal 3 24 17" xfId="1482" xr:uid="{00000000-0005-0000-0000-0000C0050000}"/>
    <cellStyle name="Normal 3 24 18" xfId="1483" xr:uid="{00000000-0005-0000-0000-0000C1050000}"/>
    <cellStyle name="Normal 3 24 19" xfId="1484" xr:uid="{00000000-0005-0000-0000-0000C2050000}"/>
    <cellStyle name="Normal 3 24 2" xfId="1485" xr:uid="{00000000-0005-0000-0000-0000C3050000}"/>
    <cellStyle name="Normal 3 24 20" xfId="1486" xr:uid="{00000000-0005-0000-0000-0000C4050000}"/>
    <cellStyle name="Normal 3 24 21" xfId="1487" xr:uid="{00000000-0005-0000-0000-0000C5050000}"/>
    <cellStyle name="Normal 3 24 22" xfId="1488" xr:uid="{00000000-0005-0000-0000-0000C6050000}"/>
    <cellStyle name="Normal 3 24 23" xfId="1489" xr:uid="{00000000-0005-0000-0000-0000C7050000}"/>
    <cellStyle name="Normal 3 24 3" xfId="1490" xr:uid="{00000000-0005-0000-0000-0000C8050000}"/>
    <cellStyle name="Normal 3 24 4" xfId="1491" xr:uid="{00000000-0005-0000-0000-0000C9050000}"/>
    <cellStyle name="Normal 3 24 5" xfId="1492" xr:uid="{00000000-0005-0000-0000-0000CA050000}"/>
    <cellStyle name="Normal 3 24 6" xfId="1493" xr:uid="{00000000-0005-0000-0000-0000CB050000}"/>
    <cellStyle name="Normal 3 24 7" xfId="1494" xr:uid="{00000000-0005-0000-0000-0000CC050000}"/>
    <cellStyle name="Normal 3 24 8" xfId="1495" xr:uid="{00000000-0005-0000-0000-0000CD050000}"/>
    <cellStyle name="Normal 3 24 9" xfId="1496" xr:uid="{00000000-0005-0000-0000-0000CE050000}"/>
    <cellStyle name="Normal 3 25" xfId="1497" xr:uid="{00000000-0005-0000-0000-0000CF050000}"/>
    <cellStyle name="Normal 3 25 10" xfId="1498" xr:uid="{00000000-0005-0000-0000-0000D0050000}"/>
    <cellStyle name="Normal 3 25 11" xfId="1499" xr:uid="{00000000-0005-0000-0000-0000D1050000}"/>
    <cellStyle name="Normal 3 25 12" xfId="1500" xr:uid="{00000000-0005-0000-0000-0000D2050000}"/>
    <cellStyle name="Normal 3 25 13" xfId="1501" xr:uid="{00000000-0005-0000-0000-0000D3050000}"/>
    <cellStyle name="Normal 3 25 14" xfId="1502" xr:uid="{00000000-0005-0000-0000-0000D4050000}"/>
    <cellStyle name="Normal 3 25 15" xfId="1503" xr:uid="{00000000-0005-0000-0000-0000D5050000}"/>
    <cellStyle name="Normal 3 25 16" xfId="1504" xr:uid="{00000000-0005-0000-0000-0000D6050000}"/>
    <cellStyle name="Normal 3 25 17" xfId="1505" xr:uid="{00000000-0005-0000-0000-0000D7050000}"/>
    <cellStyle name="Normal 3 25 18" xfId="1506" xr:uid="{00000000-0005-0000-0000-0000D8050000}"/>
    <cellStyle name="Normal 3 25 19" xfId="1507" xr:uid="{00000000-0005-0000-0000-0000D9050000}"/>
    <cellStyle name="Normal 3 25 2" xfId="1508" xr:uid="{00000000-0005-0000-0000-0000DA050000}"/>
    <cellStyle name="Normal 3 25 20" xfId="1509" xr:uid="{00000000-0005-0000-0000-0000DB050000}"/>
    <cellStyle name="Normal 3 25 21" xfId="1510" xr:uid="{00000000-0005-0000-0000-0000DC050000}"/>
    <cellStyle name="Normal 3 25 22" xfId="1511" xr:uid="{00000000-0005-0000-0000-0000DD050000}"/>
    <cellStyle name="Normal 3 25 23" xfId="1512" xr:uid="{00000000-0005-0000-0000-0000DE050000}"/>
    <cellStyle name="Normal 3 25 3" xfId="1513" xr:uid="{00000000-0005-0000-0000-0000DF050000}"/>
    <cellStyle name="Normal 3 25 4" xfId="1514" xr:uid="{00000000-0005-0000-0000-0000E0050000}"/>
    <cellStyle name="Normal 3 25 5" xfId="1515" xr:uid="{00000000-0005-0000-0000-0000E1050000}"/>
    <cellStyle name="Normal 3 25 6" xfId="1516" xr:uid="{00000000-0005-0000-0000-0000E2050000}"/>
    <cellStyle name="Normal 3 25 7" xfId="1517" xr:uid="{00000000-0005-0000-0000-0000E3050000}"/>
    <cellStyle name="Normal 3 25 8" xfId="1518" xr:uid="{00000000-0005-0000-0000-0000E4050000}"/>
    <cellStyle name="Normal 3 25 9" xfId="1519" xr:uid="{00000000-0005-0000-0000-0000E5050000}"/>
    <cellStyle name="Normal 3 26" xfId="1520" xr:uid="{00000000-0005-0000-0000-0000E6050000}"/>
    <cellStyle name="Normal 3 26 10" xfId="1521" xr:uid="{00000000-0005-0000-0000-0000E7050000}"/>
    <cellStyle name="Normal 3 26 11" xfId="1522" xr:uid="{00000000-0005-0000-0000-0000E8050000}"/>
    <cellStyle name="Normal 3 26 12" xfId="1523" xr:uid="{00000000-0005-0000-0000-0000E9050000}"/>
    <cellStyle name="Normal 3 26 13" xfId="1524" xr:uid="{00000000-0005-0000-0000-0000EA050000}"/>
    <cellStyle name="Normal 3 26 14" xfId="1525" xr:uid="{00000000-0005-0000-0000-0000EB050000}"/>
    <cellStyle name="Normal 3 26 15" xfId="1526" xr:uid="{00000000-0005-0000-0000-0000EC050000}"/>
    <cellStyle name="Normal 3 26 16" xfId="1527" xr:uid="{00000000-0005-0000-0000-0000ED050000}"/>
    <cellStyle name="Normal 3 26 17" xfId="1528" xr:uid="{00000000-0005-0000-0000-0000EE050000}"/>
    <cellStyle name="Normal 3 26 18" xfId="1529" xr:uid="{00000000-0005-0000-0000-0000EF050000}"/>
    <cellStyle name="Normal 3 26 19" xfId="1530" xr:uid="{00000000-0005-0000-0000-0000F0050000}"/>
    <cellStyle name="Normal 3 26 2" xfId="1531" xr:uid="{00000000-0005-0000-0000-0000F1050000}"/>
    <cellStyle name="Normal 3 26 20" xfId="1532" xr:uid="{00000000-0005-0000-0000-0000F2050000}"/>
    <cellStyle name="Normal 3 26 21" xfId="1533" xr:uid="{00000000-0005-0000-0000-0000F3050000}"/>
    <cellStyle name="Normal 3 26 22" xfId="1534" xr:uid="{00000000-0005-0000-0000-0000F4050000}"/>
    <cellStyle name="Normal 3 26 23" xfId="1535" xr:uid="{00000000-0005-0000-0000-0000F5050000}"/>
    <cellStyle name="Normal 3 26 3" xfId="1536" xr:uid="{00000000-0005-0000-0000-0000F6050000}"/>
    <cellStyle name="Normal 3 26 4" xfId="1537" xr:uid="{00000000-0005-0000-0000-0000F7050000}"/>
    <cellStyle name="Normal 3 26 5" xfId="1538" xr:uid="{00000000-0005-0000-0000-0000F8050000}"/>
    <cellStyle name="Normal 3 26 6" xfId="1539" xr:uid="{00000000-0005-0000-0000-0000F9050000}"/>
    <cellStyle name="Normal 3 26 7" xfId="1540" xr:uid="{00000000-0005-0000-0000-0000FA050000}"/>
    <cellStyle name="Normal 3 26 8" xfId="1541" xr:uid="{00000000-0005-0000-0000-0000FB050000}"/>
    <cellStyle name="Normal 3 26 9" xfId="1542" xr:uid="{00000000-0005-0000-0000-0000FC050000}"/>
    <cellStyle name="Normal 3 27" xfId="1543" xr:uid="{00000000-0005-0000-0000-0000FD050000}"/>
    <cellStyle name="Normal 3 27 10" xfId="1544" xr:uid="{00000000-0005-0000-0000-0000FE050000}"/>
    <cellStyle name="Normal 3 27 11" xfId="1545" xr:uid="{00000000-0005-0000-0000-0000FF050000}"/>
    <cellStyle name="Normal 3 27 12" xfId="1546" xr:uid="{00000000-0005-0000-0000-000000060000}"/>
    <cellStyle name="Normal 3 27 13" xfId="1547" xr:uid="{00000000-0005-0000-0000-000001060000}"/>
    <cellStyle name="Normal 3 27 14" xfId="1548" xr:uid="{00000000-0005-0000-0000-000002060000}"/>
    <cellStyle name="Normal 3 27 15" xfId="1549" xr:uid="{00000000-0005-0000-0000-000003060000}"/>
    <cellStyle name="Normal 3 27 16" xfId="1550" xr:uid="{00000000-0005-0000-0000-000004060000}"/>
    <cellStyle name="Normal 3 27 17" xfId="1551" xr:uid="{00000000-0005-0000-0000-000005060000}"/>
    <cellStyle name="Normal 3 27 18" xfId="1552" xr:uid="{00000000-0005-0000-0000-000006060000}"/>
    <cellStyle name="Normal 3 27 19" xfId="1553" xr:uid="{00000000-0005-0000-0000-000007060000}"/>
    <cellStyle name="Normal 3 27 2" xfId="1554" xr:uid="{00000000-0005-0000-0000-000008060000}"/>
    <cellStyle name="Normal 3 27 20" xfId="1555" xr:uid="{00000000-0005-0000-0000-000009060000}"/>
    <cellStyle name="Normal 3 27 21" xfId="1556" xr:uid="{00000000-0005-0000-0000-00000A060000}"/>
    <cellStyle name="Normal 3 27 22" xfId="1557" xr:uid="{00000000-0005-0000-0000-00000B060000}"/>
    <cellStyle name="Normal 3 27 23" xfId="1558" xr:uid="{00000000-0005-0000-0000-00000C060000}"/>
    <cellStyle name="Normal 3 27 3" xfId="1559" xr:uid="{00000000-0005-0000-0000-00000D060000}"/>
    <cellStyle name="Normal 3 27 4" xfId="1560" xr:uid="{00000000-0005-0000-0000-00000E060000}"/>
    <cellStyle name="Normal 3 27 5" xfId="1561" xr:uid="{00000000-0005-0000-0000-00000F060000}"/>
    <cellStyle name="Normal 3 27 6" xfId="1562" xr:uid="{00000000-0005-0000-0000-000010060000}"/>
    <cellStyle name="Normal 3 27 7" xfId="1563" xr:uid="{00000000-0005-0000-0000-000011060000}"/>
    <cellStyle name="Normal 3 27 8" xfId="1564" xr:uid="{00000000-0005-0000-0000-000012060000}"/>
    <cellStyle name="Normal 3 27 9" xfId="1565" xr:uid="{00000000-0005-0000-0000-000013060000}"/>
    <cellStyle name="Normal 3 28" xfId="1566" xr:uid="{00000000-0005-0000-0000-000014060000}"/>
    <cellStyle name="Normal 3 28 10" xfId="1567" xr:uid="{00000000-0005-0000-0000-000015060000}"/>
    <cellStyle name="Normal 3 28 11" xfId="1568" xr:uid="{00000000-0005-0000-0000-000016060000}"/>
    <cellStyle name="Normal 3 28 12" xfId="1569" xr:uid="{00000000-0005-0000-0000-000017060000}"/>
    <cellStyle name="Normal 3 28 13" xfId="1570" xr:uid="{00000000-0005-0000-0000-000018060000}"/>
    <cellStyle name="Normal 3 28 14" xfId="1571" xr:uid="{00000000-0005-0000-0000-000019060000}"/>
    <cellStyle name="Normal 3 28 15" xfId="1572" xr:uid="{00000000-0005-0000-0000-00001A060000}"/>
    <cellStyle name="Normal 3 28 16" xfId="1573" xr:uid="{00000000-0005-0000-0000-00001B060000}"/>
    <cellStyle name="Normal 3 28 17" xfId="1574" xr:uid="{00000000-0005-0000-0000-00001C060000}"/>
    <cellStyle name="Normal 3 28 18" xfId="1575" xr:uid="{00000000-0005-0000-0000-00001D060000}"/>
    <cellStyle name="Normal 3 28 19" xfId="1576" xr:uid="{00000000-0005-0000-0000-00001E060000}"/>
    <cellStyle name="Normal 3 28 2" xfId="1577" xr:uid="{00000000-0005-0000-0000-00001F060000}"/>
    <cellStyle name="Normal 3 28 20" xfId="1578" xr:uid="{00000000-0005-0000-0000-000020060000}"/>
    <cellStyle name="Normal 3 28 21" xfId="1579" xr:uid="{00000000-0005-0000-0000-000021060000}"/>
    <cellStyle name="Normal 3 28 22" xfId="1580" xr:uid="{00000000-0005-0000-0000-000022060000}"/>
    <cellStyle name="Normal 3 28 23" xfId="1581" xr:uid="{00000000-0005-0000-0000-000023060000}"/>
    <cellStyle name="Normal 3 28 3" xfId="1582" xr:uid="{00000000-0005-0000-0000-000024060000}"/>
    <cellStyle name="Normal 3 28 4" xfId="1583" xr:uid="{00000000-0005-0000-0000-000025060000}"/>
    <cellStyle name="Normal 3 28 5" xfId="1584" xr:uid="{00000000-0005-0000-0000-000026060000}"/>
    <cellStyle name="Normal 3 28 6" xfId="1585" xr:uid="{00000000-0005-0000-0000-000027060000}"/>
    <cellStyle name="Normal 3 28 7" xfId="1586" xr:uid="{00000000-0005-0000-0000-000028060000}"/>
    <cellStyle name="Normal 3 28 8" xfId="1587" xr:uid="{00000000-0005-0000-0000-000029060000}"/>
    <cellStyle name="Normal 3 28 9" xfId="1588" xr:uid="{00000000-0005-0000-0000-00002A060000}"/>
    <cellStyle name="Normal 3 29" xfId="1589" xr:uid="{00000000-0005-0000-0000-00002B060000}"/>
    <cellStyle name="Normal 3 29 10" xfId="1590" xr:uid="{00000000-0005-0000-0000-00002C060000}"/>
    <cellStyle name="Normal 3 29 11" xfId="1591" xr:uid="{00000000-0005-0000-0000-00002D060000}"/>
    <cellStyle name="Normal 3 29 12" xfId="1592" xr:uid="{00000000-0005-0000-0000-00002E060000}"/>
    <cellStyle name="Normal 3 29 13" xfId="1593" xr:uid="{00000000-0005-0000-0000-00002F060000}"/>
    <cellStyle name="Normal 3 29 14" xfId="1594" xr:uid="{00000000-0005-0000-0000-000030060000}"/>
    <cellStyle name="Normal 3 29 15" xfId="1595" xr:uid="{00000000-0005-0000-0000-000031060000}"/>
    <cellStyle name="Normal 3 29 16" xfId="1596" xr:uid="{00000000-0005-0000-0000-000032060000}"/>
    <cellStyle name="Normal 3 29 17" xfId="1597" xr:uid="{00000000-0005-0000-0000-000033060000}"/>
    <cellStyle name="Normal 3 29 18" xfId="1598" xr:uid="{00000000-0005-0000-0000-000034060000}"/>
    <cellStyle name="Normal 3 29 19" xfId="1599" xr:uid="{00000000-0005-0000-0000-000035060000}"/>
    <cellStyle name="Normal 3 29 2" xfId="1600" xr:uid="{00000000-0005-0000-0000-000036060000}"/>
    <cellStyle name="Normal 3 29 20" xfId="1601" xr:uid="{00000000-0005-0000-0000-000037060000}"/>
    <cellStyle name="Normal 3 29 21" xfId="1602" xr:uid="{00000000-0005-0000-0000-000038060000}"/>
    <cellStyle name="Normal 3 29 22" xfId="1603" xr:uid="{00000000-0005-0000-0000-000039060000}"/>
    <cellStyle name="Normal 3 29 23" xfId="1604" xr:uid="{00000000-0005-0000-0000-00003A060000}"/>
    <cellStyle name="Normal 3 29 3" xfId="1605" xr:uid="{00000000-0005-0000-0000-00003B060000}"/>
    <cellStyle name="Normal 3 29 4" xfId="1606" xr:uid="{00000000-0005-0000-0000-00003C060000}"/>
    <cellStyle name="Normal 3 29 5" xfId="1607" xr:uid="{00000000-0005-0000-0000-00003D060000}"/>
    <cellStyle name="Normal 3 29 6" xfId="1608" xr:uid="{00000000-0005-0000-0000-00003E060000}"/>
    <cellStyle name="Normal 3 29 7" xfId="1609" xr:uid="{00000000-0005-0000-0000-00003F060000}"/>
    <cellStyle name="Normal 3 29 8" xfId="1610" xr:uid="{00000000-0005-0000-0000-000040060000}"/>
    <cellStyle name="Normal 3 29 9" xfId="1611" xr:uid="{00000000-0005-0000-0000-000041060000}"/>
    <cellStyle name="Normal 3 3" xfId="1612" xr:uid="{00000000-0005-0000-0000-000042060000}"/>
    <cellStyle name="Normal 3 3 10" xfId="1613" xr:uid="{00000000-0005-0000-0000-000043060000}"/>
    <cellStyle name="Normal 3 3 11" xfId="1614" xr:uid="{00000000-0005-0000-0000-000044060000}"/>
    <cellStyle name="Normal 3 3 12" xfId="1615" xr:uid="{00000000-0005-0000-0000-000045060000}"/>
    <cellStyle name="Normal 3 3 13" xfId="1616" xr:uid="{00000000-0005-0000-0000-000046060000}"/>
    <cellStyle name="Normal 3 3 14" xfId="1617" xr:uid="{00000000-0005-0000-0000-000047060000}"/>
    <cellStyle name="Normal 3 3 15" xfId="1618" xr:uid="{00000000-0005-0000-0000-000048060000}"/>
    <cellStyle name="Normal 3 3 16" xfId="1619" xr:uid="{00000000-0005-0000-0000-000049060000}"/>
    <cellStyle name="Normal 3 3 17" xfId="1620" xr:uid="{00000000-0005-0000-0000-00004A060000}"/>
    <cellStyle name="Normal 3 3 18" xfId="1621" xr:uid="{00000000-0005-0000-0000-00004B060000}"/>
    <cellStyle name="Normal 3 3 19" xfId="1622" xr:uid="{00000000-0005-0000-0000-00004C060000}"/>
    <cellStyle name="Normal 3 3 2" xfId="1623" xr:uid="{00000000-0005-0000-0000-00004D060000}"/>
    <cellStyle name="Normal 3 3 20" xfId="1624" xr:uid="{00000000-0005-0000-0000-00004E060000}"/>
    <cellStyle name="Normal 3 3 21" xfId="1625" xr:uid="{00000000-0005-0000-0000-00004F060000}"/>
    <cellStyle name="Normal 3 3 22" xfId="1626" xr:uid="{00000000-0005-0000-0000-000050060000}"/>
    <cellStyle name="Normal 3 3 23" xfId="1627" xr:uid="{00000000-0005-0000-0000-000051060000}"/>
    <cellStyle name="Normal 3 3 3" xfId="1628" xr:uid="{00000000-0005-0000-0000-000052060000}"/>
    <cellStyle name="Normal 3 3 4" xfId="1629" xr:uid="{00000000-0005-0000-0000-000053060000}"/>
    <cellStyle name="Normal 3 3 5" xfId="1630" xr:uid="{00000000-0005-0000-0000-000054060000}"/>
    <cellStyle name="Normal 3 3 6" xfId="1631" xr:uid="{00000000-0005-0000-0000-000055060000}"/>
    <cellStyle name="Normal 3 3 7" xfId="1632" xr:uid="{00000000-0005-0000-0000-000056060000}"/>
    <cellStyle name="Normal 3 3 8" xfId="1633" xr:uid="{00000000-0005-0000-0000-000057060000}"/>
    <cellStyle name="Normal 3 3 9" xfId="1634" xr:uid="{00000000-0005-0000-0000-000058060000}"/>
    <cellStyle name="Normal 3 30" xfId="1635" xr:uid="{00000000-0005-0000-0000-000059060000}"/>
    <cellStyle name="Normal 3 30 10" xfId="1636" xr:uid="{00000000-0005-0000-0000-00005A060000}"/>
    <cellStyle name="Normal 3 30 11" xfId="1637" xr:uid="{00000000-0005-0000-0000-00005B060000}"/>
    <cellStyle name="Normal 3 30 12" xfId="1638" xr:uid="{00000000-0005-0000-0000-00005C060000}"/>
    <cellStyle name="Normal 3 30 13" xfId="1639" xr:uid="{00000000-0005-0000-0000-00005D060000}"/>
    <cellStyle name="Normal 3 30 14" xfId="1640" xr:uid="{00000000-0005-0000-0000-00005E060000}"/>
    <cellStyle name="Normal 3 30 15" xfId="1641" xr:uid="{00000000-0005-0000-0000-00005F060000}"/>
    <cellStyle name="Normal 3 30 16" xfId="1642" xr:uid="{00000000-0005-0000-0000-000060060000}"/>
    <cellStyle name="Normal 3 30 17" xfId="1643" xr:uid="{00000000-0005-0000-0000-000061060000}"/>
    <cellStyle name="Normal 3 30 18" xfId="1644" xr:uid="{00000000-0005-0000-0000-000062060000}"/>
    <cellStyle name="Normal 3 30 19" xfId="1645" xr:uid="{00000000-0005-0000-0000-000063060000}"/>
    <cellStyle name="Normal 3 30 2" xfId="1646" xr:uid="{00000000-0005-0000-0000-000064060000}"/>
    <cellStyle name="Normal 3 30 20" xfId="1647" xr:uid="{00000000-0005-0000-0000-000065060000}"/>
    <cellStyle name="Normal 3 30 21" xfId="1648" xr:uid="{00000000-0005-0000-0000-000066060000}"/>
    <cellStyle name="Normal 3 30 22" xfId="1649" xr:uid="{00000000-0005-0000-0000-000067060000}"/>
    <cellStyle name="Normal 3 30 23" xfId="1650" xr:uid="{00000000-0005-0000-0000-000068060000}"/>
    <cellStyle name="Normal 3 30 3" xfId="1651" xr:uid="{00000000-0005-0000-0000-000069060000}"/>
    <cellStyle name="Normal 3 30 4" xfId="1652" xr:uid="{00000000-0005-0000-0000-00006A060000}"/>
    <cellStyle name="Normal 3 30 5" xfId="1653" xr:uid="{00000000-0005-0000-0000-00006B060000}"/>
    <cellStyle name="Normal 3 30 6" xfId="1654" xr:uid="{00000000-0005-0000-0000-00006C060000}"/>
    <cellStyle name="Normal 3 30 7" xfId="1655" xr:uid="{00000000-0005-0000-0000-00006D060000}"/>
    <cellStyle name="Normal 3 30 8" xfId="1656" xr:uid="{00000000-0005-0000-0000-00006E060000}"/>
    <cellStyle name="Normal 3 30 9" xfId="1657" xr:uid="{00000000-0005-0000-0000-00006F060000}"/>
    <cellStyle name="Normal 3 31" xfId="1658" xr:uid="{00000000-0005-0000-0000-000070060000}"/>
    <cellStyle name="Normal 3 31 10" xfId="1659" xr:uid="{00000000-0005-0000-0000-000071060000}"/>
    <cellStyle name="Normal 3 31 11" xfId="1660" xr:uid="{00000000-0005-0000-0000-000072060000}"/>
    <cellStyle name="Normal 3 31 12" xfId="1661" xr:uid="{00000000-0005-0000-0000-000073060000}"/>
    <cellStyle name="Normal 3 31 13" xfId="1662" xr:uid="{00000000-0005-0000-0000-000074060000}"/>
    <cellStyle name="Normal 3 31 14" xfId="1663" xr:uid="{00000000-0005-0000-0000-000075060000}"/>
    <cellStyle name="Normal 3 31 15" xfId="1664" xr:uid="{00000000-0005-0000-0000-000076060000}"/>
    <cellStyle name="Normal 3 31 16" xfId="1665" xr:uid="{00000000-0005-0000-0000-000077060000}"/>
    <cellStyle name="Normal 3 31 17" xfId="1666" xr:uid="{00000000-0005-0000-0000-000078060000}"/>
    <cellStyle name="Normal 3 31 18" xfId="1667" xr:uid="{00000000-0005-0000-0000-000079060000}"/>
    <cellStyle name="Normal 3 31 19" xfId="1668" xr:uid="{00000000-0005-0000-0000-00007A060000}"/>
    <cellStyle name="Normal 3 31 2" xfId="1669" xr:uid="{00000000-0005-0000-0000-00007B060000}"/>
    <cellStyle name="Normal 3 31 20" xfId="1670" xr:uid="{00000000-0005-0000-0000-00007C060000}"/>
    <cellStyle name="Normal 3 31 21" xfId="1671" xr:uid="{00000000-0005-0000-0000-00007D060000}"/>
    <cellStyle name="Normal 3 31 22" xfId="1672" xr:uid="{00000000-0005-0000-0000-00007E060000}"/>
    <cellStyle name="Normal 3 31 23" xfId="1673" xr:uid="{00000000-0005-0000-0000-00007F060000}"/>
    <cellStyle name="Normal 3 31 3" xfId="1674" xr:uid="{00000000-0005-0000-0000-000080060000}"/>
    <cellStyle name="Normal 3 31 4" xfId="1675" xr:uid="{00000000-0005-0000-0000-000081060000}"/>
    <cellStyle name="Normal 3 31 5" xfId="1676" xr:uid="{00000000-0005-0000-0000-000082060000}"/>
    <cellStyle name="Normal 3 31 6" xfId="1677" xr:uid="{00000000-0005-0000-0000-000083060000}"/>
    <cellStyle name="Normal 3 31 7" xfId="1678" xr:uid="{00000000-0005-0000-0000-000084060000}"/>
    <cellStyle name="Normal 3 31 8" xfId="1679" xr:uid="{00000000-0005-0000-0000-000085060000}"/>
    <cellStyle name="Normal 3 31 9" xfId="1680" xr:uid="{00000000-0005-0000-0000-000086060000}"/>
    <cellStyle name="Normal 3 32" xfId="1681" xr:uid="{00000000-0005-0000-0000-000087060000}"/>
    <cellStyle name="Normal 3 32 10" xfId="1682" xr:uid="{00000000-0005-0000-0000-000088060000}"/>
    <cellStyle name="Normal 3 32 11" xfId="1683" xr:uid="{00000000-0005-0000-0000-000089060000}"/>
    <cellStyle name="Normal 3 32 12" xfId="1684" xr:uid="{00000000-0005-0000-0000-00008A060000}"/>
    <cellStyle name="Normal 3 32 13" xfId="1685" xr:uid="{00000000-0005-0000-0000-00008B060000}"/>
    <cellStyle name="Normal 3 32 14" xfId="1686" xr:uid="{00000000-0005-0000-0000-00008C060000}"/>
    <cellStyle name="Normal 3 32 15" xfId="1687" xr:uid="{00000000-0005-0000-0000-00008D060000}"/>
    <cellStyle name="Normal 3 32 16" xfId="1688" xr:uid="{00000000-0005-0000-0000-00008E060000}"/>
    <cellStyle name="Normal 3 32 17" xfId="1689" xr:uid="{00000000-0005-0000-0000-00008F060000}"/>
    <cellStyle name="Normal 3 32 18" xfId="1690" xr:uid="{00000000-0005-0000-0000-000090060000}"/>
    <cellStyle name="Normal 3 32 19" xfId="1691" xr:uid="{00000000-0005-0000-0000-000091060000}"/>
    <cellStyle name="Normal 3 32 2" xfId="1692" xr:uid="{00000000-0005-0000-0000-000092060000}"/>
    <cellStyle name="Normal 3 32 20" xfId="1693" xr:uid="{00000000-0005-0000-0000-000093060000}"/>
    <cellStyle name="Normal 3 32 21" xfId="1694" xr:uid="{00000000-0005-0000-0000-000094060000}"/>
    <cellStyle name="Normal 3 32 22" xfId="1695" xr:uid="{00000000-0005-0000-0000-000095060000}"/>
    <cellStyle name="Normal 3 32 23" xfId="1696" xr:uid="{00000000-0005-0000-0000-000096060000}"/>
    <cellStyle name="Normal 3 32 3" xfId="1697" xr:uid="{00000000-0005-0000-0000-000097060000}"/>
    <cellStyle name="Normal 3 32 4" xfId="1698" xr:uid="{00000000-0005-0000-0000-000098060000}"/>
    <cellStyle name="Normal 3 32 5" xfId="1699" xr:uid="{00000000-0005-0000-0000-000099060000}"/>
    <cellStyle name="Normal 3 32 6" xfId="1700" xr:uid="{00000000-0005-0000-0000-00009A060000}"/>
    <cellStyle name="Normal 3 32 7" xfId="1701" xr:uid="{00000000-0005-0000-0000-00009B060000}"/>
    <cellStyle name="Normal 3 32 8" xfId="1702" xr:uid="{00000000-0005-0000-0000-00009C060000}"/>
    <cellStyle name="Normal 3 32 9" xfId="1703" xr:uid="{00000000-0005-0000-0000-00009D060000}"/>
    <cellStyle name="Normal 3 33" xfId="1704" xr:uid="{00000000-0005-0000-0000-00009E060000}"/>
    <cellStyle name="Normal 3 33 10" xfId="1705" xr:uid="{00000000-0005-0000-0000-00009F060000}"/>
    <cellStyle name="Normal 3 33 11" xfId="1706" xr:uid="{00000000-0005-0000-0000-0000A0060000}"/>
    <cellStyle name="Normal 3 33 12" xfId="1707" xr:uid="{00000000-0005-0000-0000-0000A1060000}"/>
    <cellStyle name="Normal 3 33 13" xfId="1708" xr:uid="{00000000-0005-0000-0000-0000A2060000}"/>
    <cellStyle name="Normal 3 33 14" xfId="1709" xr:uid="{00000000-0005-0000-0000-0000A3060000}"/>
    <cellStyle name="Normal 3 33 15" xfId="1710" xr:uid="{00000000-0005-0000-0000-0000A4060000}"/>
    <cellStyle name="Normal 3 33 16" xfId="1711" xr:uid="{00000000-0005-0000-0000-0000A5060000}"/>
    <cellStyle name="Normal 3 33 17" xfId="1712" xr:uid="{00000000-0005-0000-0000-0000A6060000}"/>
    <cellStyle name="Normal 3 33 18" xfId="1713" xr:uid="{00000000-0005-0000-0000-0000A7060000}"/>
    <cellStyle name="Normal 3 33 19" xfId="1714" xr:uid="{00000000-0005-0000-0000-0000A8060000}"/>
    <cellStyle name="Normal 3 33 2" xfId="1715" xr:uid="{00000000-0005-0000-0000-0000A9060000}"/>
    <cellStyle name="Normal 3 33 20" xfId="1716" xr:uid="{00000000-0005-0000-0000-0000AA060000}"/>
    <cellStyle name="Normal 3 33 21" xfId="1717" xr:uid="{00000000-0005-0000-0000-0000AB060000}"/>
    <cellStyle name="Normal 3 33 22" xfId="1718" xr:uid="{00000000-0005-0000-0000-0000AC060000}"/>
    <cellStyle name="Normal 3 33 23" xfId="1719" xr:uid="{00000000-0005-0000-0000-0000AD060000}"/>
    <cellStyle name="Normal 3 33 3" xfId="1720" xr:uid="{00000000-0005-0000-0000-0000AE060000}"/>
    <cellStyle name="Normal 3 33 4" xfId="1721" xr:uid="{00000000-0005-0000-0000-0000AF060000}"/>
    <cellStyle name="Normal 3 33 5" xfId="1722" xr:uid="{00000000-0005-0000-0000-0000B0060000}"/>
    <cellStyle name="Normal 3 33 6" xfId="1723" xr:uid="{00000000-0005-0000-0000-0000B1060000}"/>
    <cellStyle name="Normal 3 33 7" xfId="1724" xr:uid="{00000000-0005-0000-0000-0000B2060000}"/>
    <cellStyle name="Normal 3 33 8" xfId="1725" xr:uid="{00000000-0005-0000-0000-0000B3060000}"/>
    <cellStyle name="Normal 3 33 9" xfId="1726" xr:uid="{00000000-0005-0000-0000-0000B4060000}"/>
    <cellStyle name="Normal 3 34" xfId="1727" xr:uid="{00000000-0005-0000-0000-0000B5060000}"/>
    <cellStyle name="Normal 3 35" xfId="1728" xr:uid="{00000000-0005-0000-0000-0000B6060000}"/>
    <cellStyle name="Normal 3 36" xfId="1729" xr:uid="{00000000-0005-0000-0000-0000B7060000}"/>
    <cellStyle name="Normal 3 37" xfId="1730" xr:uid="{00000000-0005-0000-0000-0000B8060000}"/>
    <cellStyle name="Normal 3 38" xfId="1731" xr:uid="{00000000-0005-0000-0000-0000B9060000}"/>
    <cellStyle name="Normal 3 39" xfId="1732" xr:uid="{00000000-0005-0000-0000-0000BA060000}"/>
    <cellStyle name="Normal 3 4" xfId="1733" xr:uid="{00000000-0005-0000-0000-0000BB060000}"/>
    <cellStyle name="Normal 3 4 10" xfId="1734" xr:uid="{00000000-0005-0000-0000-0000BC060000}"/>
    <cellStyle name="Normal 3 4 11" xfId="1735" xr:uid="{00000000-0005-0000-0000-0000BD060000}"/>
    <cellStyle name="Normal 3 4 12" xfId="1736" xr:uid="{00000000-0005-0000-0000-0000BE060000}"/>
    <cellStyle name="Normal 3 4 13" xfId="1737" xr:uid="{00000000-0005-0000-0000-0000BF060000}"/>
    <cellStyle name="Normal 3 4 14" xfId="1738" xr:uid="{00000000-0005-0000-0000-0000C0060000}"/>
    <cellStyle name="Normal 3 4 15" xfId="1739" xr:uid="{00000000-0005-0000-0000-0000C1060000}"/>
    <cellStyle name="Normal 3 4 16" xfId="1740" xr:uid="{00000000-0005-0000-0000-0000C2060000}"/>
    <cellStyle name="Normal 3 4 17" xfId="1741" xr:uid="{00000000-0005-0000-0000-0000C3060000}"/>
    <cellStyle name="Normal 3 4 18" xfId="1742" xr:uid="{00000000-0005-0000-0000-0000C4060000}"/>
    <cellStyle name="Normal 3 4 19" xfId="1743" xr:uid="{00000000-0005-0000-0000-0000C5060000}"/>
    <cellStyle name="Normal 3 4 2" xfId="1744" xr:uid="{00000000-0005-0000-0000-0000C6060000}"/>
    <cellStyle name="Normal 3 4 20" xfId="1745" xr:uid="{00000000-0005-0000-0000-0000C7060000}"/>
    <cellStyle name="Normal 3 4 21" xfId="1746" xr:uid="{00000000-0005-0000-0000-0000C8060000}"/>
    <cellStyle name="Normal 3 4 22" xfId="1747" xr:uid="{00000000-0005-0000-0000-0000C9060000}"/>
    <cellStyle name="Normal 3 4 23" xfId="1748" xr:uid="{00000000-0005-0000-0000-0000CA060000}"/>
    <cellStyle name="Normal 3 4 3" xfId="1749" xr:uid="{00000000-0005-0000-0000-0000CB060000}"/>
    <cellStyle name="Normal 3 4 4" xfId="1750" xr:uid="{00000000-0005-0000-0000-0000CC060000}"/>
    <cellStyle name="Normal 3 4 5" xfId="1751" xr:uid="{00000000-0005-0000-0000-0000CD060000}"/>
    <cellStyle name="Normal 3 4 6" xfId="1752" xr:uid="{00000000-0005-0000-0000-0000CE060000}"/>
    <cellStyle name="Normal 3 4 7" xfId="1753" xr:uid="{00000000-0005-0000-0000-0000CF060000}"/>
    <cellStyle name="Normal 3 4 8" xfId="1754" xr:uid="{00000000-0005-0000-0000-0000D0060000}"/>
    <cellStyle name="Normal 3 4 9" xfId="1755" xr:uid="{00000000-0005-0000-0000-0000D1060000}"/>
    <cellStyle name="Normal 3 40" xfId="1756" xr:uid="{00000000-0005-0000-0000-0000D2060000}"/>
    <cellStyle name="Normal 3 41" xfId="1757" xr:uid="{00000000-0005-0000-0000-0000D3060000}"/>
    <cellStyle name="Normal 3 42" xfId="1758" xr:uid="{00000000-0005-0000-0000-0000D4060000}"/>
    <cellStyle name="Normal 3 43" xfId="1759" xr:uid="{00000000-0005-0000-0000-0000D5060000}"/>
    <cellStyle name="Normal 3 44" xfId="1760" xr:uid="{00000000-0005-0000-0000-0000D6060000}"/>
    <cellStyle name="Normal 3 45" xfId="1761" xr:uid="{00000000-0005-0000-0000-0000D7060000}"/>
    <cellStyle name="Normal 3 46" xfId="1762" xr:uid="{00000000-0005-0000-0000-0000D8060000}"/>
    <cellStyle name="Normal 3 47" xfId="1763" xr:uid="{00000000-0005-0000-0000-0000D9060000}"/>
    <cellStyle name="Normal 3 48" xfId="1764" xr:uid="{00000000-0005-0000-0000-0000DA060000}"/>
    <cellStyle name="Normal 3 49" xfId="1765" xr:uid="{00000000-0005-0000-0000-0000DB060000}"/>
    <cellStyle name="Normal 3 5" xfId="1766" xr:uid="{00000000-0005-0000-0000-0000DC060000}"/>
    <cellStyle name="Normal 3 5 10" xfId="1767" xr:uid="{00000000-0005-0000-0000-0000DD060000}"/>
    <cellStyle name="Normal 3 5 11" xfId="1768" xr:uid="{00000000-0005-0000-0000-0000DE060000}"/>
    <cellStyle name="Normal 3 5 12" xfId="1769" xr:uid="{00000000-0005-0000-0000-0000DF060000}"/>
    <cellStyle name="Normal 3 5 13" xfId="1770" xr:uid="{00000000-0005-0000-0000-0000E0060000}"/>
    <cellStyle name="Normal 3 5 14" xfId="1771" xr:uid="{00000000-0005-0000-0000-0000E1060000}"/>
    <cellStyle name="Normal 3 5 15" xfId="1772" xr:uid="{00000000-0005-0000-0000-0000E2060000}"/>
    <cellStyle name="Normal 3 5 16" xfId="1773" xr:uid="{00000000-0005-0000-0000-0000E3060000}"/>
    <cellStyle name="Normal 3 5 17" xfId="1774" xr:uid="{00000000-0005-0000-0000-0000E4060000}"/>
    <cellStyle name="Normal 3 5 18" xfId="1775" xr:uid="{00000000-0005-0000-0000-0000E5060000}"/>
    <cellStyle name="Normal 3 5 19" xfId="1776" xr:uid="{00000000-0005-0000-0000-0000E6060000}"/>
    <cellStyle name="Normal 3 5 2" xfId="1777" xr:uid="{00000000-0005-0000-0000-0000E7060000}"/>
    <cellStyle name="Normal 3 5 20" xfId="1778" xr:uid="{00000000-0005-0000-0000-0000E8060000}"/>
    <cellStyle name="Normal 3 5 21" xfId="1779" xr:uid="{00000000-0005-0000-0000-0000E9060000}"/>
    <cellStyle name="Normal 3 5 22" xfId="1780" xr:uid="{00000000-0005-0000-0000-0000EA060000}"/>
    <cellStyle name="Normal 3 5 23" xfId="1781" xr:uid="{00000000-0005-0000-0000-0000EB060000}"/>
    <cellStyle name="Normal 3 5 3" xfId="1782" xr:uid="{00000000-0005-0000-0000-0000EC060000}"/>
    <cellStyle name="Normal 3 5 4" xfId="1783" xr:uid="{00000000-0005-0000-0000-0000ED060000}"/>
    <cellStyle name="Normal 3 5 5" xfId="1784" xr:uid="{00000000-0005-0000-0000-0000EE060000}"/>
    <cellStyle name="Normal 3 5 6" xfId="1785" xr:uid="{00000000-0005-0000-0000-0000EF060000}"/>
    <cellStyle name="Normal 3 5 7" xfId="1786" xr:uid="{00000000-0005-0000-0000-0000F0060000}"/>
    <cellStyle name="Normal 3 5 8" xfId="1787" xr:uid="{00000000-0005-0000-0000-0000F1060000}"/>
    <cellStyle name="Normal 3 5 9" xfId="1788" xr:uid="{00000000-0005-0000-0000-0000F2060000}"/>
    <cellStyle name="Normal 3 50" xfId="1789" xr:uid="{00000000-0005-0000-0000-0000F3060000}"/>
    <cellStyle name="Normal 3 51" xfId="1790" xr:uid="{00000000-0005-0000-0000-0000F4060000}"/>
    <cellStyle name="Normal 3 52" xfId="1791" xr:uid="{00000000-0005-0000-0000-0000F5060000}"/>
    <cellStyle name="Normal 3 53" xfId="1792" xr:uid="{00000000-0005-0000-0000-0000F6060000}"/>
    <cellStyle name="Normal 3 54" xfId="1793" xr:uid="{00000000-0005-0000-0000-0000F7060000}"/>
    <cellStyle name="Normal 3 55" xfId="1794" xr:uid="{00000000-0005-0000-0000-0000F8060000}"/>
    <cellStyle name="Normal 3 56" xfId="1795" xr:uid="{00000000-0005-0000-0000-0000F9060000}"/>
    <cellStyle name="Normal 3 57" xfId="1796" xr:uid="{00000000-0005-0000-0000-0000FA060000}"/>
    <cellStyle name="Normal 3 58" xfId="1797" xr:uid="{00000000-0005-0000-0000-0000FB060000}"/>
    <cellStyle name="Normal 3 59" xfId="1798" xr:uid="{00000000-0005-0000-0000-0000FC060000}"/>
    <cellStyle name="Normal 3 6" xfId="1799" xr:uid="{00000000-0005-0000-0000-0000FD060000}"/>
    <cellStyle name="Normal 3 6 10" xfId="1800" xr:uid="{00000000-0005-0000-0000-0000FE060000}"/>
    <cellStyle name="Normal 3 6 11" xfId="1801" xr:uid="{00000000-0005-0000-0000-0000FF060000}"/>
    <cellStyle name="Normal 3 6 12" xfId="1802" xr:uid="{00000000-0005-0000-0000-000000070000}"/>
    <cellStyle name="Normal 3 6 13" xfId="1803" xr:uid="{00000000-0005-0000-0000-000001070000}"/>
    <cellStyle name="Normal 3 6 14" xfId="1804" xr:uid="{00000000-0005-0000-0000-000002070000}"/>
    <cellStyle name="Normal 3 6 15" xfId="1805" xr:uid="{00000000-0005-0000-0000-000003070000}"/>
    <cellStyle name="Normal 3 6 16" xfId="1806" xr:uid="{00000000-0005-0000-0000-000004070000}"/>
    <cellStyle name="Normal 3 6 17" xfId="1807" xr:uid="{00000000-0005-0000-0000-000005070000}"/>
    <cellStyle name="Normal 3 6 18" xfId="1808" xr:uid="{00000000-0005-0000-0000-000006070000}"/>
    <cellStyle name="Normal 3 6 19" xfId="1809" xr:uid="{00000000-0005-0000-0000-000007070000}"/>
    <cellStyle name="Normal 3 6 2" xfId="1810" xr:uid="{00000000-0005-0000-0000-000008070000}"/>
    <cellStyle name="Normal 3 6 20" xfId="1811" xr:uid="{00000000-0005-0000-0000-000009070000}"/>
    <cellStyle name="Normal 3 6 21" xfId="1812" xr:uid="{00000000-0005-0000-0000-00000A070000}"/>
    <cellStyle name="Normal 3 6 22" xfId="1813" xr:uid="{00000000-0005-0000-0000-00000B070000}"/>
    <cellStyle name="Normal 3 6 23" xfId="1814" xr:uid="{00000000-0005-0000-0000-00000C070000}"/>
    <cellStyle name="Normal 3 6 3" xfId="1815" xr:uid="{00000000-0005-0000-0000-00000D070000}"/>
    <cellStyle name="Normal 3 6 4" xfId="1816" xr:uid="{00000000-0005-0000-0000-00000E070000}"/>
    <cellStyle name="Normal 3 6 5" xfId="1817" xr:uid="{00000000-0005-0000-0000-00000F070000}"/>
    <cellStyle name="Normal 3 6 6" xfId="1818" xr:uid="{00000000-0005-0000-0000-000010070000}"/>
    <cellStyle name="Normal 3 6 7" xfId="1819" xr:uid="{00000000-0005-0000-0000-000011070000}"/>
    <cellStyle name="Normal 3 6 8" xfId="1820" xr:uid="{00000000-0005-0000-0000-000012070000}"/>
    <cellStyle name="Normal 3 6 9" xfId="1821" xr:uid="{00000000-0005-0000-0000-000013070000}"/>
    <cellStyle name="Normal 3 60" xfId="1822" xr:uid="{00000000-0005-0000-0000-000014070000}"/>
    <cellStyle name="Normal 3 61" xfId="1823" xr:uid="{00000000-0005-0000-0000-000015070000}"/>
    <cellStyle name="Normal 3 62" xfId="1824" xr:uid="{00000000-0005-0000-0000-000016070000}"/>
    <cellStyle name="Normal 3 63" xfId="1825" xr:uid="{00000000-0005-0000-0000-000017070000}"/>
    <cellStyle name="Normal 3 64" xfId="1826" xr:uid="{00000000-0005-0000-0000-000018070000}"/>
    <cellStyle name="Normal 3 65" xfId="1827" xr:uid="{00000000-0005-0000-0000-000019070000}"/>
    <cellStyle name="Normal 3 66" xfId="1064" xr:uid="{00000000-0005-0000-0000-00001A070000}"/>
    <cellStyle name="Normal 3 67" xfId="2065" xr:uid="{00000000-0005-0000-0000-000030050000}"/>
    <cellStyle name="Normal 3 7" xfId="1828" xr:uid="{00000000-0005-0000-0000-00001B070000}"/>
    <cellStyle name="Normal 3 7 10" xfId="1829" xr:uid="{00000000-0005-0000-0000-00001C070000}"/>
    <cellStyle name="Normal 3 7 11" xfId="1830" xr:uid="{00000000-0005-0000-0000-00001D070000}"/>
    <cellStyle name="Normal 3 7 12" xfId="1831" xr:uid="{00000000-0005-0000-0000-00001E070000}"/>
    <cellStyle name="Normal 3 7 13" xfId="1832" xr:uid="{00000000-0005-0000-0000-00001F070000}"/>
    <cellStyle name="Normal 3 7 14" xfId="1833" xr:uid="{00000000-0005-0000-0000-000020070000}"/>
    <cellStyle name="Normal 3 7 15" xfId="1834" xr:uid="{00000000-0005-0000-0000-000021070000}"/>
    <cellStyle name="Normal 3 7 16" xfId="1835" xr:uid="{00000000-0005-0000-0000-000022070000}"/>
    <cellStyle name="Normal 3 7 17" xfId="1836" xr:uid="{00000000-0005-0000-0000-000023070000}"/>
    <cellStyle name="Normal 3 7 18" xfId="1837" xr:uid="{00000000-0005-0000-0000-000024070000}"/>
    <cellStyle name="Normal 3 7 19" xfId="1838" xr:uid="{00000000-0005-0000-0000-000025070000}"/>
    <cellStyle name="Normal 3 7 2" xfId="1839" xr:uid="{00000000-0005-0000-0000-000026070000}"/>
    <cellStyle name="Normal 3 7 20" xfId="1840" xr:uid="{00000000-0005-0000-0000-000027070000}"/>
    <cellStyle name="Normal 3 7 21" xfId="1841" xr:uid="{00000000-0005-0000-0000-000028070000}"/>
    <cellStyle name="Normal 3 7 22" xfId="1842" xr:uid="{00000000-0005-0000-0000-000029070000}"/>
    <cellStyle name="Normal 3 7 23" xfId="1843" xr:uid="{00000000-0005-0000-0000-00002A070000}"/>
    <cellStyle name="Normal 3 7 3" xfId="1844" xr:uid="{00000000-0005-0000-0000-00002B070000}"/>
    <cellStyle name="Normal 3 7 4" xfId="1845" xr:uid="{00000000-0005-0000-0000-00002C070000}"/>
    <cellStyle name="Normal 3 7 5" xfId="1846" xr:uid="{00000000-0005-0000-0000-00002D070000}"/>
    <cellStyle name="Normal 3 7 6" xfId="1847" xr:uid="{00000000-0005-0000-0000-00002E070000}"/>
    <cellStyle name="Normal 3 7 7" xfId="1848" xr:uid="{00000000-0005-0000-0000-00002F070000}"/>
    <cellStyle name="Normal 3 7 8" xfId="1849" xr:uid="{00000000-0005-0000-0000-000030070000}"/>
    <cellStyle name="Normal 3 7 9" xfId="1850" xr:uid="{00000000-0005-0000-0000-000031070000}"/>
    <cellStyle name="Normal 3 7_Summary" xfId="2400" xr:uid="{00000000-0005-0000-0000-000045080000}"/>
    <cellStyle name="Normal 3 8" xfId="1851" xr:uid="{00000000-0005-0000-0000-000032070000}"/>
    <cellStyle name="Normal 3 8 10" xfId="1852" xr:uid="{00000000-0005-0000-0000-000033070000}"/>
    <cellStyle name="Normal 3 8 11" xfId="1853" xr:uid="{00000000-0005-0000-0000-000034070000}"/>
    <cellStyle name="Normal 3 8 12" xfId="1854" xr:uid="{00000000-0005-0000-0000-000035070000}"/>
    <cellStyle name="Normal 3 8 13" xfId="1855" xr:uid="{00000000-0005-0000-0000-000036070000}"/>
    <cellStyle name="Normal 3 8 14" xfId="1856" xr:uid="{00000000-0005-0000-0000-000037070000}"/>
    <cellStyle name="Normal 3 8 15" xfId="1857" xr:uid="{00000000-0005-0000-0000-000038070000}"/>
    <cellStyle name="Normal 3 8 16" xfId="1858" xr:uid="{00000000-0005-0000-0000-000039070000}"/>
    <cellStyle name="Normal 3 8 17" xfId="1859" xr:uid="{00000000-0005-0000-0000-00003A070000}"/>
    <cellStyle name="Normal 3 8 18" xfId="1860" xr:uid="{00000000-0005-0000-0000-00003B070000}"/>
    <cellStyle name="Normal 3 8 19" xfId="1861" xr:uid="{00000000-0005-0000-0000-00003C070000}"/>
    <cellStyle name="Normal 3 8 2" xfId="1862" xr:uid="{00000000-0005-0000-0000-00003D070000}"/>
    <cellStyle name="Normal 3 8 20" xfId="1863" xr:uid="{00000000-0005-0000-0000-00003E070000}"/>
    <cellStyle name="Normal 3 8 21" xfId="1864" xr:uid="{00000000-0005-0000-0000-00003F070000}"/>
    <cellStyle name="Normal 3 8 22" xfId="1865" xr:uid="{00000000-0005-0000-0000-000040070000}"/>
    <cellStyle name="Normal 3 8 23" xfId="1866" xr:uid="{00000000-0005-0000-0000-000041070000}"/>
    <cellStyle name="Normal 3 8 3" xfId="1867" xr:uid="{00000000-0005-0000-0000-000042070000}"/>
    <cellStyle name="Normal 3 8 4" xfId="1868" xr:uid="{00000000-0005-0000-0000-000043070000}"/>
    <cellStyle name="Normal 3 8 5" xfId="1869" xr:uid="{00000000-0005-0000-0000-000044070000}"/>
    <cellStyle name="Normal 3 8 6" xfId="1870" xr:uid="{00000000-0005-0000-0000-000045070000}"/>
    <cellStyle name="Normal 3 8 7" xfId="1871" xr:uid="{00000000-0005-0000-0000-000046070000}"/>
    <cellStyle name="Normal 3 8 8" xfId="1872" xr:uid="{00000000-0005-0000-0000-000047070000}"/>
    <cellStyle name="Normal 3 8 9" xfId="1873" xr:uid="{00000000-0005-0000-0000-000048070000}"/>
    <cellStyle name="Normal 3 9" xfId="1874" xr:uid="{00000000-0005-0000-0000-000049070000}"/>
    <cellStyle name="Normal 3 9 10" xfId="1875" xr:uid="{00000000-0005-0000-0000-00004A070000}"/>
    <cellStyle name="Normal 3 9 11" xfId="1876" xr:uid="{00000000-0005-0000-0000-00004B070000}"/>
    <cellStyle name="Normal 3 9 12" xfId="1877" xr:uid="{00000000-0005-0000-0000-00004C070000}"/>
    <cellStyle name="Normal 3 9 13" xfId="1878" xr:uid="{00000000-0005-0000-0000-00004D070000}"/>
    <cellStyle name="Normal 3 9 14" xfId="1879" xr:uid="{00000000-0005-0000-0000-00004E070000}"/>
    <cellStyle name="Normal 3 9 15" xfId="1880" xr:uid="{00000000-0005-0000-0000-00004F070000}"/>
    <cellStyle name="Normal 3 9 16" xfId="1881" xr:uid="{00000000-0005-0000-0000-000050070000}"/>
    <cellStyle name="Normal 3 9 17" xfId="1882" xr:uid="{00000000-0005-0000-0000-000051070000}"/>
    <cellStyle name="Normal 3 9 18" xfId="1883" xr:uid="{00000000-0005-0000-0000-000052070000}"/>
    <cellStyle name="Normal 3 9 19" xfId="1884" xr:uid="{00000000-0005-0000-0000-000053070000}"/>
    <cellStyle name="Normal 3 9 2" xfId="1885" xr:uid="{00000000-0005-0000-0000-000054070000}"/>
    <cellStyle name="Normal 3 9 20" xfId="1886" xr:uid="{00000000-0005-0000-0000-000055070000}"/>
    <cellStyle name="Normal 3 9 21" xfId="1887" xr:uid="{00000000-0005-0000-0000-000056070000}"/>
    <cellStyle name="Normal 3 9 22" xfId="1888" xr:uid="{00000000-0005-0000-0000-000057070000}"/>
    <cellStyle name="Normal 3 9 23" xfId="1889" xr:uid="{00000000-0005-0000-0000-000058070000}"/>
    <cellStyle name="Normal 3 9 3" xfId="1890" xr:uid="{00000000-0005-0000-0000-000059070000}"/>
    <cellStyle name="Normal 3 9 4" xfId="1891" xr:uid="{00000000-0005-0000-0000-00005A070000}"/>
    <cellStyle name="Normal 3 9 5" xfId="1892" xr:uid="{00000000-0005-0000-0000-00005B070000}"/>
    <cellStyle name="Normal 3 9 6" xfId="1893" xr:uid="{00000000-0005-0000-0000-00005C070000}"/>
    <cellStyle name="Normal 3 9 7" xfId="1894" xr:uid="{00000000-0005-0000-0000-00005D070000}"/>
    <cellStyle name="Normal 3 9 8" xfId="1895" xr:uid="{00000000-0005-0000-0000-00005E070000}"/>
    <cellStyle name="Normal 3 9 9" xfId="1896" xr:uid="{00000000-0005-0000-0000-00005F070000}"/>
    <cellStyle name="Normal 3 9_Summary" xfId="2403" xr:uid="{00000000-0005-0000-0000-000074080000}"/>
    <cellStyle name="Normal 3_Rates" xfId="2404" xr:uid="{00000000-0005-0000-0000-000075080000}"/>
    <cellStyle name="Normal 31" xfId="1999" xr:uid="{00000000-0005-0000-0000-000076080000}"/>
    <cellStyle name="Normal 4" xfId="52" xr:uid="{00000000-0005-0000-0000-000060070000}"/>
    <cellStyle name="Normal 4 2" xfId="1898" xr:uid="{00000000-0005-0000-0000-000061070000}"/>
    <cellStyle name="Normal 4 2 2" xfId="2068" xr:uid="{00000000-0005-0000-0000-000079080000}"/>
    <cellStyle name="Normal 4 2 3" xfId="2405" xr:uid="{00000000-0005-0000-0000-00007A080000}"/>
    <cellStyle name="Normal 4 2 4" xfId="2406" xr:uid="{00000000-0005-0000-0000-00007B080000}"/>
    <cellStyle name="Normal 4 2 5" xfId="2067" xr:uid="{00000000-0005-0000-0000-000078080000}"/>
    <cellStyle name="Normal 4 26" xfId="2407" xr:uid="{00000000-0005-0000-0000-00007C080000}"/>
    <cellStyle name="Normal 4 26 2" xfId="2408" xr:uid="{00000000-0005-0000-0000-00007D080000}"/>
    <cellStyle name="Normal 4 3" xfId="1897" xr:uid="{00000000-0005-0000-0000-000062070000}"/>
    <cellStyle name="Normal 4 3 2" xfId="2000" xr:uid="{00000000-0005-0000-0000-00007E080000}"/>
    <cellStyle name="Normal 4 4" xfId="2066" xr:uid="{00000000-0005-0000-0000-000077080000}"/>
    <cellStyle name="Normal 5" xfId="43" xr:uid="{00000000-0005-0000-0000-000063070000}"/>
    <cellStyle name="Normal 5 10" xfId="1899" xr:uid="{00000000-0005-0000-0000-000064070000}"/>
    <cellStyle name="Normal 5 11" xfId="1900" xr:uid="{00000000-0005-0000-0000-000065070000}"/>
    <cellStyle name="Normal 5 12" xfId="1901" xr:uid="{00000000-0005-0000-0000-000066070000}"/>
    <cellStyle name="Normal 5 13" xfId="1902" xr:uid="{00000000-0005-0000-0000-000067070000}"/>
    <cellStyle name="Normal 5 14" xfId="1903" xr:uid="{00000000-0005-0000-0000-000068070000}"/>
    <cellStyle name="Normal 5 15" xfId="1904" xr:uid="{00000000-0005-0000-0000-000069070000}"/>
    <cellStyle name="Normal 5 16" xfId="1905" xr:uid="{00000000-0005-0000-0000-00006A070000}"/>
    <cellStyle name="Normal 5 17" xfId="1906" xr:uid="{00000000-0005-0000-0000-00006B070000}"/>
    <cellStyle name="Normal 5 18" xfId="1907" xr:uid="{00000000-0005-0000-0000-00006C070000}"/>
    <cellStyle name="Normal 5 19" xfId="1908" xr:uid="{00000000-0005-0000-0000-00006D070000}"/>
    <cellStyle name="Normal 5 2" xfId="1909" xr:uid="{00000000-0005-0000-0000-00006E070000}"/>
    <cellStyle name="Normal 5 2 10" xfId="1910" xr:uid="{00000000-0005-0000-0000-00006F070000}"/>
    <cellStyle name="Normal 5 2 11" xfId="1911" xr:uid="{00000000-0005-0000-0000-000070070000}"/>
    <cellStyle name="Normal 5 2 12" xfId="1912" xr:uid="{00000000-0005-0000-0000-000071070000}"/>
    <cellStyle name="Normal 5 2 13" xfId="1913" xr:uid="{00000000-0005-0000-0000-000072070000}"/>
    <cellStyle name="Normal 5 2 14" xfId="1914" xr:uid="{00000000-0005-0000-0000-000073070000}"/>
    <cellStyle name="Normal 5 2 15" xfId="1915" xr:uid="{00000000-0005-0000-0000-000074070000}"/>
    <cellStyle name="Normal 5 2 16" xfId="1916" xr:uid="{00000000-0005-0000-0000-000075070000}"/>
    <cellStyle name="Normal 5 2 17" xfId="1917" xr:uid="{00000000-0005-0000-0000-000076070000}"/>
    <cellStyle name="Normal 5 2 18" xfId="1918" xr:uid="{00000000-0005-0000-0000-000077070000}"/>
    <cellStyle name="Normal 5 2 19" xfId="1919" xr:uid="{00000000-0005-0000-0000-000078070000}"/>
    <cellStyle name="Normal 5 2 2" xfId="1920" xr:uid="{00000000-0005-0000-0000-000079070000}"/>
    <cellStyle name="Normal 5 2 20" xfId="1921" xr:uid="{00000000-0005-0000-0000-00007A070000}"/>
    <cellStyle name="Normal 5 2 21" xfId="1922" xr:uid="{00000000-0005-0000-0000-00007B070000}"/>
    <cellStyle name="Normal 5 2 22" xfId="1923" xr:uid="{00000000-0005-0000-0000-00007C070000}"/>
    <cellStyle name="Normal 5 2 23" xfId="1924" xr:uid="{00000000-0005-0000-0000-00007D070000}"/>
    <cellStyle name="Normal 5 2 3" xfId="1925" xr:uid="{00000000-0005-0000-0000-00007E070000}"/>
    <cellStyle name="Normal 5 2 4" xfId="1926" xr:uid="{00000000-0005-0000-0000-00007F070000}"/>
    <cellStyle name="Normal 5 2 5" xfId="1927" xr:uid="{00000000-0005-0000-0000-000080070000}"/>
    <cellStyle name="Normal 5 2 6" xfId="1928" xr:uid="{00000000-0005-0000-0000-000081070000}"/>
    <cellStyle name="Normal 5 2 7" xfId="1929" xr:uid="{00000000-0005-0000-0000-000082070000}"/>
    <cellStyle name="Normal 5 2 8" xfId="1930" xr:uid="{00000000-0005-0000-0000-000083070000}"/>
    <cellStyle name="Normal 5 2 9" xfId="1931" xr:uid="{00000000-0005-0000-0000-000084070000}"/>
    <cellStyle name="Normal 5 20" xfId="1932" xr:uid="{00000000-0005-0000-0000-000085070000}"/>
    <cellStyle name="Normal 5 21" xfId="1933" xr:uid="{00000000-0005-0000-0000-000086070000}"/>
    <cellStyle name="Normal 5 22" xfId="1934" xr:uid="{00000000-0005-0000-0000-000087070000}"/>
    <cellStyle name="Normal 5 23" xfId="1935" xr:uid="{00000000-0005-0000-0000-000088070000}"/>
    <cellStyle name="Normal 5 24" xfId="1936" xr:uid="{00000000-0005-0000-0000-000089070000}"/>
    <cellStyle name="Normal 5 25" xfId="2069" xr:uid="{00000000-0005-0000-0000-00007F080000}"/>
    <cellStyle name="Normal 5 3" xfId="1937" xr:uid="{00000000-0005-0000-0000-00008A070000}"/>
    <cellStyle name="Normal 5 4" xfId="1938" xr:uid="{00000000-0005-0000-0000-00008B070000}"/>
    <cellStyle name="Normal 5 5" xfId="1939" xr:uid="{00000000-0005-0000-0000-00008C070000}"/>
    <cellStyle name="Normal 5 6" xfId="1940" xr:uid="{00000000-0005-0000-0000-00008D070000}"/>
    <cellStyle name="Normal 5 7" xfId="1941" xr:uid="{00000000-0005-0000-0000-00008E070000}"/>
    <cellStyle name="Normal 5 8" xfId="1942" xr:uid="{00000000-0005-0000-0000-00008F070000}"/>
    <cellStyle name="Normal 5 9" xfId="1943" xr:uid="{00000000-0005-0000-0000-000090070000}"/>
    <cellStyle name="Normal 5_Summary" xfId="2410" xr:uid="{00000000-0005-0000-0000-0000AD080000}"/>
    <cellStyle name="Normal 6" xfId="1944" xr:uid="{00000000-0005-0000-0000-000091070000}"/>
    <cellStyle name="Normal 6 2" xfId="2071" xr:uid="{00000000-0005-0000-0000-0000AF080000}"/>
    <cellStyle name="Normal 6 2 2" xfId="2072" xr:uid="{00000000-0005-0000-0000-0000B0080000}"/>
    <cellStyle name="Normal 6 2 2 2" xfId="2073" xr:uid="{00000000-0005-0000-0000-0000B1080000}"/>
    <cellStyle name="Normal 6 2 3" xfId="2074" xr:uid="{00000000-0005-0000-0000-0000B2080000}"/>
    <cellStyle name="Normal 6 3" xfId="2075" xr:uid="{00000000-0005-0000-0000-0000B3080000}"/>
    <cellStyle name="Normal 6 3 2" xfId="2076" xr:uid="{00000000-0005-0000-0000-0000B4080000}"/>
    <cellStyle name="Normal 6 4" xfId="2077" xr:uid="{00000000-0005-0000-0000-0000B5080000}"/>
    <cellStyle name="Normal 6 5" xfId="2070" xr:uid="{00000000-0005-0000-0000-0000AE080000}"/>
    <cellStyle name="Normal 7" xfId="1945" xr:uid="{00000000-0005-0000-0000-000092070000}"/>
    <cellStyle name="Normal 7 10" xfId="1946" xr:uid="{00000000-0005-0000-0000-000093070000}"/>
    <cellStyle name="Normal 7 11" xfId="1947" xr:uid="{00000000-0005-0000-0000-000094070000}"/>
    <cellStyle name="Normal 7 12" xfId="1948" xr:uid="{00000000-0005-0000-0000-000095070000}"/>
    <cellStyle name="Normal 7 13" xfId="1949" xr:uid="{00000000-0005-0000-0000-000096070000}"/>
    <cellStyle name="Normal 7 14" xfId="1950" xr:uid="{00000000-0005-0000-0000-000097070000}"/>
    <cellStyle name="Normal 7 15" xfId="1951" xr:uid="{00000000-0005-0000-0000-000098070000}"/>
    <cellStyle name="Normal 7 16" xfId="1952" xr:uid="{00000000-0005-0000-0000-000099070000}"/>
    <cellStyle name="Normal 7 17" xfId="1953" xr:uid="{00000000-0005-0000-0000-00009A070000}"/>
    <cellStyle name="Normal 7 18" xfId="1954" xr:uid="{00000000-0005-0000-0000-00009B070000}"/>
    <cellStyle name="Normal 7 19" xfId="1955" xr:uid="{00000000-0005-0000-0000-00009C070000}"/>
    <cellStyle name="Normal 7 2" xfId="1956" xr:uid="{00000000-0005-0000-0000-00009D070000}"/>
    <cellStyle name="Normal 7 2 10" xfId="1957" xr:uid="{00000000-0005-0000-0000-00009E070000}"/>
    <cellStyle name="Normal 7 2 11" xfId="1958" xr:uid="{00000000-0005-0000-0000-00009F070000}"/>
    <cellStyle name="Normal 7 2 12" xfId="1959" xr:uid="{00000000-0005-0000-0000-0000A0070000}"/>
    <cellStyle name="Normal 7 2 13" xfId="1960" xr:uid="{00000000-0005-0000-0000-0000A1070000}"/>
    <cellStyle name="Normal 7 2 14" xfId="1961" xr:uid="{00000000-0005-0000-0000-0000A2070000}"/>
    <cellStyle name="Normal 7 2 15" xfId="1962" xr:uid="{00000000-0005-0000-0000-0000A3070000}"/>
    <cellStyle name="Normal 7 2 16" xfId="1963" xr:uid="{00000000-0005-0000-0000-0000A4070000}"/>
    <cellStyle name="Normal 7 2 17" xfId="1964" xr:uid="{00000000-0005-0000-0000-0000A5070000}"/>
    <cellStyle name="Normal 7 2 18" xfId="1965" xr:uid="{00000000-0005-0000-0000-0000A6070000}"/>
    <cellStyle name="Normal 7 2 19" xfId="1966" xr:uid="{00000000-0005-0000-0000-0000A7070000}"/>
    <cellStyle name="Normal 7 2 2" xfId="1967" xr:uid="{00000000-0005-0000-0000-0000A8070000}"/>
    <cellStyle name="Normal 7 2 20" xfId="1968" xr:uid="{00000000-0005-0000-0000-0000A9070000}"/>
    <cellStyle name="Normal 7 2 21" xfId="1969" xr:uid="{00000000-0005-0000-0000-0000AA070000}"/>
    <cellStyle name="Normal 7 2 22" xfId="1970" xr:uid="{00000000-0005-0000-0000-0000AB070000}"/>
    <cellStyle name="Normal 7 2 23" xfId="1971" xr:uid="{00000000-0005-0000-0000-0000AC070000}"/>
    <cellStyle name="Normal 7 2 24" xfId="2079" xr:uid="{00000000-0005-0000-0000-0000C1080000}"/>
    <cellStyle name="Normal 7 2 3" xfId="1972" xr:uid="{00000000-0005-0000-0000-0000AD070000}"/>
    <cellStyle name="Normal 7 2 4" xfId="1973" xr:uid="{00000000-0005-0000-0000-0000AE070000}"/>
    <cellStyle name="Normal 7 2 5" xfId="1974" xr:uid="{00000000-0005-0000-0000-0000AF070000}"/>
    <cellStyle name="Normal 7 2 6" xfId="1975" xr:uid="{00000000-0005-0000-0000-0000B0070000}"/>
    <cellStyle name="Normal 7 2 7" xfId="1976" xr:uid="{00000000-0005-0000-0000-0000B1070000}"/>
    <cellStyle name="Normal 7 2 8" xfId="1977" xr:uid="{00000000-0005-0000-0000-0000B2070000}"/>
    <cellStyle name="Normal 7 2 9" xfId="1978" xr:uid="{00000000-0005-0000-0000-0000B3070000}"/>
    <cellStyle name="Normal 7 20" xfId="1979" xr:uid="{00000000-0005-0000-0000-0000B4070000}"/>
    <cellStyle name="Normal 7 21" xfId="1980" xr:uid="{00000000-0005-0000-0000-0000B5070000}"/>
    <cellStyle name="Normal 7 22" xfId="1981" xr:uid="{00000000-0005-0000-0000-0000B6070000}"/>
    <cellStyle name="Normal 7 23" xfId="1982" xr:uid="{00000000-0005-0000-0000-0000B7070000}"/>
    <cellStyle name="Normal 7 24" xfId="1983" xr:uid="{00000000-0005-0000-0000-0000B8070000}"/>
    <cellStyle name="Normal 7 25" xfId="2078" xr:uid="{00000000-0005-0000-0000-0000B6080000}"/>
    <cellStyle name="Normal 7 3" xfId="1984" xr:uid="{00000000-0005-0000-0000-0000B9070000}"/>
    <cellStyle name="Normal 7 4" xfId="1985" xr:uid="{00000000-0005-0000-0000-0000BA070000}"/>
    <cellStyle name="Normal 7 5" xfId="1986" xr:uid="{00000000-0005-0000-0000-0000BB070000}"/>
    <cellStyle name="Normal 7 6" xfId="1987" xr:uid="{00000000-0005-0000-0000-0000BC070000}"/>
    <cellStyle name="Normal 7 7" xfId="1988" xr:uid="{00000000-0005-0000-0000-0000BD070000}"/>
    <cellStyle name="Normal 7 8" xfId="1989" xr:uid="{00000000-0005-0000-0000-0000BE070000}"/>
    <cellStyle name="Normal 7 9" xfId="1990" xr:uid="{00000000-0005-0000-0000-0000BF070000}"/>
    <cellStyle name="Normal 8" xfId="1991" xr:uid="{00000000-0005-0000-0000-0000C0070000}"/>
    <cellStyle name="Normal 8 2" xfId="2081" xr:uid="{00000000-0005-0000-0000-0000E5080000}"/>
    <cellStyle name="Normal 8 2 2" xfId="2082" xr:uid="{00000000-0005-0000-0000-0000E6080000}"/>
    <cellStyle name="Normal 8 3" xfId="2083" xr:uid="{00000000-0005-0000-0000-0000E7080000}"/>
    <cellStyle name="Normal 8 4" xfId="2080" xr:uid="{00000000-0005-0000-0000-0000E4080000}"/>
    <cellStyle name="Normal 9" xfId="2084" xr:uid="{00000000-0005-0000-0000-0000E8080000}"/>
    <cellStyle name="Normal 9 2" xfId="2085" xr:uid="{00000000-0005-0000-0000-0000E9080000}"/>
    <cellStyle name="Normal 9 3" xfId="2413" xr:uid="{00000000-0005-0000-0000-0000EA080000}"/>
    <cellStyle name="Normal 9 4" xfId="2602" xr:uid="{5D3E174F-26C3-4954-9CCE-840EA030DF93}"/>
    <cellStyle name="Note" xfId="16" builtinId="10" customBuiltin="1"/>
    <cellStyle name="Note 2" xfId="1992" xr:uid="{00000000-0005-0000-0000-0000C2070000}"/>
    <cellStyle name="Note 2 2" xfId="2415" xr:uid="{00000000-0005-0000-0000-0000F0080000}"/>
    <cellStyle name="Note 2 2 2" xfId="2499" xr:uid="{00000000-0005-0000-0000-0000F1080000}"/>
    <cellStyle name="Note 2 2 2 2" xfId="2552" xr:uid="{00000000-0005-0000-0000-0000F1080000}"/>
    <cellStyle name="Note 2 2 2 3" xfId="2557" xr:uid="{00000000-0005-0000-0000-0000F1080000}"/>
    <cellStyle name="Note 2 2 2 4" xfId="2565" xr:uid="{00000000-0005-0000-0000-0000F1080000}"/>
    <cellStyle name="Note 2 2 2 5" xfId="2575" xr:uid="{00000000-0005-0000-0000-0000F1080000}"/>
    <cellStyle name="Note 2 2 2 6" xfId="2586" xr:uid="{00000000-0005-0000-0000-0000F1080000}"/>
    <cellStyle name="Note 2 2 2 7" xfId="2594" xr:uid="{00000000-0005-0000-0000-0000F1080000}"/>
    <cellStyle name="Note 2 2 3" xfId="2502" xr:uid="{00000000-0005-0000-0000-0000F2080000}"/>
    <cellStyle name="Note 2 2 3 2" xfId="2554" xr:uid="{00000000-0005-0000-0000-0000F2080000}"/>
    <cellStyle name="Note 2 2 3 3" xfId="2559" xr:uid="{00000000-0005-0000-0000-0000F2080000}"/>
    <cellStyle name="Note 2 2 3 4" xfId="2567" xr:uid="{00000000-0005-0000-0000-0000F2080000}"/>
    <cellStyle name="Note 2 2 3 5" xfId="2577" xr:uid="{00000000-0005-0000-0000-0000F2080000}"/>
    <cellStyle name="Note 2 2 3 6" xfId="2588" xr:uid="{00000000-0005-0000-0000-0000F2080000}"/>
    <cellStyle name="Note 2 2 3 7" xfId="2596" xr:uid="{00000000-0005-0000-0000-0000F2080000}"/>
    <cellStyle name="Note 2 2 4" xfId="2535" xr:uid="{00000000-0005-0000-0000-0000F0080000}"/>
    <cellStyle name="Note 2 2 5" xfId="2396" xr:uid="{00000000-0005-0000-0000-0000F0080000}"/>
    <cellStyle name="Note 2 2 6" xfId="2399" xr:uid="{00000000-0005-0000-0000-0000F0080000}"/>
    <cellStyle name="Note 2 2 7" xfId="2538" xr:uid="{00000000-0005-0000-0000-0000F0080000}"/>
    <cellStyle name="Note 2 2 8" xfId="2537" xr:uid="{00000000-0005-0000-0000-0000F0080000}"/>
    <cellStyle name="Note 2 2 9" xfId="2393" xr:uid="{00000000-0005-0000-0000-0000F0080000}"/>
    <cellStyle name="Note 2 3" xfId="2414" xr:uid="{00000000-0005-0000-0000-0000EF080000}"/>
    <cellStyle name="Note 2 4" xfId="2409" xr:uid="{00000000-0005-0000-0000-0000C3070000}"/>
    <cellStyle name="Note 3" xfId="2416" xr:uid="{00000000-0005-0000-0000-0000F3080000}"/>
    <cellStyle name="NumColmHd" xfId="2417" xr:uid="{00000000-0005-0000-0000-0000F4080000}"/>
    <cellStyle name="NumColmHd 2" xfId="2500" xr:uid="{00000000-0005-0000-0000-0000F5080000}"/>
    <cellStyle name="NumColmHd 3" xfId="2503" xr:uid="{00000000-0005-0000-0000-0000F6080000}"/>
    <cellStyle name="Output" xfId="11" builtinId="21" customBuiltin="1"/>
    <cellStyle name="Output 2" xfId="1993" xr:uid="{00000000-0005-0000-0000-0000C4070000}"/>
    <cellStyle name="Output 2 2" xfId="2501" xr:uid="{00000000-0005-0000-0000-0000F8080000}"/>
    <cellStyle name="Output 2 2 2" xfId="2553" xr:uid="{00000000-0005-0000-0000-0000F8080000}"/>
    <cellStyle name="Output 2 2 3" xfId="2558" xr:uid="{00000000-0005-0000-0000-0000F8080000}"/>
    <cellStyle name="Output 2 2 4" xfId="2566" xr:uid="{00000000-0005-0000-0000-0000F8080000}"/>
    <cellStyle name="Output 2 2 5" xfId="2576" xr:uid="{00000000-0005-0000-0000-0000F8080000}"/>
    <cellStyle name="Output 2 2 6" xfId="2587" xr:uid="{00000000-0005-0000-0000-0000F8080000}"/>
    <cellStyle name="Output 2 2 7" xfId="2595" xr:uid="{00000000-0005-0000-0000-0000F8080000}"/>
    <cellStyle name="Output 2 3" xfId="2504" xr:uid="{00000000-0005-0000-0000-0000F9080000}"/>
    <cellStyle name="Output 2 3 2" xfId="2555" xr:uid="{00000000-0005-0000-0000-0000F9080000}"/>
    <cellStyle name="Output 2 3 3" xfId="2560" xr:uid="{00000000-0005-0000-0000-0000F9080000}"/>
    <cellStyle name="Output 2 3 4" xfId="2568" xr:uid="{00000000-0005-0000-0000-0000F9080000}"/>
    <cellStyle name="Output 2 3 5" xfId="2578" xr:uid="{00000000-0005-0000-0000-0000F9080000}"/>
    <cellStyle name="Output 2 3 6" xfId="2589" xr:uid="{00000000-0005-0000-0000-0000F9080000}"/>
    <cellStyle name="Output 2 3 7" xfId="2597" xr:uid="{00000000-0005-0000-0000-0000F9080000}"/>
    <cellStyle name="Output 2 4" xfId="2536" xr:uid="{00000000-0005-0000-0000-0000F7080000}"/>
    <cellStyle name="Output 2 5" xfId="2397" xr:uid="{00000000-0005-0000-0000-0000F7080000}"/>
    <cellStyle name="Output 2 6" xfId="2394" xr:uid="{00000000-0005-0000-0000-0000F7080000}"/>
    <cellStyle name="Output 2 7" xfId="2402" xr:uid="{00000000-0005-0000-0000-0000F7080000}"/>
    <cellStyle name="Output 2 8" xfId="2392" xr:uid="{00000000-0005-0000-0000-0000F7080000}"/>
    <cellStyle name="Output 2 9" xfId="2391" xr:uid="{00000000-0005-0000-0000-0000C5070000}"/>
    <cellStyle name="Percent" xfId="2601" builtinId="5"/>
    <cellStyle name="Percent [0]" xfId="2418" xr:uid="{00000000-0005-0000-0000-0000FA080000}"/>
    <cellStyle name="Percent [00]" xfId="2419" xr:uid="{00000000-0005-0000-0000-0000FB080000}"/>
    <cellStyle name="Percent [2]" xfId="2420" xr:uid="{00000000-0005-0000-0000-0000FC080000}"/>
    <cellStyle name="Percent 10" xfId="2086" xr:uid="{00000000-0005-0000-0000-0000FD080000}"/>
    <cellStyle name="Percent 10 2" xfId="2087" xr:uid="{00000000-0005-0000-0000-0000FE080000}"/>
    <cellStyle name="Percent 10 2 2" xfId="2421" xr:uid="{00000000-0005-0000-0000-0000FF080000}"/>
    <cellStyle name="Percent 10 3" xfId="2422" xr:uid="{00000000-0005-0000-0000-000000090000}"/>
    <cellStyle name="Percent 11" xfId="2088" xr:uid="{00000000-0005-0000-0000-000001090000}"/>
    <cellStyle name="Percent 11 2" xfId="2089" xr:uid="{00000000-0005-0000-0000-000002090000}"/>
    <cellStyle name="Percent 12" xfId="2090" xr:uid="{00000000-0005-0000-0000-000003090000}"/>
    <cellStyle name="Percent 12 2" xfId="2423" xr:uid="{00000000-0005-0000-0000-000004090000}"/>
    <cellStyle name="Percent 13" xfId="2126" xr:uid="{00000000-0005-0000-0000-000005090000}"/>
    <cellStyle name="Percent 14" xfId="2424" xr:uid="{00000000-0005-0000-0000-000006090000}"/>
    <cellStyle name="Percent 15" xfId="2425" xr:uid="{00000000-0005-0000-0000-000007090000}"/>
    <cellStyle name="Percent 15 2" xfId="2426" xr:uid="{00000000-0005-0000-0000-000008090000}"/>
    <cellStyle name="Percent 16" xfId="2427" xr:uid="{00000000-0005-0000-0000-000009090000}"/>
    <cellStyle name="Percent 16 2" xfId="2428" xr:uid="{00000000-0005-0000-0000-00000A090000}"/>
    <cellStyle name="Percent 17" xfId="2429" xr:uid="{00000000-0005-0000-0000-00000B090000}"/>
    <cellStyle name="Percent 17 2" xfId="2430" xr:uid="{00000000-0005-0000-0000-00000C090000}"/>
    <cellStyle name="Percent 18" xfId="2431" xr:uid="{00000000-0005-0000-0000-00000D090000}"/>
    <cellStyle name="Percent 19" xfId="2432" xr:uid="{00000000-0005-0000-0000-00000E090000}"/>
    <cellStyle name="Percent 19 2" xfId="2433" xr:uid="{00000000-0005-0000-0000-00000F090000}"/>
    <cellStyle name="Percent 2" xfId="54" xr:uid="{00000000-0005-0000-0000-0000C5070000}"/>
    <cellStyle name="Percent 2 10" xfId="2517" xr:uid="{00000000-0005-0000-0000-0000C7070000}"/>
    <cellStyle name="Percent 2 11" xfId="2511" xr:uid="{00000000-0005-0000-0000-0000C7070000}"/>
    <cellStyle name="Percent 2 2" xfId="2092" xr:uid="{00000000-0005-0000-0000-000011090000}"/>
    <cellStyle name="Percent 2 2 10" xfId="2434" xr:uid="{00000000-0005-0000-0000-000012090000}"/>
    <cellStyle name="Percent 2 2 10 2" xfId="2435" xr:uid="{00000000-0005-0000-0000-000013090000}"/>
    <cellStyle name="Percent 2 2 11" xfId="2436" xr:uid="{00000000-0005-0000-0000-000014090000}"/>
    <cellStyle name="Percent 2 2 12" xfId="2437" xr:uid="{00000000-0005-0000-0000-000015090000}"/>
    <cellStyle name="Percent 2 2 13" xfId="2438" xr:uid="{00000000-0005-0000-0000-000016090000}"/>
    <cellStyle name="Percent 2 2 2" xfId="2439" xr:uid="{00000000-0005-0000-0000-000017090000}"/>
    <cellStyle name="Percent 2 2 2 2" xfId="2440" xr:uid="{00000000-0005-0000-0000-000018090000}"/>
    <cellStyle name="Percent 2 2 2 3" xfId="2441" xr:uid="{00000000-0005-0000-0000-000019090000}"/>
    <cellStyle name="Percent 2 2 2 4" xfId="2442" xr:uid="{00000000-0005-0000-0000-00001A090000}"/>
    <cellStyle name="Percent 2 2 3" xfId="2443" xr:uid="{00000000-0005-0000-0000-00001B090000}"/>
    <cellStyle name="Percent 2 2 4" xfId="2444" xr:uid="{00000000-0005-0000-0000-00001C090000}"/>
    <cellStyle name="Percent 2 2 5" xfId="2445" xr:uid="{00000000-0005-0000-0000-00001D090000}"/>
    <cellStyle name="Percent 2 2 6" xfId="2446" xr:uid="{00000000-0005-0000-0000-00001E090000}"/>
    <cellStyle name="Percent 2 2 6 2" xfId="2447" xr:uid="{00000000-0005-0000-0000-00001F090000}"/>
    <cellStyle name="Percent 2 2 7" xfId="2448" xr:uid="{00000000-0005-0000-0000-000020090000}"/>
    <cellStyle name="Percent 2 2 7 2" xfId="2449" xr:uid="{00000000-0005-0000-0000-000021090000}"/>
    <cellStyle name="Percent 2 2 8" xfId="2450" xr:uid="{00000000-0005-0000-0000-000022090000}"/>
    <cellStyle name="Percent 2 2 8 2" xfId="2451" xr:uid="{00000000-0005-0000-0000-000023090000}"/>
    <cellStyle name="Percent 2 2 9" xfId="2452" xr:uid="{00000000-0005-0000-0000-000024090000}"/>
    <cellStyle name="Percent 2 2 9 2" xfId="2453" xr:uid="{00000000-0005-0000-0000-000025090000}"/>
    <cellStyle name="Percent 2 3" xfId="2093" xr:uid="{00000000-0005-0000-0000-000026090000}"/>
    <cellStyle name="Percent 2 3 2" xfId="2454" xr:uid="{00000000-0005-0000-0000-000027090000}"/>
    <cellStyle name="Percent 2 3 3" xfId="2455" xr:uid="{00000000-0005-0000-0000-000028090000}"/>
    <cellStyle name="Percent 2 3 4" xfId="2456" xr:uid="{00000000-0005-0000-0000-000029090000}"/>
    <cellStyle name="Percent 2 3 5" xfId="2457" xr:uid="{00000000-0005-0000-0000-00002A090000}"/>
    <cellStyle name="Percent 2 4" xfId="2094" xr:uid="{00000000-0005-0000-0000-00002B090000}"/>
    <cellStyle name="Percent 2 4 2" xfId="2458" xr:uid="{00000000-0005-0000-0000-00002C090000}"/>
    <cellStyle name="Percent 2 5" xfId="2459" xr:uid="{00000000-0005-0000-0000-00002D090000}"/>
    <cellStyle name="Percent 2 6" xfId="2460" xr:uid="{00000000-0005-0000-0000-00002E090000}"/>
    <cellStyle name="Percent 2 6 2" xfId="2461" xr:uid="{00000000-0005-0000-0000-00002F090000}"/>
    <cellStyle name="Percent 2 6 3" xfId="2462" xr:uid="{00000000-0005-0000-0000-000030090000}"/>
    <cellStyle name="Percent 2 6 4" xfId="2463" xr:uid="{00000000-0005-0000-0000-000031090000}"/>
    <cellStyle name="Percent 2 7" xfId="2464" xr:uid="{00000000-0005-0000-0000-000032090000}"/>
    <cellStyle name="Percent 2 8" xfId="2465" xr:uid="{00000000-0005-0000-0000-000033090000}"/>
    <cellStyle name="Percent 2 9" xfId="2091" xr:uid="{00000000-0005-0000-0000-000010090000}"/>
    <cellStyle name="Percent 20" xfId="2466" xr:uid="{00000000-0005-0000-0000-000034090000}"/>
    <cellStyle name="Percent 21" xfId="2467" xr:uid="{00000000-0005-0000-0000-000035090000}"/>
    <cellStyle name="Percent 22" xfId="2468" xr:uid="{00000000-0005-0000-0000-000036090000}"/>
    <cellStyle name="Percent 3" xfId="53" xr:uid="{00000000-0005-0000-0000-0000C6070000}"/>
    <cellStyle name="Percent 3 10" xfId="2095" xr:uid="{00000000-0005-0000-0000-000037090000}"/>
    <cellStyle name="Percent 3 11" xfId="2516" xr:uid="{00000000-0005-0000-0000-0000C8070000}"/>
    <cellStyle name="Percent 3 12" xfId="2510" xr:uid="{00000000-0005-0000-0000-0000C8070000}"/>
    <cellStyle name="Percent 3 2" xfId="2096" xr:uid="{00000000-0005-0000-0000-000038090000}"/>
    <cellStyle name="Percent 3 2 2" xfId="2097" xr:uid="{00000000-0005-0000-0000-000039090000}"/>
    <cellStyle name="Percent 3 2 2 2" xfId="2098" xr:uid="{00000000-0005-0000-0000-00003A090000}"/>
    <cellStyle name="Percent 3 2 3" xfId="2099" xr:uid="{00000000-0005-0000-0000-00003B090000}"/>
    <cellStyle name="Percent 3 3" xfId="2100" xr:uid="{00000000-0005-0000-0000-00003C090000}"/>
    <cellStyle name="Percent 3 3 2" xfId="2101" xr:uid="{00000000-0005-0000-0000-00003D090000}"/>
    <cellStyle name="Percent 3 4" xfId="2102" xr:uid="{00000000-0005-0000-0000-00003E090000}"/>
    <cellStyle name="Percent 3 5" xfId="2469" xr:uid="{00000000-0005-0000-0000-00003F090000}"/>
    <cellStyle name="Percent 3 6" xfId="2470" xr:uid="{00000000-0005-0000-0000-000040090000}"/>
    <cellStyle name="Percent 3 7" xfId="2471" xr:uid="{00000000-0005-0000-0000-000041090000}"/>
    <cellStyle name="Percent 3 8" xfId="2472" xr:uid="{00000000-0005-0000-0000-000042090000}"/>
    <cellStyle name="Percent 3 9" xfId="2473" xr:uid="{00000000-0005-0000-0000-000043090000}"/>
    <cellStyle name="Percent 4" xfId="1994" xr:uid="{00000000-0005-0000-0000-0000C7070000}"/>
    <cellStyle name="Percent 4 2" xfId="2104" xr:uid="{00000000-0005-0000-0000-000045090000}"/>
    <cellStyle name="Percent 4 2 2" xfId="2105" xr:uid="{00000000-0005-0000-0000-000046090000}"/>
    <cellStyle name="Percent 4 3" xfId="2106" xr:uid="{00000000-0005-0000-0000-000047090000}"/>
    <cellStyle name="Percent 4 4" xfId="2107" xr:uid="{00000000-0005-0000-0000-000048090000}"/>
    <cellStyle name="Percent 4 5" xfId="2474" xr:uid="{00000000-0005-0000-0000-000049090000}"/>
    <cellStyle name="Percent 4 6" xfId="2103" xr:uid="{00000000-0005-0000-0000-000044090000}"/>
    <cellStyle name="Percent 5" xfId="2108" xr:uid="{00000000-0005-0000-0000-00004A090000}"/>
    <cellStyle name="Percent 5 2" xfId="2109" xr:uid="{00000000-0005-0000-0000-00004B090000}"/>
    <cellStyle name="Percent 5 2 2" xfId="2110" xr:uid="{00000000-0005-0000-0000-00004C090000}"/>
    <cellStyle name="Percent 5 2 2 2" xfId="2111" xr:uid="{00000000-0005-0000-0000-00004D090000}"/>
    <cellStyle name="Percent 5 2 3" xfId="2112" xr:uid="{00000000-0005-0000-0000-00004E090000}"/>
    <cellStyle name="Percent 5 3" xfId="2113" xr:uid="{00000000-0005-0000-0000-00004F090000}"/>
    <cellStyle name="Percent 5 3 2" xfId="2114" xr:uid="{00000000-0005-0000-0000-000050090000}"/>
    <cellStyle name="Percent 5 4" xfId="2115" xr:uid="{00000000-0005-0000-0000-000051090000}"/>
    <cellStyle name="Percent 6" xfId="2116" xr:uid="{00000000-0005-0000-0000-000052090000}"/>
    <cellStyle name="Percent 6 2" xfId="2117" xr:uid="{00000000-0005-0000-0000-000053090000}"/>
    <cellStyle name="Percent 6 2 2" xfId="2118" xr:uid="{00000000-0005-0000-0000-000054090000}"/>
    <cellStyle name="Percent 6 3" xfId="2119" xr:uid="{00000000-0005-0000-0000-000055090000}"/>
    <cellStyle name="Percent 7" xfId="2120" xr:uid="{00000000-0005-0000-0000-000056090000}"/>
    <cellStyle name="Percent 7 2" xfId="2121" xr:uid="{00000000-0005-0000-0000-000057090000}"/>
    <cellStyle name="Percent 8" xfId="2122" xr:uid="{00000000-0005-0000-0000-000058090000}"/>
    <cellStyle name="Percent 8 2" xfId="2475" xr:uid="{00000000-0005-0000-0000-000059090000}"/>
    <cellStyle name="Percent 9" xfId="2123" xr:uid="{00000000-0005-0000-0000-00005A090000}"/>
    <cellStyle name="Percent 9 2" xfId="2476" xr:uid="{00000000-0005-0000-0000-00005B090000}"/>
    <cellStyle name="Percent 9 3" xfId="2477" xr:uid="{00000000-0005-0000-0000-00005C090000}"/>
    <cellStyle name="PrePop Currency (0)" xfId="2478" xr:uid="{00000000-0005-0000-0000-00005D090000}"/>
    <cellStyle name="PrePop Currency (2)" xfId="2479" xr:uid="{00000000-0005-0000-0000-00005E090000}"/>
    <cellStyle name="PrePop Units (0)" xfId="2480" xr:uid="{00000000-0005-0000-0000-00005F090000}"/>
    <cellStyle name="PrePop Units (1)" xfId="2481" xr:uid="{00000000-0005-0000-0000-000060090000}"/>
    <cellStyle name="PrePop Units (2)" xfId="2482" xr:uid="{00000000-0005-0000-0000-000061090000}"/>
    <cellStyle name="RowLabel" xfId="2483" xr:uid="{00000000-0005-0000-0000-000062090000}"/>
    <cellStyle name="Text Indent A" xfId="2484" xr:uid="{00000000-0005-0000-0000-000063090000}"/>
    <cellStyle name="Text Indent B" xfId="2485" xr:uid="{00000000-0005-0000-0000-000064090000}"/>
    <cellStyle name="Text Indent C" xfId="2486" xr:uid="{00000000-0005-0000-0000-000065090000}"/>
    <cellStyle name="Title" xfId="2" builtinId="15" customBuiltin="1"/>
    <cellStyle name="Title 2" xfId="1995" xr:uid="{00000000-0005-0000-0000-0000C9070000}"/>
    <cellStyle name="Total" xfId="18" builtinId="25" customBuiltin="1"/>
    <cellStyle name="Total 2" xfId="1996" xr:uid="{00000000-0005-0000-0000-0000CB070000}"/>
    <cellStyle name="Total 2 2" xfId="2487" xr:uid="{00000000-0005-0000-0000-000067090000}"/>
    <cellStyle name="Total 2 3" xfId="2505" xr:uid="{00000000-0005-0000-0000-0000CC070000}"/>
    <cellStyle name="Total 2 4" xfId="2401" xr:uid="{00000000-0005-0000-0000-0000CC070000}"/>
    <cellStyle name="Unprot" xfId="2488" xr:uid="{00000000-0005-0000-0000-000068090000}"/>
    <cellStyle name="Unprot 2" xfId="2489" xr:uid="{00000000-0005-0000-0000-000069090000}"/>
    <cellStyle name="Unprot$" xfId="2490" xr:uid="{00000000-0005-0000-0000-00006A090000}"/>
    <cellStyle name="Unprotect" xfId="2491" xr:uid="{00000000-0005-0000-0000-00006B090000}"/>
    <cellStyle name="Warning Text" xfId="15" builtinId="11" customBuiltin="1"/>
    <cellStyle name="Warning Text 2" xfId="1997" xr:uid="{00000000-0005-0000-0000-0000CD070000}"/>
  </cellStyles>
  <dxfs count="9">
    <dxf>
      <fill>
        <patternFill>
          <bgColor rgb="FF001489"/>
        </patternFill>
      </fill>
    </dxf>
    <dxf>
      <fill>
        <patternFill>
          <bgColor rgb="FF6E06C1"/>
        </patternFill>
      </fill>
    </dxf>
    <dxf>
      <fill>
        <patternFill>
          <bgColor rgb="FF1E427C"/>
        </patternFill>
      </fill>
    </dxf>
    <dxf>
      <fill>
        <patternFill>
          <bgColor rgb="FF001489"/>
        </patternFill>
      </fill>
    </dxf>
    <dxf>
      <fill>
        <patternFill>
          <bgColor rgb="FF6E06C1"/>
        </patternFill>
      </fill>
    </dxf>
    <dxf>
      <fill>
        <patternFill>
          <bgColor rgb="FF1E427C"/>
        </patternFill>
      </fill>
    </dxf>
    <dxf>
      <fill>
        <patternFill>
          <bgColor rgb="FF001489"/>
        </patternFill>
      </fill>
    </dxf>
    <dxf>
      <fill>
        <patternFill>
          <bgColor rgb="FF6E06C1"/>
        </patternFill>
      </fill>
    </dxf>
    <dxf>
      <fill>
        <patternFill>
          <bgColor rgb="FF1E427C"/>
        </patternFill>
      </fill>
    </dxf>
  </dxfs>
  <tableStyles count="0" defaultTableStyle="TableStyleMedium2" defaultPivotStyle="PivotStyleLight16"/>
  <colors>
    <mruColors>
      <color rgb="FF001489"/>
      <color rgb="FF6E06C1"/>
      <color rgb="FFC9E7A7"/>
      <color rgb="FFFFF8CA"/>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emf"/><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jpeg"/><Relationship Id="rId5" Type="http://schemas.openxmlformats.org/officeDocument/2006/relationships/image" Target="../media/image29.png"/><Relationship Id="rId4" Type="http://schemas.openxmlformats.org/officeDocument/2006/relationships/image" Target="../media/image28.png"/><Relationship Id="rId9" Type="http://schemas.openxmlformats.org/officeDocument/2006/relationships/image" Target="../media/image3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xdr:from>
      <xdr:col>0</xdr:col>
      <xdr:colOff>114299</xdr:colOff>
      <xdr:row>9</xdr:row>
      <xdr:rowOff>168298</xdr:rowOff>
    </xdr:from>
    <xdr:to>
      <xdr:col>8</xdr:col>
      <xdr:colOff>359832</xdr:colOff>
      <xdr:row>44</xdr:row>
      <xdr:rowOff>141640</xdr:rowOff>
    </xdr:to>
    <xdr:grpSp>
      <xdr:nvGrpSpPr>
        <xdr:cNvPr id="6" name="Group 1">
          <a:extLst>
            <a:ext uri="{FF2B5EF4-FFF2-40B4-BE49-F238E27FC236}">
              <a16:creationId xmlns:a16="http://schemas.microsoft.com/office/drawing/2014/main" id="{F7F49F2F-658E-4D6C-BB81-7886933A6B3F}"/>
            </a:ext>
          </a:extLst>
        </xdr:cNvPr>
        <xdr:cNvGrpSpPr/>
      </xdr:nvGrpSpPr>
      <xdr:grpSpPr>
        <a:xfrm>
          <a:off x="114299" y="1828369"/>
          <a:ext cx="5144104" cy="6164592"/>
          <a:chOff x="93133" y="1626681"/>
          <a:chExt cx="5122333" cy="6223859"/>
        </a:xfrm>
      </xdr:grpSpPr>
      <xdr:pic>
        <xdr:nvPicPr>
          <xdr:cNvPr id="7" name="Picture 2">
            <a:extLst>
              <a:ext uri="{FF2B5EF4-FFF2-40B4-BE49-F238E27FC236}">
                <a16:creationId xmlns:a16="http://schemas.microsoft.com/office/drawing/2014/main" id="{5320BEF8-9C9C-4E94-875A-07F8D5DD9A90}"/>
              </a:ext>
            </a:extLst>
          </xdr:cNvPr>
          <xdr:cNvPicPr>
            <a:picLocks noChangeAspect="1"/>
          </xdr:cNvPicPr>
        </xdr:nvPicPr>
        <xdr:blipFill rotWithShape="1">
          <a:blip xmlns:r="http://schemas.openxmlformats.org/officeDocument/2006/relationships" r:embed="rId1"/>
          <a:srcRect t="49378" r="1828"/>
          <a:stretch/>
        </xdr:blipFill>
        <xdr:spPr>
          <a:xfrm>
            <a:off x="93133" y="1626681"/>
            <a:ext cx="5122333" cy="384241"/>
          </a:xfrm>
          <a:prstGeom prst="rect">
            <a:avLst/>
          </a:prstGeom>
        </xdr:spPr>
      </xdr:pic>
      <xdr:pic>
        <xdr:nvPicPr>
          <xdr:cNvPr id="8" name="Picture 3">
            <a:extLst>
              <a:ext uri="{FF2B5EF4-FFF2-40B4-BE49-F238E27FC236}">
                <a16:creationId xmlns:a16="http://schemas.microsoft.com/office/drawing/2014/main" id="{00078DB9-83F4-4DFA-BC66-89BE7670E742}"/>
              </a:ext>
            </a:extLst>
          </xdr:cNvPr>
          <xdr:cNvPicPr>
            <a:picLocks noChangeAspect="1"/>
          </xdr:cNvPicPr>
        </xdr:nvPicPr>
        <xdr:blipFill>
          <a:blip xmlns:r="http://schemas.openxmlformats.org/officeDocument/2006/relationships" r:embed="rId2"/>
          <a:stretch>
            <a:fillRect/>
          </a:stretch>
        </xdr:blipFill>
        <xdr:spPr>
          <a:xfrm>
            <a:off x="220133" y="1978548"/>
            <a:ext cx="3598333" cy="1254191"/>
          </a:xfrm>
          <a:prstGeom prst="rect">
            <a:avLst/>
          </a:prstGeom>
        </xdr:spPr>
      </xdr:pic>
      <xdr:pic>
        <xdr:nvPicPr>
          <xdr:cNvPr id="9" name="Picture 4">
            <a:extLst>
              <a:ext uri="{FF2B5EF4-FFF2-40B4-BE49-F238E27FC236}">
                <a16:creationId xmlns:a16="http://schemas.microsoft.com/office/drawing/2014/main" id="{4A504390-1C13-44E4-A0A9-90B26A1D0A04}"/>
              </a:ext>
            </a:extLst>
          </xdr:cNvPr>
          <xdr:cNvPicPr>
            <a:picLocks noChangeAspect="1"/>
          </xdr:cNvPicPr>
        </xdr:nvPicPr>
        <xdr:blipFill>
          <a:blip xmlns:r="http://schemas.openxmlformats.org/officeDocument/2006/relationships" r:embed="rId3"/>
          <a:stretch>
            <a:fillRect/>
          </a:stretch>
        </xdr:blipFill>
        <xdr:spPr>
          <a:xfrm>
            <a:off x="194734" y="3318934"/>
            <a:ext cx="3132666" cy="4531606"/>
          </a:xfrm>
          <a:prstGeom prst="rect">
            <a:avLst/>
          </a:prstGeom>
        </xdr:spPr>
      </xdr:pic>
    </xdr:grpSp>
    <xdr:clientData/>
  </xdr:twoCellAnchor>
  <xdr:twoCellAnchor>
    <xdr:from>
      <xdr:col>10</xdr:col>
      <xdr:colOff>102597</xdr:colOff>
      <xdr:row>60</xdr:row>
      <xdr:rowOff>71718</xdr:rowOff>
    </xdr:from>
    <xdr:to>
      <xdr:col>17</xdr:col>
      <xdr:colOff>108094</xdr:colOff>
      <xdr:row>102</xdr:row>
      <xdr:rowOff>134475</xdr:rowOff>
    </xdr:to>
    <xdr:grpSp>
      <xdr:nvGrpSpPr>
        <xdr:cNvPr id="10" name="Group 9">
          <a:extLst>
            <a:ext uri="{FF2B5EF4-FFF2-40B4-BE49-F238E27FC236}">
              <a16:creationId xmlns:a16="http://schemas.microsoft.com/office/drawing/2014/main" id="{39F4161A-EA86-474D-A7B1-79BE790C9F86}"/>
            </a:ext>
          </a:extLst>
        </xdr:cNvPr>
        <xdr:cNvGrpSpPr/>
      </xdr:nvGrpSpPr>
      <xdr:grpSpPr>
        <a:xfrm>
          <a:off x="5695133" y="10630861"/>
          <a:ext cx="4291747" cy="7356185"/>
          <a:chOff x="5669679" y="10632142"/>
          <a:chExt cx="4272697" cy="7593109"/>
        </a:xfrm>
      </xdr:grpSpPr>
      <xdr:pic>
        <xdr:nvPicPr>
          <xdr:cNvPr id="11" name="Picture 10">
            <a:extLst>
              <a:ext uri="{FF2B5EF4-FFF2-40B4-BE49-F238E27FC236}">
                <a16:creationId xmlns:a16="http://schemas.microsoft.com/office/drawing/2014/main" id="{8CBDB220-954E-46E1-901D-E870B09B36CC}"/>
              </a:ext>
            </a:extLst>
          </xdr:cNvPr>
          <xdr:cNvPicPr>
            <a:picLocks noChangeAspect="1"/>
          </xdr:cNvPicPr>
        </xdr:nvPicPr>
        <xdr:blipFill>
          <a:blip xmlns:r="http://schemas.openxmlformats.org/officeDocument/2006/relationships" r:embed="rId4"/>
          <a:stretch>
            <a:fillRect/>
          </a:stretch>
        </xdr:blipFill>
        <xdr:spPr>
          <a:xfrm>
            <a:off x="5742747" y="10632142"/>
            <a:ext cx="4199629" cy="2931457"/>
          </a:xfrm>
          <a:prstGeom prst="rect">
            <a:avLst/>
          </a:prstGeom>
        </xdr:spPr>
      </xdr:pic>
      <xdr:pic>
        <xdr:nvPicPr>
          <xdr:cNvPr id="12" name="Picture 11">
            <a:extLst>
              <a:ext uri="{FF2B5EF4-FFF2-40B4-BE49-F238E27FC236}">
                <a16:creationId xmlns:a16="http://schemas.microsoft.com/office/drawing/2014/main" id="{08DC9364-6F20-441E-88FA-A7569BEEE3D5}"/>
              </a:ext>
            </a:extLst>
          </xdr:cNvPr>
          <xdr:cNvPicPr>
            <a:picLocks noChangeAspect="1"/>
          </xdr:cNvPicPr>
        </xdr:nvPicPr>
        <xdr:blipFill rotWithShape="1">
          <a:blip xmlns:r="http://schemas.openxmlformats.org/officeDocument/2006/relationships" r:embed="rId5"/>
          <a:srcRect r="25373"/>
          <a:stretch/>
        </xdr:blipFill>
        <xdr:spPr>
          <a:xfrm>
            <a:off x="5669679" y="14018531"/>
            <a:ext cx="2641256" cy="4206720"/>
          </a:xfrm>
          <a:prstGeom prst="rect">
            <a:avLst/>
          </a:prstGeom>
        </xdr:spPr>
      </xdr:pic>
    </xdr:grpSp>
    <xdr:clientData/>
  </xdr:twoCellAnchor>
  <xdr:twoCellAnchor editAs="oneCell">
    <xdr:from>
      <xdr:col>10</xdr:col>
      <xdr:colOff>236570</xdr:colOff>
      <xdr:row>18</xdr:row>
      <xdr:rowOff>109973</xdr:rowOff>
    </xdr:from>
    <xdr:to>
      <xdr:col>14</xdr:col>
      <xdr:colOff>126503</xdr:colOff>
      <xdr:row>21</xdr:row>
      <xdr:rowOff>91741</xdr:rowOff>
    </xdr:to>
    <xdr:pic>
      <xdr:nvPicPr>
        <xdr:cNvPr id="13" name="Picture 12">
          <a:extLst>
            <a:ext uri="{FF2B5EF4-FFF2-40B4-BE49-F238E27FC236}">
              <a16:creationId xmlns:a16="http://schemas.microsoft.com/office/drawing/2014/main" id="{FDB9D7CA-C7A1-45C5-80F5-544791D5030B}"/>
            </a:ext>
          </a:extLst>
        </xdr:cNvPr>
        <xdr:cNvPicPr>
          <a:picLocks noChangeAspect="1"/>
        </xdr:cNvPicPr>
      </xdr:nvPicPr>
      <xdr:blipFill>
        <a:blip xmlns:r="http://schemas.openxmlformats.org/officeDocument/2006/relationships" r:embed="rId6"/>
        <a:stretch>
          <a:fillRect/>
        </a:stretch>
      </xdr:blipFill>
      <xdr:spPr>
        <a:xfrm>
          <a:off x="5799170" y="3415148"/>
          <a:ext cx="2328333" cy="524693"/>
        </a:xfrm>
        <a:prstGeom prst="rect">
          <a:avLst/>
        </a:prstGeom>
      </xdr:spPr>
    </xdr:pic>
    <xdr:clientData/>
  </xdr:twoCellAnchor>
  <xdr:twoCellAnchor editAs="oneCell">
    <xdr:from>
      <xdr:col>10</xdr:col>
      <xdr:colOff>211168</xdr:colOff>
      <xdr:row>23</xdr:row>
      <xdr:rowOff>22185</xdr:rowOff>
    </xdr:from>
    <xdr:to>
      <xdr:col>16</xdr:col>
      <xdr:colOff>126501</xdr:colOff>
      <xdr:row>30</xdr:row>
      <xdr:rowOff>81451</xdr:rowOff>
    </xdr:to>
    <xdr:pic>
      <xdr:nvPicPr>
        <xdr:cNvPr id="14" name="Picture 13">
          <a:extLst>
            <a:ext uri="{FF2B5EF4-FFF2-40B4-BE49-F238E27FC236}">
              <a16:creationId xmlns:a16="http://schemas.microsoft.com/office/drawing/2014/main" id="{2D8D9A75-8A77-45C6-9E98-A20D5B1BD3AC}"/>
            </a:ext>
          </a:extLst>
        </xdr:cNvPr>
        <xdr:cNvPicPr>
          <a:picLocks noChangeAspect="1"/>
        </xdr:cNvPicPr>
      </xdr:nvPicPr>
      <xdr:blipFill rotWithShape="1">
        <a:blip xmlns:r="http://schemas.openxmlformats.org/officeDocument/2006/relationships" r:embed="rId7"/>
        <a:srcRect r="13878"/>
        <a:stretch/>
      </xdr:blipFill>
      <xdr:spPr>
        <a:xfrm>
          <a:off x="5773768" y="4232235"/>
          <a:ext cx="3572933" cy="1326091"/>
        </a:xfrm>
        <a:prstGeom prst="rect">
          <a:avLst/>
        </a:prstGeom>
      </xdr:spPr>
    </xdr:pic>
    <xdr:clientData/>
  </xdr:twoCellAnchor>
  <xdr:twoCellAnchor editAs="oneCell">
    <xdr:from>
      <xdr:col>10</xdr:col>
      <xdr:colOff>263961</xdr:colOff>
      <xdr:row>31</xdr:row>
      <xdr:rowOff>128494</xdr:rowOff>
    </xdr:from>
    <xdr:to>
      <xdr:col>15</xdr:col>
      <xdr:colOff>213161</xdr:colOff>
      <xdr:row>41</xdr:row>
      <xdr:rowOff>127489</xdr:rowOff>
    </xdr:to>
    <xdr:pic>
      <xdr:nvPicPr>
        <xdr:cNvPr id="15" name="Picture 14">
          <a:extLst>
            <a:ext uri="{FF2B5EF4-FFF2-40B4-BE49-F238E27FC236}">
              <a16:creationId xmlns:a16="http://schemas.microsoft.com/office/drawing/2014/main" id="{441B2B43-B831-4416-9D3B-947F21512B68}"/>
            </a:ext>
          </a:extLst>
        </xdr:cNvPr>
        <xdr:cNvPicPr>
          <a:picLocks noChangeAspect="1"/>
        </xdr:cNvPicPr>
      </xdr:nvPicPr>
      <xdr:blipFill>
        <a:blip xmlns:r="http://schemas.openxmlformats.org/officeDocument/2006/relationships" r:embed="rId8"/>
        <a:stretch>
          <a:fillRect/>
        </a:stretch>
      </xdr:blipFill>
      <xdr:spPr>
        <a:xfrm>
          <a:off x="5826561" y="5786344"/>
          <a:ext cx="2997200" cy="1808745"/>
        </a:xfrm>
        <a:prstGeom prst="rect">
          <a:avLst/>
        </a:prstGeom>
      </xdr:spPr>
    </xdr:pic>
    <xdr:clientData/>
  </xdr:twoCellAnchor>
  <xdr:twoCellAnchor>
    <xdr:from>
      <xdr:col>0</xdr:col>
      <xdr:colOff>306438</xdr:colOff>
      <xdr:row>113</xdr:row>
      <xdr:rowOff>154251</xdr:rowOff>
    </xdr:from>
    <xdr:to>
      <xdr:col>7</xdr:col>
      <xdr:colOff>82320</xdr:colOff>
      <xdr:row>123</xdr:row>
      <xdr:rowOff>171237</xdr:rowOff>
    </xdr:to>
    <xdr:grpSp>
      <xdr:nvGrpSpPr>
        <xdr:cNvPr id="16" name="Group 15">
          <a:extLst>
            <a:ext uri="{FF2B5EF4-FFF2-40B4-BE49-F238E27FC236}">
              <a16:creationId xmlns:a16="http://schemas.microsoft.com/office/drawing/2014/main" id="{8D5E3F48-3B4C-45AF-B863-F9C1C66B1262}"/>
            </a:ext>
          </a:extLst>
        </xdr:cNvPr>
        <xdr:cNvGrpSpPr/>
      </xdr:nvGrpSpPr>
      <xdr:grpSpPr>
        <a:xfrm>
          <a:off x="306438" y="19830180"/>
          <a:ext cx="4062132" cy="1785914"/>
          <a:chOff x="5621866" y="9355667"/>
          <a:chExt cx="4878064" cy="2235252"/>
        </a:xfrm>
      </xdr:grpSpPr>
      <xdr:pic>
        <xdr:nvPicPr>
          <xdr:cNvPr id="17" name="Picture 16">
            <a:extLst>
              <a:ext uri="{FF2B5EF4-FFF2-40B4-BE49-F238E27FC236}">
                <a16:creationId xmlns:a16="http://schemas.microsoft.com/office/drawing/2014/main" id="{17142DA8-4EA1-45A0-A6B9-4FC1E9FE190B}"/>
              </a:ext>
            </a:extLst>
          </xdr:cNvPr>
          <xdr:cNvPicPr>
            <a:picLocks noChangeAspect="1"/>
          </xdr:cNvPicPr>
        </xdr:nvPicPr>
        <xdr:blipFill>
          <a:blip xmlns:r="http://schemas.openxmlformats.org/officeDocument/2006/relationships" r:embed="rId9"/>
          <a:stretch>
            <a:fillRect/>
          </a:stretch>
        </xdr:blipFill>
        <xdr:spPr>
          <a:xfrm>
            <a:off x="5621866" y="9355667"/>
            <a:ext cx="3429297" cy="746825"/>
          </a:xfrm>
          <a:prstGeom prst="rect">
            <a:avLst/>
          </a:prstGeom>
        </xdr:spPr>
      </xdr:pic>
      <xdr:pic>
        <xdr:nvPicPr>
          <xdr:cNvPr id="18" name="Picture 17">
            <a:extLst>
              <a:ext uri="{FF2B5EF4-FFF2-40B4-BE49-F238E27FC236}">
                <a16:creationId xmlns:a16="http://schemas.microsoft.com/office/drawing/2014/main" id="{08CA9CE3-CAA1-4BE0-ABFB-DFF84B1BF00E}"/>
              </a:ext>
            </a:extLst>
          </xdr:cNvPr>
          <xdr:cNvPicPr>
            <a:picLocks noChangeAspect="1"/>
          </xdr:cNvPicPr>
        </xdr:nvPicPr>
        <xdr:blipFill>
          <a:blip xmlns:r="http://schemas.openxmlformats.org/officeDocument/2006/relationships" r:embed="rId10"/>
          <a:stretch>
            <a:fillRect/>
          </a:stretch>
        </xdr:blipFill>
        <xdr:spPr>
          <a:xfrm>
            <a:off x="5706534" y="10185399"/>
            <a:ext cx="4785775" cy="1044031"/>
          </a:xfrm>
          <a:prstGeom prst="rect">
            <a:avLst/>
          </a:prstGeom>
        </xdr:spPr>
      </xdr:pic>
      <xdr:pic>
        <xdr:nvPicPr>
          <xdr:cNvPr id="19" name="Picture 18">
            <a:extLst>
              <a:ext uri="{FF2B5EF4-FFF2-40B4-BE49-F238E27FC236}">
                <a16:creationId xmlns:a16="http://schemas.microsoft.com/office/drawing/2014/main" id="{139CC668-4565-4904-AB96-06A54B9B6C26}"/>
              </a:ext>
            </a:extLst>
          </xdr:cNvPr>
          <xdr:cNvPicPr>
            <a:picLocks noChangeAspect="1"/>
          </xdr:cNvPicPr>
        </xdr:nvPicPr>
        <xdr:blipFill rotWithShape="1">
          <a:blip xmlns:r="http://schemas.openxmlformats.org/officeDocument/2006/relationships" r:embed="rId11"/>
          <a:srcRect t="40274"/>
          <a:stretch/>
        </xdr:blipFill>
        <xdr:spPr>
          <a:xfrm>
            <a:off x="5706534" y="11226800"/>
            <a:ext cx="4793396" cy="364119"/>
          </a:xfrm>
          <a:prstGeom prst="rect">
            <a:avLst/>
          </a:prstGeom>
        </xdr:spPr>
      </xdr:pic>
    </xdr:grpSp>
    <xdr:clientData/>
  </xdr:twoCellAnchor>
  <xdr:twoCellAnchor>
    <xdr:from>
      <xdr:col>10</xdr:col>
      <xdr:colOff>253999</xdr:colOff>
      <xdr:row>115</xdr:row>
      <xdr:rowOff>35810</xdr:rowOff>
    </xdr:from>
    <xdr:to>
      <xdr:col>17</xdr:col>
      <xdr:colOff>604930</xdr:colOff>
      <xdr:row>144</xdr:row>
      <xdr:rowOff>64580</xdr:rowOff>
    </xdr:to>
    <xdr:grpSp>
      <xdr:nvGrpSpPr>
        <xdr:cNvPr id="20" name="Group 19">
          <a:extLst>
            <a:ext uri="{FF2B5EF4-FFF2-40B4-BE49-F238E27FC236}">
              <a16:creationId xmlns:a16="http://schemas.microsoft.com/office/drawing/2014/main" id="{5EC332BC-CDD6-437A-BDED-4F61C6CCB9F1}"/>
            </a:ext>
          </a:extLst>
        </xdr:cNvPr>
        <xdr:cNvGrpSpPr/>
      </xdr:nvGrpSpPr>
      <xdr:grpSpPr>
        <a:xfrm>
          <a:off x="5846535" y="20065524"/>
          <a:ext cx="4637181" cy="5158663"/>
          <a:chOff x="5562600" y="19907077"/>
          <a:chExt cx="4618131" cy="5184970"/>
        </a:xfrm>
      </xdr:grpSpPr>
      <xdr:pic>
        <xdr:nvPicPr>
          <xdr:cNvPr id="21" name="Picture 20">
            <a:extLst>
              <a:ext uri="{FF2B5EF4-FFF2-40B4-BE49-F238E27FC236}">
                <a16:creationId xmlns:a16="http://schemas.microsoft.com/office/drawing/2014/main" id="{480E272B-07D9-42E9-97ED-DFB36B27689F}"/>
              </a:ext>
            </a:extLst>
          </xdr:cNvPr>
          <xdr:cNvPicPr>
            <a:picLocks noChangeAspect="1"/>
          </xdr:cNvPicPr>
        </xdr:nvPicPr>
        <xdr:blipFill>
          <a:blip xmlns:r="http://schemas.openxmlformats.org/officeDocument/2006/relationships" r:embed="rId12"/>
          <a:stretch>
            <a:fillRect/>
          </a:stretch>
        </xdr:blipFill>
        <xdr:spPr>
          <a:xfrm>
            <a:off x="5562600" y="19907077"/>
            <a:ext cx="4512733" cy="1415551"/>
          </a:xfrm>
          <a:prstGeom prst="rect">
            <a:avLst/>
          </a:prstGeom>
        </xdr:spPr>
      </xdr:pic>
      <xdr:pic>
        <xdr:nvPicPr>
          <xdr:cNvPr id="22" name="Picture 21">
            <a:extLst>
              <a:ext uri="{FF2B5EF4-FFF2-40B4-BE49-F238E27FC236}">
                <a16:creationId xmlns:a16="http://schemas.microsoft.com/office/drawing/2014/main" id="{092718DD-0068-40D2-84A7-41BD36E3A333}"/>
              </a:ext>
            </a:extLst>
          </xdr:cNvPr>
          <xdr:cNvPicPr>
            <a:picLocks noChangeAspect="1"/>
          </xdr:cNvPicPr>
        </xdr:nvPicPr>
        <xdr:blipFill>
          <a:blip xmlns:r="http://schemas.openxmlformats.org/officeDocument/2006/relationships" r:embed="rId13"/>
          <a:stretch>
            <a:fillRect/>
          </a:stretch>
        </xdr:blipFill>
        <xdr:spPr>
          <a:xfrm>
            <a:off x="5588000" y="21403734"/>
            <a:ext cx="4592731" cy="1443741"/>
          </a:xfrm>
          <a:prstGeom prst="rect">
            <a:avLst/>
          </a:prstGeom>
        </xdr:spPr>
      </xdr:pic>
      <xdr:pic>
        <xdr:nvPicPr>
          <xdr:cNvPr id="23" name="Picture 22">
            <a:extLst>
              <a:ext uri="{FF2B5EF4-FFF2-40B4-BE49-F238E27FC236}">
                <a16:creationId xmlns:a16="http://schemas.microsoft.com/office/drawing/2014/main" id="{8A0031F1-45DC-461E-B9FF-F3ACCD995C5F}"/>
              </a:ext>
            </a:extLst>
          </xdr:cNvPr>
          <xdr:cNvPicPr>
            <a:picLocks noChangeAspect="1"/>
          </xdr:cNvPicPr>
        </xdr:nvPicPr>
        <xdr:blipFill>
          <a:blip xmlns:r="http://schemas.openxmlformats.org/officeDocument/2006/relationships" r:embed="rId14"/>
          <a:stretch>
            <a:fillRect/>
          </a:stretch>
        </xdr:blipFill>
        <xdr:spPr>
          <a:xfrm>
            <a:off x="5681132" y="23226491"/>
            <a:ext cx="3335867" cy="1865556"/>
          </a:xfrm>
          <a:prstGeom prst="rect">
            <a:avLst/>
          </a:prstGeom>
        </xdr:spPr>
      </xdr:pic>
    </xdr:grpSp>
    <xdr:clientData/>
  </xdr:twoCellAnchor>
  <xdr:twoCellAnchor editAs="oneCell">
    <xdr:from>
      <xdr:col>21</xdr:col>
      <xdr:colOff>517390</xdr:colOff>
      <xdr:row>11</xdr:row>
      <xdr:rowOff>153680</xdr:rowOff>
    </xdr:from>
    <xdr:to>
      <xdr:col>25</xdr:col>
      <xdr:colOff>312255</xdr:colOff>
      <xdr:row>13</xdr:row>
      <xdr:rowOff>81110</xdr:rowOff>
    </xdr:to>
    <xdr:pic>
      <xdr:nvPicPr>
        <xdr:cNvPr id="24" name="Picture 23">
          <a:extLst>
            <a:ext uri="{FF2B5EF4-FFF2-40B4-BE49-F238E27FC236}">
              <a16:creationId xmlns:a16="http://schemas.microsoft.com/office/drawing/2014/main" id="{83575578-EB15-47CB-9ACD-1E849BC19E09}"/>
            </a:ext>
          </a:extLst>
        </xdr:cNvPr>
        <xdr:cNvPicPr>
          <a:picLocks noChangeAspect="1"/>
        </xdr:cNvPicPr>
      </xdr:nvPicPr>
      <xdr:blipFill>
        <a:blip xmlns:r="http://schemas.openxmlformats.org/officeDocument/2006/relationships" r:embed="rId15"/>
        <a:stretch>
          <a:fillRect/>
        </a:stretch>
      </xdr:blipFill>
      <xdr:spPr>
        <a:xfrm>
          <a:off x="12252190" y="2192030"/>
          <a:ext cx="2233265" cy="289380"/>
        </a:xfrm>
        <a:prstGeom prst="rect">
          <a:avLst/>
        </a:prstGeom>
      </xdr:spPr>
    </xdr:pic>
    <xdr:clientData/>
  </xdr:twoCellAnchor>
  <xdr:twoCellAnchor>
    <xdr:from>
      <xdr:col>20</xdr:col>
      <xdr:colOff>184844</xdr:colOff>
      <xdr:row>15</xdr:row>
      <xdr:rowOff>113837</xdr:rowOff>
    </xdr:from>
    <xdr:to>
      <xdr:col>26</xdr:col>
      <xdr:colOff>181315</xdr:colOff>
      <xdr:row>35</xdr:row>
      <xdr:rowOff>148914</xdr:rowOff>
    </xdr:to>
    <xdr:grpSp>
      <xdr:nvGrpSpPr>
        <xdr:cNvPr id="25" name="Group 24">
          <a:extLst>
            <a:ext uri="{FF2B5EF4-FFF2-40B4-BE49-F238E27FC236}">
              <a16:creationId xmlns:a16="http://schemas.microsoft.com/office/drawing/2014/main" id="{EA34ADCA-EC8D-4919-9A1E-EFC88D178D5C}"/>
            </a:ext>
          </a:extLst>
        </xdr:cNvPr>
        <xdr:cNvGrpSpPr/>
      </xdr:nvGrpSpPr>
      <xdr:grpSpPr>
        <a:xfrm>
          <a:off x="11369915" y="2835266"/>
          <a:ext cx="3670400" cy="3572934"/>
          <a:chOff x="11454191" y="2564190"/>
          <a:chExt cx="3625043" cy="3445934"/>
        </a:xfrm>
      </xdr:grpSpPr>
      <xdr:pic>
        <xdr:nvPicPr>
          <xdr:cNvPr id="26" name="Picture 25">
            <a:extLst>
              <a:ext uri="{FF2B5EF4-FFF2-40B4-BE49-F238E27FC236}">
                <a16:creationId xmlns:a16="http://schemas.microsoft.com/office/drawing/2014/main" id="{3342891B-AD4F-4D74-9532-B080309F9061}"/>
              </a:ext>
            </a:extLst>
          </xdr:cNvPr>
          <xdr:cNvPicPr>
            <a:picLocks noChangeAspect="1"/>
          </xdr:cNvPicPr>
        </xdr:nvPicPr>
        <xdr:blipFill>
          <a:blip xmlns:r="http://schemas.openxmlformats.org/officeDocument/2006/relationships" r:embed="rId16"/>
          <a:stretch>
            <a:fillRect/>
          </a:stretch>
        </xdr:blipFill>
        <xdr:spPr>
          <a:xfrm>
            <a:off x="11466286" y="2564190"/>
            <a:ext cx="3612948" cy="3277810"/>
          </a:xfrm>
          <a:prstGeom prst="rect">
            <a:avLst/>
          </a:prstGeom>
        </xdr:spPr>
      </xdr:pic>
      <xdr:pic>
        <xdr:nvPicPr>
          <xdr:cNvPr id="27" name="Picture 26">
            <a:extLst>
              <a:ext uri="{FF2B5EF4-FFF2-40B4-BE49-F238E27FC236}">
                <a16:creationId xmlns:a16="http://schemas.microsoft.com/office/drawing/2014/main" id="{F83C985A-7D84-48F8-98B6-C5082FA0043E}"/>
              </a:ext>
            </a:extLst>
          </xdr:cNvPr>
          <xdr:cNvPicPr>
            <a:picLocks noChangeAspect="1"/>
          </xdr:cNvPicPr>
        </xdr:nvPicPr>
        <xdr:blipFill>
          <a:blip xmlns:r="http://schemas.openxmlformats.org/officeDocument/2006/relationships" r:embed="rId17"/>
          <a:stretch>
            <a:fillRect/>
          </a:stretch>
        </xdr:blipFill>
        <xdr:spPr>
          <a:xfrm>
            <a:off x="11454191" y="5829905"/>
            <a:ext cx="3604380" cy="180219"/>
          </a:xfrm>
          <a:prstGeom prst="rect">
            <a:avLst/>
          </a:prstGeom>
        </xdr:spPr>
      </xdr:pic>
    </xdr:grpSp>
    <xdr:clientData/>
  </xdr:twoCellAnchor>
  <xdr:twoCellAnchor editAs="oneCell">
    <xdr:from>
      <xdr:col>20</xdr:col>
      <xdr:colOff>600634</xdr:colOff>
      <xdr:row>65</xdr:row>
      <xdr:rowOff>101061</xdr:rowOff>
    </xdr:from>
    <xdr:to>
      <xdr:col>26</xdr:col>
      <xdr:colOff>340659</xdr:colOff>
      <xdr:row>70</xdr:row>
      <xdr:rowOff>62753</xdr:rowOff>
    </xdr:to>
    <xdr:pic>
      <xdr:nvPicPr>
        <xdr:cNvPr id="28" name="Picture 27">
          <a:extLst>
            <a:ext uri="{FF2B5EF4-FFF2-40B4-BE49-F238E27FC236}">
              <a16:creationId xmlns:a16="http://schemas.microsoft.com/office/drawing/2014/main" id="{ECCC12E4-9811-4A2D-A4D1-70D0E4120FE0}"/>
            </a:ext>
          </a:extLst>
        </xdr:cNvPr>
        <xdr:cNvPicPr>
          <a:picLocks noChangeAspect="1"/>
        </xdr:cNvPicPr>
      </xdr:nvPicPr>
      <xdr:blipFill>
        <a:blip xmlns:r="http://schemas.openxmlformats.org/officeDocument/2006/relationships" r:embed="rId18"/>
        <a:stretch>
          <a:fillRect/>
        </a:stretch>
      </xdr:blipFill>
      <xdr:spPr>
        <a:xfrm>
          <a:off x="11725834" y="11759661"/>
          <a:ext cx="3397625" cy="866567"/>
        </a:xfrm>
        <a:prstGeom prst="rect">
          <a:avLst/>
        </a:prstGeom>
      </xdr:spPr>
    </xdr:pic>
    <xdr:clientData/>
  </xdr:twoCellAnchor>
  <xdr:twoCellAnchor editAs="oneCell">
    <xdr:from>
      <xdr:col>20</xdr:col>
      <xdr:colOff>98614</xdr:colOff>
      <xdr:row>81</xdr:row>
      <xdr:rowOff>116542</xdr:rowOff>
    </xdr:from>
    <xdr:to>
      <xdr:col>25</xdr:col>
      <xdr:colOff>396084</xdr:colOff>
      <xdr:row>86</xdr:row>
      <xdr:rowOff>149793</xdr:rowOff>
    </xdr:to>
    <xdr:pic>
      <xdr:nvPicPr>
        <xdr:cNvPr id="29" name="Picture 28">
          <a:extLst>
            <a:ext uri="{FF2B5EF4-FFF2-40B4-BE49-F238E27FC236}">
              <a16:creationId xmlns:a16="http://schemas.microsoft.com/office/drawing/2014/main" id="{54D721A5-4E1B-4D5D-B298-0F8A2F89A4D8}"/>
            </a:ext>
          </a:extLst>
        </xdr:cNvPr>
        <xdr:cNvPicPr>
          <a:picLocks noChangeAspect="1"/>
        </xdr:cNvPicPr>
      </xdr:nvPicPr>
      <xdr:blipFill>
        <a:blip xmlns:r="http://schemas.openxmlformats.org/officeDocument/2006/relationships" r:embed="rId19"/>
        <a:stretch>
          <a:fillRect/>
        </a:stretch>
      </xdr:blipFill>
      <xdr:spPr>
        <a:xfrm>
          <a:off x="11223814" y="14518342"/>
          <a:ext cx="3345470" cy="938126"/>
        </a:xfrm>
        <a:prstGeom prst="rect">
          <a:avLst/>
        </a:prstGeom>
      </xdr:spPr>
    </xdr:pic>
    <xdr:clientData/>
  </xdr:twoCellAnchor>
  <xdr:twoCellAnchor>
    <xdr:from>
      <xdr:col>20</xdr:col>
      <xdr:colOff>286870</xdr:colOff>
      <xdr:row>114</xdr:row>
      <xdr:rowOff>171673</xdr:rowOff>
    </xdr:from>
    <xdr:to>
      <xdr:col>27</xdr:col>
      <xdr:colOff>18888</xdr:colOff>
      <xdr:row>145</xdr:row>
      <xdr:rowOff>152400</xdr:rowOff>
    </xdr:to>
    <xdr:grpSp>
      <xdr:nvGrpSpPr>
        <xdr:cNvPr id="30" name="Group 29">
          <a:extLst>
            <a:ext uri="{FF2B5EF4-FFF2-40B4-BE49-F238E27FC236}">
              <a16:creationId xmlns:a16="http://schemas.microsoft.com/office/drawing/2014/main" id="{A64DC635-B69E-4DB9-997B-8C170A887F72}"/>
            </a:ext>
          </a:extLst>
        </xdr:cNvPr>
        <xdr:cNvGrpSpPr/>
      </xdr:nvGrpSpPr>
      <xdr:grpSpPr>
        <a:xfrm>
          <a:off x="11471941" y="20024494"/>
          <a:ext cx="4018268" cy="5464406"/>
          <a:chOff x="11421035" y="20010567"/>
          <a:chExt cx="3999218" cy="5538845"/>
        </a:xfrm>
      </xdr:grpSpPr>
      <xdr:pic>
        <xdr:nvPicPr>
          <xdr:cNvPr id="31" name="Picture 30">
            <a:extLst>
              <a:ext uri="{FF2B5EF4-FFF2-40B4-BE49-F238E27FC236}">
                <a16:creationId xmlns:a16="http://schemas.microsoft.com/office/drawing/2014/main" id="{2B001113-715D-451E-A177-6E8EA7159B98}"/>
              </a:ext>
            </a:extLst>
          </xdr:cNvPr>
          <xdr:cNvPicPr>
            <a:picLocks noChangeAspect="1"/>
          </xdr:cNvPicPr>
        </xdr:nvPicPr>
        <xdr:blipFill>
          <a:blip xmlns:r="http://schemas.openxmlformats.org/officeDocument/2006/relationships" r:embed="rId20"/>
          <a:stretch>
            <a:fillRect/>
          </a:stretch>
        </xdr:blipFill>
        <xdr:spPr>
          <a:xfrm>
            <a:off x="11474825" y="20010567"/>
            <a:ext cx="3097164" cy="1137174"/>
          </a:xfrm>
          <a:prstGeom prst="rect">
            <a:avLst/>
          </a:prstGeom>
        </xdr:spPr>
      </xdr:pic>
      <xdr:pic>
        <xdr:nvPicPr>
          <xdr:cNvPr id="32" name="Picture 31">
            <a:extLst>
              <a:ext uri="{FF2B5EF4-FFF2-40B4-BE49-F238E27FC236}">
                <a16:creationId xmlns:a16="http://schemas.microsoft.com/office/drawing/2014/main" id="{56EC603C-A6DA-4ED3-82BF-5D2AC05C55B0}"/>
              </a:ext>
            </a:extLst>
          </xdr:cNvPr>
          <xdr:cNvPicPr>
            <a:picLocks noChangeAspect="1"/>
          </xdr:cNvPicPr>
        </xdr:nvPicPr>
        <xdr:blipFill>
          <a:blip xmlns:r="http://schemas.openxmlformats.org/officeDocument/2006/relationships" r:embed="rId21"/>
          <a:stretch>
            <a:fillRect/>
          </a:stretch>
        </xdr:blipFill>
        <xdr:spPr>
          <a:xfrm>
            <a:off x="11465859" y="21137056"/>
            <a:ext cx="3218330" cy="2276756"/>
          </a:xfrm>
          <a:prstGeom prst="rect">
            <a:avLst/>
          </a:prstGeom>
        </xdr:spPr>
      </xdr:pic>
      <xdr:pic>
        <xdr:nvPicPr>
          <xdr:cNvPr id="33" name="Picture 32">
            <a:extLst>
              <a:ext uri="{FF2B5EF4-FFF2-40B4-BE49-F238E27FC236}">
                <a16:creationId xmlns:a16="http://schemas.microsoft.com/office/drawing/2014/main" id="{65D3CC9F-29A0-49CD-BE4F-A763D5BBF098}"/>
              </a:ext>
            </a:extLst>
          </xdr:cNvPr>
          <xdr:cNvPicPr>
            <a:picLocks noChangeAspect="1"/>
          </xdr:cNvPicPr>
        </xdr:nvPicPr>
        <xdr:blipFill>
          <a:blip xmlns:r="http://schemas.openxmlformats.org/officeDocument/2006/relationships" r:embed="rId22"/>
          <a:stretch>
            <a:fillRect/>
          </a:stretch>
        </xdr:blipFill>
        <xdr:spPr>
          <a:xfrm>
            <a:off x="11421035" y="23397882"/>
            <a:ext cx="3999218" cy="2151530"/>
          </a:xfrm>
          <a:prstGeom prst="rect">
            <a:avLst/>
          </a:prstGeom>
        </xdr:spPr>
      </xdr:pic>
    </xdr:grpSp>
    <xdr:clientData/>
  </xdr:twoCellAnchor>
  <xdr:twoCellAnchor editAs="oneCell">
    <xdr:from>
      <xdr:col>14</xdr:col>
      <xdr:colOff>331693</xdr:colOff>
      <xdr:row>80</xdr:row>
      <xdr:rowOff>89647</xdr:rowOff>
    </xdr:from>
    <xdr:to>
      <xdr:col>18</xdr:col>
      <xdr:colOff>600635</xdr:colOff>
      <xdr:row>98</xdr:row>
      <xdr:rowOff>8964</xdr:rowOff>
    </xdr:to>
    <xdr:pic>
      <xdr:nvPicPr>
        <xdr:cNvPr id="34" name="Picture 33">
          <a:extLst>
            <a:ext uri="{FF2B5EF4-FFF2-40B4-BE49-F238E27FC236}">
              <a16:creationId xmlns:a16="http://schemas.microsoft.com/office/drawing/2014/main" id="{BF41C8C1-1F7E-45E4-AFC8-2DF56128FB2A}"/>
            </a:ext>
          </a:extLst>
        </xdr:cNvPr>
        <xdr:cNvPicPr>
          <a:picLocks noChangeAspect="1"/>
        </xdr:cNvPicPr>
      </xdr:nvPicPr>
      <xdr:blipFill>
        <a:blip xmlns:r="http://schemas.openxmlformats.org/officeDocument/2006/relationships" r:embed="rId23"/>
        <a:stretch>
          <a:fillRect/>
        </a:stretch>
      </xdr:blipFill>
      <xdr:spPr>
        <a:xfrm>
          <a:off x="8332693" y="14310472"/>
          <a:ext cx="2707342" cy="31768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333375</xdr:colOff>
      <xdr:row>6</xdr:row>
      <xdr:rowOff>87480</xdr:rowOff>
    </xdr:from>
    <xdr:to>
      <xdr:col>11</xdr:col>
      <xdr:colOff>372222</xdr:colOff>
      <xdr:row>14</xdr:row>
      <xdr:rowOff>68655</xdr:rowOff>
    </xdr:to>
    <xdr:pic>
      <xdr:nvPicPr>
        <xdr:cNvPr id="2" name="Picture 1">
          <a:extLst>
            <a:ext uri="{FF2B5EF4-FFF2-40B4-BE49-F238E27FC236}">
              <a16:creationId xmlns:a16="http://schemas.microsoft.com/office/drawing/2014/main" id="{FE53ECBB-EC0B-4C6F-B78F-27F37B2608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45100" y="1655930"/>
          <a:ext cx="2667747" cy="1428975"/>
        </a:xfrm>
        <a:prstGeom prst="rect">
          <a:avLst/>
        </a:prstGeom>
        <a:ln>
          <a:noFill/>
        </a:ln>
      </xdr:spPr>
    </xdr:pic>
    <xdr:clientData/>
  </xdr:twoCellAnchor>
  <xdr:twoCellAnchor>
    <xdr:from>
      <xdr:col>14</xdr:col>
      <xdr:colOff>331132</xdr:colOff>
      <xdr:row>7</xdr:row>
      <xdr:rowOff>35149</xdr:rowOff>
    </xdr:from>
    <xdr:to>
      <xdr:col>18</xdr:col>
      <xdr:colOff>264272</xdr:colOff>
      <xdr:row>13</xdr:row>
      <xdr:rowOff>155405</xdr:rowOff>
    </xdr:to>
    <xdr:pic>
      <xdr:nvPicPr>
        <xdr:cNvPr id="3" name="PPLReport">
          <a:extLst>
            <a:ext uri="{FF2B5EF4-FFF2-40B4-BE49-F238E27FC236}">
              <a16:creationId xmlns:a16="http://schemas.microsoft.com/office/drawing/2014/main" id="{78DC1060-56AD-49DB-A70B-F6B2D0E64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35382" y="1787749"/>
          <a:ext cx="2558865" cy="1206106"/>
        </a:xfrm>
        <a:prstGeom prst="rect">
          <a:avLst/>
        </a:prstGeom>
      </xdr:spPr>
    </xdr:pic>
    <xdr:clientData/>
  </xdr:twoCellAnchor>
  <xdr:twoCellAnchor>
    <xdr:from>
      <xdr:col>14</xdr:col>
      <xdr:colOff>189003</xdr:colOff>
      <xdr:row>16</xdr:row>
      <xdr:rowOff>11394</xdr:rowOff>
    </xdr:from>
    <xdr:to>
      <xdr:col>16</xdr:col>
      <xdr:colOff>278092</xdr:colOff>
      <xdr:row>24</xdr:row>
      <xdr:rowOff>128488</xdr:rowOff>
    </xdr:to>
    <xdr:pic>
      <xdr:nvPicPr>
        <xdr:cNvPr id="4" name="PECOReport">
          <a:extLst>
            <a:ext uri="{FF2B5EF4-FFF2-40B4-BE49-F238E27FC236}">
              <a16:creationId xmlns:a16="http://schemas.microsoft.com/office/drawing/2014/main" id="{61548B4F-F22B-4DE3-ABBA-3741AA45D38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987" t="9316" r="17047" b="17169"/>
        <a:stretch>
          <a:fillRect/>
        </a:stretch>
      </xdr:blipFill>
      <xdr:spPr>
        <a:xfrm>
          <a:off x="8790078" y="3389594"/>
          <a:ext cx="1400364" cy="1564894"/>
        </a:xfrm>
        <a:prstGeom prst="rect">
          <a:avLst/>
        </a:prstGeom>
        <a:ln>
          <a:noFill/>
        </a:ln>
      </xdr:spPr>
    </xdr:pic>
    <xdr:clientData/>
  </xdr:twoCellAnchor>
  <xdr:twoCellAnchor>
    <xdr:from>
      <xdr:col>7</xdr:col>
      <xdr:colOff>395941</xdr:colOff>
      <xdr:row>15</xdr:row>
      <xdr:rowOff>178726</xdr:rowOff>
    </xdr:from>
    <xdr:to>
      <xdr:col>9</xdr:col>
      <xdr:colOff>605116</xdr:colOff>
      <xdr:row>24</xdr:row>
      <xdr:rowOff>171823</xdr:rowOff>
    </xdr:to>
    <xdr:pic>
      <xdr:nvPicPr>
        <xdr:cNvPr id="5" name="Picture 4">
          <a:extLst>
            <a:ext uri="{FF2B5EF4-FFF2-40B4-BE49-F238E27FC236}">
              <a16:creationId xmlns:a16="http://schemas.microsoft.com/office/drawing/2014/main" id="{59ED16F4-C1D4-40CC-8BD3-A40B1F29359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95" r="-1954" b="-3362"/>
        <a:stretch>
          <a:fillRect/>
        </a:stretch>
      </xdr:blipFill>
      <xdr:spPr>
        <a:xfrm>
          <a:off x="5307666" y="3382301"/>
          <a:ext cx="1523625" cy="1618697"/>
        </a:xfrm>
        <a:prstGeom prst="rect">
          <a:avLst/>
        </a:prstGeom>
        <a:ln>
          <a:noFill/>
        </a:ln>
      </xdr:spPr>
    </xdr:pic>
    <xdr:clientData/>
  </xdr:twoCellAnchor>
  <xdr:twoCellAnchor>
    <xdr:from>
      <xdr:col>7</xdr:col>
      <xdr:colOff>14941</xdr:colOff>
      <xdr:row>27</xdr:row>
      <xdr:rowOff>48330</xdr:rowOff>
    </xdr:from>
    <xdr:to>
      <xdr:col>11</xdr:col>
      <xdr:colOff>605118</xdr:colOff>
      <xdr:row>34</xdr:row>
      <xdr:rowOff>9524</xdr:rowOff>
    </xdr:to>
    <xdr:pic>
      <xdr:nvPicPr>
        <xdr:cNvPr id="6" name="Picture 5">
          <a:extLst>
            <a:ext uri="{FF2B5EF4-FFF2-40B4-BE49-F238E27FC236}">
              <a16:creationId xmlns:a16="http://schemas.microsoft.com/office/drawing/2014/main" id="{38410812-96E8-42C4-9B2C-36AAA4331E9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403" r="5327"/>
        <a:stretch>
          <a:fillRect/>
        </a:stretch>
      </xdr:blipFill>
      <xdr:spPr>
        <a:xfrm>
          <a:off x="4926666" y="5417255"/>
          <a:ext cx="3219077" cy="1234369"/>
        </a:xfrm>
        <a:prstGeom prst="rect">
          <a:avLst/>
        </a:prstGeom>
      </xdr:spPr>
    </xdr:pic>
    <xdr:clientData/>
  </xdr:twoCellAnchor>
  <xdr:twoCellAnchor>
    <xdr:from>
      <xdr:col>14</xdr:col>
      <xdr:colOff>59764</xdr:colOff>
      <xdr:row>27</xdr:row>
      <xdr:rowOff>57150</xdr:rowOff>
    </xdr:from>
    <xdr:to>
      <xdr:col>18</xdr:col>
      <xdr:colOff>567764</xdr:colOff>
      <xdr:row>34</xdr:row>
      <xdr:rowOff>18415</xdr:rowOff>
    </xdr:to>
    <xdr:pic>
      <xdr:nvPicPr>
        <xdr:cNvPr id="7" name="Picture 6">
          <a:extLst>
            <a:ext uri="{FF2B5EF4-FFF2-40B4-BE49-F238E27FC236}">
              <a16:creationId xmlns:a16="http://schemas.microsoft.com/office/drawing/2014/main" id="{7D97835F-E32E-4E1B-8E37-1054F91CE6F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226" r="8248"/>
        <a:stretch>
          <a:fillRect/>
        </a:stretch>
      </xdr:blipFill>
      <xdr:spPr>
        <a:xfrm>
          <a:off x="8660839" y="5429250"/>
          <a:ext cx="3133725" cy="12280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24217</xdr:colOff>
          <xdr:row>0</xdr:row>
          <xdr:rowOff>40061</xdr:rowOff>
        </xdr:from>
        <xdr:to>
          <xdr:col>1</xdr:col>
          <xdr:colOff>1102834</xdr:colOff>
          <xdr:row>0</xdr:row>
          <xdr:rowOff>581245</xdr:rowOff>
        </xdr:to>
        <xdr:pic>
          <xdr:nvPicPr>
            <xdr:cNvPr id="8" name="Picture 7">
              <a:extLst>
                <a:ext uri="{FF2B5EF4-FFF2-40B4-BE49-F238E27FC236}">
                  <a16:creationId xmlns:a16="http://schemas.microsoft.com/office/drawing/2014/main" id="{28AD9EFD-41D6-483D-8ED9-C96498067C4C}"/>
                </a:ext>
              </a:extLst>
            </xdr:cNvPr>
            <xdr:cNvPicPr>
              <a:picLocks noChangeAspect="1" noChangeArrowheads="1"/>
              <a:extLst>
                <a:ext uri="{84589F7E-364E-4C9E-8A38-B11213B215E9}">
                  <a14:cameraTool cellRange="Logo" spid="_x0000_s86138"/>
                </a:ext>
              </a:extLst>
            </xdr:cNvPicPr>
          </xdr:nvPicPr>
          <xdr:blipFill>
            <a:blip xmlns:r="http://schemas.openxmlformats.org/officeDocument/2006/relationships" r:embed="rId7"/>
            <a:srcRect/>
            <a:stretch>
              <a:fillRect/>
            </a:stretch>
          </xdr:blipFill>
          <xdr:spPr bwMode="auto">
            <a:xfrm>
              <a:off x="280407" y="40061"/>
              <a:ext cx="1078617" cy="541184"/>
            </a:xfrm>
            <a:prstGeom prst="rect">
              <a:avLst/>
            </a:prstGeom>
            <a:noFill/>
            <a:ln w="9525">
              <a:noFill/>
              <a:miter lim="800000"/>
              <a:headEnd/>
              <a:tailEnd/>
            </a:ln>
          </xdr:spPr>
        </xdr:pic>
        <xdr:clientData/>
      </xdr:twoCellAnchor>
    </mc:Choice>
    <mc:Fallback/>
  </mc:AlternateContent>
  <xdr:twoCellAnchor editAs="oneCell">
    <xdr:from>
      <xdr:col>0</xdr:col>
      <xdr:colOff>231589</xdr:colOff>
      <xdr:row>11</xdr:row>
      <xdr:rowOff>7470</xdr:rowOff>
    </xdr:from>
    <xdr:to>
      <xdr:col>5</xdr:col>
      <xdr:colOff>12695</xdr:colOff>
      <xdr:row>16</xdr:row>
      <xdr:rowOff>74705</xdr:rowOff>
    </xdr:to>
    <xdr:pic>
      <xdr:nvPicPr>
        <xdr:cNvPr id="9" name="Picture 8">
          <a:extLst>
            <a:ext uri="{FF2B5EF4-FFF2-40B4-BE49-F238E27FC236}">
              <a16:creationId xmlns:a16="http://schemas.microsoft.com/office/drawing/2014/main" id="{5AB2CA3B-C3C2-4DB0-A15F-5E8BFC15B3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1589" y="2487145"/>
          <a:ext cx="4095931" cy="968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96405</xdr:rowOff>
    </xdr:from>
    <xdr:to>
      <xdr:col>5</xdr:col>
      <xdr:colOff>293255</xdr:colOff>
      <xdr:row>29</xdr:row>
      <xdr:rowOff>36590</xdr:rowOff>
    </xdr:to>
    <xdr:pic>
      <xdr:nvPicPr>
        <xdr:cNvPr id="10" name="Picture 9">
          <a:extLst>
            <a:ext uri="{FF2B5EF4-FFF2-40B4-BE49-F238E27FC236}">
              <a16:creationId xmlns:a16="http://schemas.microsoft.com/office/drawing/2014/main" id="{632AE66F-5979-4244-88BF-62DBD70137E8}"/>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10973"/>
        <a:stretch>
          <a:fillRect/>
        </a:stretch>
      </xdr:blipFill>
      <xdr:spPr bwMode="auto">
        <a:xfrm>
          <a:off x="0" y="3477780"/>
          <a:ext cx="4608080" cy="229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196850</xdr:colOff>
          <xdr:row>0</xdr:row>
          <xdr:rowOff>0</xdr:rowOff>
        </xdr:from>
        <xdr:to>
          <xdr:col>0</xdr:col>
          <xdr:colOff>2051050</xdr:colOff>
          <xdr:row>0</xdr:row>
          <xdr:rowOff>930324</xdr:rowOff>
        </xdr:to>
        <xdr:pic>
          <xdr:nvPicPr>
            <xdr:cNvPr id="2" name="Picture 1">
              <a:extLst>
                <a:ext uri="{FF2B5EF4-FFF2-40B4-BE49-F238E27FC236}">
                  <a16:creationId xmlns:a16="http://schemas.microsoft.com/office/drawing/2014/main" id="{5B6BC62B-D670-4E74-87C1-F22D0856B5BA}"/>
                </a:ext>
              </a:extLst>
            </xdr:cNvPr>
            <xdr:cNvPicPr>
              <a:picLocks noChangeAspect="1" noChangeArrowheads="1"/>
              <a:extLst>
                <a:ext uri="{84589F7E-364E-4C9E-8A38-B11213B215E9}">
                  <a14:cameraTool cellRange="Logo" spid="_x0000_s2161"/>
                </a:ext>
              </a:extLst>
            </xdr:cNvPicPr>
          </xdr:nvPicPr>
          <xdr:blipFill>
            <a:blip xmlns:r="http://schemas.openxmlformats.org/officeDocument/2006/relationships" r:embed="rId1"/>
            <a:srcRect/>
            <a:stretch>
              <a:fillRect/>
            </a:stretch>
          </xdr:blipFill>
          <xdr:spPr bwMode="auto">
            <a:xfrm>
              <a:off x="196850" y="0"/>
              <a:ext cx="1854200" cy="930324"/>
            </a:xfrm>
            <a:prstGeom prst="rect">
              <a:avLst/>
            </a:prstGeom>
            <a:no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444500</xdr:colOff>
      <xdr:row>447</xdr:row>
      <xdr:rowOff>190501</xdr:rowOff>
    </xdr:from>
    <xdr:to>
      <xdr:col>3</xdr:col>
      <xdr:colOff>654050</xdr:colOff>
      <xdr:row>448</xdr:row>
      <xdr:rowOff>0</xdr:rowOff>
    </xdr:to>
    <xdr:pic>
      <xdr:nvPicPr>
        <xdr:cNvPr id="2" name="Picture 13">
          <a:extLst>
            <a:ext uri="{FF2B5EF4-FFF2-40B4-BE49-F238E27FC236}">
              <a16:creationId xmlns:a16="http://schemas.microsoft.com/office/drawing/2014/main" id="{CC42C08E-2EEC-4669-8F16-04D3027902E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94917" y="77470001"/>
          <a:ext cx="209550" cy="189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nergystar.gov/productfinder/product/certified-commercial-ice-machines/results"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hyperlink" Target="https://www.energystar.gov/productfinder/product/certified-commercial-clothes-washers/results" TargetMode="External"/><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nergystar.gov/productfinder/product/certified-commercial-ovens/result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nergystar.gov/productfinder/product/certified-ventilating-fans/results"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nergystar.gov/productfinder/product/certified-commercial-steam-cookers/result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nergystar.gov/productfinder/product/certified-commercial-ovens/results"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energystar.gov/productfinder/product/certified-commercial-fryers/result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energystar.gov/productfinder/product/certified-commercial-hot-food-holding-cabinets/results"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energystar.gov/productfinder/product/certified-commercial-dishwashers/results?formId=299653-818-416-839-2264072462&amp;scrollTo=1500&amp;search_text=&amp;machine_type_filter=&amp;sanitation_method_filter=&amp;heat_recovery_machine_filter=&amp;heat_recovery_features_filter=&amp;zip_code_filter=&amp;product_types=Select+a+Product+Category&amp;sort_by=brand_name&amp;sort_direction=asc&amp;currentZipCode=20149&amp;page_number=0&amp;lastpage=0"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energystar.gov/productfinder/product/certified-commercial-griddles/result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energystar.gov/productfinder/product/certified-commercial-clothes-washers/results"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energystar.gov/products/office_equipment"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energystar.gov/productfinder/product/certified-commercial-ovens/result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D823-F62A-42F6-B526-AAFD1E1608C5}">
  <sheetPr codeName="Sheet1"/>
  <dimension ref="A1:AC148"/>
  <sheetViews>
    <sheetView showGridLines="0" topLeftCell="A15" zoomScale="70" zoomScaleNormal="70" workbookViewId="0">
      <selection activeCell="H46" sqref="H46"/>
    </sheetView>
  </sheetViews>
  <sheetFormatPr defaultColWidth="8" defaultRowHeight="0" customHeight="1" zeroHeight="1"/>
  <cols>
    <col min="1" max="9" width="8" customWidth="1"/>
    <col min="10" max="10" width="1" customWidth="1"/>
    <col min="11" max="15" width="8" customWidth="1"/>
    <col min="17" max="17" width="8" customWidth="1"/>
    <col min="20" max="20" width="1" customWidth="1"/>
    <col min="30" max="30" width="1" customWidth="1"/>
  </cols>
  <sheetData>
    <row r="1" spans="1:29" ht="30" customHeight="1">
      <c r="A1" s="801" t="s">
        <v>0</v>
      </c>
      <c r="B1" s="801"/>
      <c r="C1" s="801"/>
      <c r="D1" s="801"/>
      <c r="E1" s="801"/>
    </row>
    <row r="2" spans="1:29" ht="5.45" customHeight="1">
      <c r="A2" s="93"/>
      <c r="B2" s="93"/>
      <c r="C2" s="93"/>
      <c r="D2" s="93"/>
      <c r="E2" s="93"/>
      <c r="F2" s="93"/>
      <c r="G2" s="93"/>
      <c r="H2" s="93"/>
      <c r="I2" s="93"/>
      <c r="K2" s="93"/>
      <c r="L2" s="93"/>
      <c r="M2" s="93"/>
      <c r="N2" s="93"/>
      <c r="O2" s="93"/>
      <c r="P2" s="93"/>
      <c r="Q2" s="93"/>
      <c r="R2" s="93"/>
      <c r="S2" s="93"/>
    </row>
    <row r="3" spans="1:29" s="95" customFormat="1" ht="20.100000000000001" customHeight="1">
      <c r="A3" s="794" t="s">
        <v>1</v>
      </c>
      <c r="B3" s="794"/>
      <c r="C3" s="794"/>
      <c r="D3" s="794"/>
      <c r="E3" s="794"/>
      <c r="F3" s="794"/>
      <c r="G3" s="794"/>
      <c r="H3" s="794"/>
      <c r="I3" s="794"/>
      <c r="J3" s="169"/>
      <c r="K3" s="794" t="s">
        <v>2</v>
      </c>
      <c r="L3" s="794"/>
      <c r="M3" s="794"/>
      <c r="N3" s="794"/>
      <c r="O3" s="794"/>
      <c r="P3" s="794"/>
      <c r="Q3" s="794"/>
      <c r="R3" s="794"/>
      <c r="S3" s="794"/>
      <c r="T3" s="169"/>
      <c r="U3" s="794" t="s">
        <v>3</v>
      </c>
      <c r="V3" s="794"/>
      <c r="W3" s="794"/>
      <c r="X3" s="794"/>
      <c r="Y3" s="794"/>
      <c r="Z3" s="794"/>
      <c r="AA3" s="794"/>
      <c r="AB3" s="794"/>
      <c r="AC3" s="794"/>
    </row>
    <row r="4" spans="1:29" ht="6" customHeight="1">
      <c r="A4" s="93"/>
      <c r="B4" s="93"/>
      <c r="C4" s="93"/>
      <c r="D4" s="93"/>
      <c r="E4" s="93"/>
      <c r="F4" s="93"/>
      <c r="G4" s="93"/>
      <c r="H4" s="93"/>
      <c r="I4" s="93"/>
      <c r="J4" s="96"/>
      <c r="K4" s="93"/>
      <c r="L4" s="93"/>
      <c r="M4" s="93"/>
      <c r="N4" s="93"/>
      <c r="O4" s="93"/>
      <c r="P4" s="93"/>
      <c r="Q4" s="93"/>
      <c r="R4" s="93"/>
      <c r="S4" s="93"/>
      <c r="T4" s="96"/>
    </row>
    <row r="5" spans="1:29" ht="14.25">
      <c r="A5" s="795" t="s">
        <v>4</v>
      </c>
      <c r="B5" s="796"/>
      <c r="C5" s="796"/>
      <c r="D5" s="796"/>
      <c r="E5" s="796"/>
      <c r="F5" s="796"/>
      <c r="G5" s="796"/>
      <c r="H5" s="796"/>
      <c r="I5" s="796"/>
      <c r="J5" s="96"/>
      <c r="K5" s="797" t="s">
        <v>5</v>
      </c>
      <c r="L5" s="802"/>
      <c r="M5" s="802"/>
      <c r="N5" s="802"/>
      <c r="O5" s="802"/>
      <c r="P5" s="802"/>
      <c r="Q5" s="802"/>
      <c r="R5" s="802"/>
      <c r="S5" s="802"/>
      <c r="T5" s="96"/>
      <c r="U5" s="797" t="s">
        <v>6</v>
      </c>
      <c r="V5" s="796"/>
      <c r="W5" s="796"/>
      <c r="X5" s="796"/>
      <c r="Y5" s="796"/>
      <c r="Z5" s="796"/>
      <c r="AA5" s="796"/>
      <c r="AB5" s="796"/>
      <c r="AC5" s="796"/>
    </row>
    <row r="6" spans="1:29" ht="14.25">
      <c r="A6" s="796"/>
      <c r="B6" s="796"/>
      <c r="C6" s="796"/>
      <c r="D6" s="796"/>
      <c r="E6" s="796"/>
      <c r="F6" s="796"/>
      <c r="G6" s="796"/>
      <c r="H6" s="796"/>
      <c r="I6" s="796"/>
      <c r="J6" s="96"/>
      <c r="K6" s="802"/>
      <c r="L6" s="802"/>
      <c r="M6" s="802"/>
      <c r="N6" s="802"/>
      <c r="O6" s="802"/>
      <c r="P6" s="802"/>
      <c r="Q6" s="802"/>
      <c r="R6" s="802"/>
      <c r="S6" s="802"/>
      <c r="T6" s="96"/>
      <c r="U6" s="796"/>
      <c r="V6" s="796"/>
      <c r="W6" s="796"/>
      <c r="X6" s="796"/>
      <c r="Y6" s="796"/>
      <c r="Z6" s="796"/>
      <c r="AA6" s="796"/>
      <c r="AB6" s="796"/>
      <c r="AC6" s="796"/>
    </row>
    <row r="7" spans="1:29" ht="14.45" customHeight="1">
      <c r="A7" s="796"/>
      <c r="B7" s="796"/>
      <c r="C7" s="796"/>
      <c r="D7" s="796"/>
      <c r="E7" s="796"/>
      <c r="F7" s="796"/>
      <c r="G7" s="796"/>
      <c r="H7" s="796"/>
      <c r="I7" s="796"/>
      <c r="J7" s="96"/>
      <c r="K7" s="802"/>
      <c r="L7" s="802"/>
      <c r="M7" s="802"/>
      <c r="N7" s="802"/>
      <c r="O7" s="802"/>
      <c r="P7" s="802"/>
      <c r="Q7" s="802"/>
      <c r="R7" s="802"/>
      <c r="S7" s="802"/>
      <c r="T7" s="96"/>
      <c r="U7" s="796"/>
      <c r="V7" s="796"/>
      <c r="W7" s="796"/>
      <c r="X7" s="796"/>
      <c r="Y7" s="796"/>
      <c r="Z7" s="796"/>
      <c r="AA7" s="796"/>
      <c r="AB7" s="796"/>
      <c r="AC7" s="796"/>
    </row>
    <row r="8" spans="1:29" ht="14.45" customHeight="1">
      <c r="A8" s="796"/>
      <c r="B8" s="796"/>
      <c r="C8" s="796"/>
      <c r="D8" s="796"/>
      <c r="E8" s="796"/>
      <c r="F8" s="796"/>
      <c r="G8" s="796"/>
      <c r="H8" s="796"/>
      <c r="I8" s="796"/>
      <c r="J8" s="96"/>
      <c r="K8" s="802"/>
      <c r="L8" s="802"/>
      <c r="M8" s="802"/>
      <c r="N8" s="802"/>
      <c r="O8" s="802"/>
      <c r="P8" s="802"/>
      <c r="Q8" s="802"/>
      <c r="R8" s="802"/>
      <c r="S8" s="802"/>
      <c r="T8" s="96"/>
      <c r="U8" s="796"/>
      <c r="V8" s="796"/>
      <c r="W8" s="796"/>
      <c r="X8" s="796"/>
      <c r="Y8" s="796"/>
      <c r="Z8" s="796"/>
      <c r="AA8" s="796"/>
      <c r="AB8" s="796"/>
      <c r="AC8" s="796"/>
    </row>
    <row r="9" spans="1:29" ht="14.45" customHeight="1">
      <c r="A9" s="796"/>
      <c r="B9" s="796"/>
      <c r="C9" s="796"/>
      <c r="D9" s="796"/>
      <c r="E9" s="796"/>
      <c r="F9" s="796"/>
      <c r="G9" s="796"/>
      <c r="H9" s="796"/>
      <c r="I9" s="796"/>
      <c r="J9" s="96"/>
      <c r="K9" s="802"/>
      <c r="L9" s="802"/>
      <c r="M9" s="802"/>
      <c r="N9" s="802"/>
      <c r="O9" s="802"/>
      <c r="P9" s="802"/>
      <c r="Q9" s="802"/>
      <c r="R9" s="802"/>
      <c r="S9" s="802"/>
      <c r="T9" s="96"/>
      <c r="U9" s="796"/>
      <c r="V9" s="796"/>
      <c r="W9" s="796"/>
      <c r="X9" s="796"/>
      <c r="Y9" s="796"/>
      <c r="Z9" s="796"/>
      <c r="AA9" s="796"/>
      <c r="AB9" s="796"/>
      <c r="AC9" s="796"/>
    </row>
    <row r="10" spans="1:29" ht="14.25">
      <c r="A10" s="796"/>
      <c r="B10" s="796"/>
      <c r="C10" s="796"/>
      <c r="D10" s="796"/>
      <c r="E10" s="796"/>
      <c r="F10" s="796"/>
      <c r="G10" s="796"/>
      <c r="H10" s="796"/>
      <c r="I10" s="796"/>
      <c r="J10" s="96"/>
      <c r="K10" s="802"/>
      <c r="L10" s="802"/>
      <c r="M10" s="802"/>
      <c r="N10" s="802"/>
      <c r="O10" s="802"/>
      <c r="P10" s="802"/>
      <c r="Q10" s="802"/>
      <c r="R10" s="802"/>
      <c r="S10" s="802"/>
      <c r="T10" s="96"/>
      <c r="U10" s="796"/>
      <c r="V10" s="796"/>
      <c r="W10" s="796"/>
      <c r="X10" s="796"/>
      <c r="Y10" s="796"/>
      <c r="Z10" s="796"/>
      <c r="AA10" s="796"/>
      <c r="AB10" s="796"/>
      <c r="AC10" s="796"/>
    </row>
    <row r="11" spans="1:29" ht="14.25">
      <c r="A11" s="796"/>
      <c r="B11" s="796"/>
      <c r="C11" s="796"/>
      <c r="D11" s="796"/>
      <c r="E11" s="796"/>
      <c r="F11" s="796"/>
      <c r="G11" s="796"/>
      <c r="H11" s="796"/>
      <c r="I11" s="796"/>
      <c r="J11" s="96"/>
      <c r="K11" s="802"/>
      <c r="L11" s="802"/>
      <c r="M11" s="802"/>
      <c r="N11" s="802"/>
      <c r="O11" s="802"/>
      <c r="P11" s="802"/>
      <c r="Q11" s="802"/>
      <c r="R11" s="802"/>
      <c r="S11" s="802"/>
      <c r="T11" s="96"/>
      <c r="U11" s="796"/>
      <c r="V11" s="796"/>
      <c r="W11" s="796"/>
      <c r="X11" s="796"/>
      <c r="Y11" s="796"/>
      <c r="Z11" s="796"/>
      <c r="AA11" s="796"/>
      <c r="AB11" s="796"/>
      <c r="AC11" s="796"/>
    </row>
    <row r="12" spans="1:29" ht="14.25">
      <c r="A12" s="796"/>
      <c r="B12" s="796"/>
      <c r="C12" s="796"/>
      <c r="D12" s="796"/>
      <c r="E12" s="796"/>
      <c r="F12" s="796"/>
      <c r="G12" s="796"/>
      <c r="H12" s="796"/>
      <c r="I12" s="796"/>
      <c r="J12" s="96"/>
      <c r="K12" s="802"/>
      <c r="L12" s="802"/>
      <c r="M12" s="802"/>
      <c r="N12" s="802"/>
      <c r="O12" s="802"/>
      <c r="P12" s="802"/>
      <c r="Q12" s="802"/>
      <c r="R12" s="802"/>
      <c r="S12" s="802"/>
      <c r="T12" s="96"/>
      <c r="U12" s="796"/>
      <c r="V12" s="796"/>
      <c r="W12" s="796"/>
      <c r="X12" s="796"/>
      <c r="Y12" s="796"/>
      <c r="Z12" s="796"/>
      <c r="AA12" s="796"/>
      <c r="AB12" s="796"/>
      <c r="AC12" s="796"/>
    </row>
    <row r="13" spans="1:29" ht="14.25">
      <c r="A13" s="796"/>
      <c r="B13" s="796"/>
      <c r="C13" s="796"/>
      <c r="D13" s="796"/>
      <c r="E13" s="796"/>
      <c r="F13" s="796"/>
      <c r="G13" s="796"/>
      <c r="H13" s="796"/>
      <c r="I13" s="796"/>
      <c r="J13" s="96"/>
      <c r="K13" s="802"/>
      <c r="L13" s="802"/>
      <c r="M13" s="802"/>
      <c r="N13" s="802"/>
      <c r="O13" s="802"/>
      <c r="P13" s="802"/>
      <c r="Q13" s="802"/>
      <c r="R13" s="802"/>
      <c r="S13" s="802"/>
      <c r="T13" s="96"/>
      <c r="U13" s="796"/>
      <c r="V13" s="796"/>
      <c r="W13" s="796"/>
      <c r="X13" s="796"/>
      <c r="Y13" s="796"/>
      <c r="Z13" s="796"/>
      <c r="AA13" s="796"/>
      <c r="AB13" s="796"/>
      <c r="AC13" s="796"/>
    </row>
    <row r="14" spans="1:29" ht="14.25">
      <c r="A14" s="796"/>
      <c r="B14" s="796"/>
      <c r="C14" s="796"/>
      <c r="D14" s="796"/>
      <c r="E14" s="796"/>
      <c r="F14" s="796"/>
      <c r="G14" s="796"/>
      <c r="H14" s="796"/>
      <c r="I14" s="796"/>
      <c r="J14" s="96"/>
      <c r="K14" s="802"/>
      <c r="L14" s="802"/>
      <c r="M14" s="802"/>
      <c r="N14" s="802"/>
      <c r="O14" s="802"/>
      <c r="P14" s="802"/>
      <c r="Q14" s="802"/>
      <c r="R14" s="802"/>
      <c r="S14" s="802"/>
      <c r="T14" s="96"/>
      <c r="U14" s="796"/>
      <c r="V14" s="796"/>
      <c r="W14" s="796"/>
      <c r="X14" s="796"/>
      <c r="Y14" s="796"/>
      <c r="Z14" s="796"/>
      <c r="AA14" s="796"/>
      <c r="AB14" s="796"/>
      <c r="AC14" s="796"/>
    </row>
    <row r="15" spans="1:29" ht="14.25">
      <c r="A15" s="796"/>
      <c r="B15" s="796"/>
      <c r="C15" s="796"/>
      <c r="D15" s="796"/>
      <c r="E15" s="796"/>
      <c r="F15" s="796"/>
      <c r="G15" s="796"/>
      <c r="H15" s="796"/>
      <c r="I15" s="796"/>
      <c r="J15" s="96"/>
      <c r="K15" s="802"/>
      <c r="L15" s="802"/>
      <c r="M15" s="802"/>
      <c r="N15" s="802"/>
      <c r="O15" s="802"/>
      <c r="P15" s="802"/>
      <c r="Q15" s="802"/>
      <c r="R15" s="802"/>
      <c r="S15" s="802"/>
      <c r="T15" s="96"/>
      <c r="U15" s="796"/>
      <c r="V15" s="796"/>
      <c r="W15" s="796"/>
      <c r="X15" s="796"/>
      <c r="Y15" s="796"/>
      <c r="Z15" s="796"/>
      <c r="AA15" s="796"/>
      <c r="AB15" s="796"/>
      <c r="AC15" s="796"/>
    </row>
    <row r="16" spans="1:29" ht="14.45" customHeight="1">
      <c r="A16" s="796"/>
      <c r="B16" s="796"/>
      <c r="C16" s="796"/>
      <c r="D16" s="796"/>
      <c r="E16" s="796"/>
      <c r="F16" s="796"/>
      <c r="G16" s="796"/>
      <c r="H16" s="796"/>
      <c r="I16" s="796"/>
      <c r="J16" s="96"/>
      <c r="K16" s="802"/>
      <c r="L16" s="802"/>
      <c r="M16" s="802"/>
      <c r="N16" s="802"/>
      <c r="O16" s="802"/>
      <c r="P16" s="802"/>
      <c r="Q16" s="802"/>
      <c r="R16" s="802"/>
      <c r="S16" s="802"/>
      <c r="T16" s="96"/>
      <c r="U16" s="796"/>
      <c r="V16" s="796"/>
      <c r="W16" s="796"/>
      <c r="X16" s="796"/>
      <c r="Y16" s="796"/>
      <c r="Z16" s="796"/>
      <c r="AA16" s="796"/>
      <c r="AB16" s="796"/>
      <c r="AC16" s="796"/>
    </row>
    <row r="17" spans="1:29" ht="14.25">
      <c r="A17" s="796"/>
      <c r="B17" s="796"/>
      <c r="C17" s="796"/>
      <c r="D17" s="796"/>
      <c r="E17" s="796"/>
      <c r="F17" s="796"/>
      <c r="G17" s="796"/>
      <c r="H17" s="796"/>
      <c r="I17" s="796"/>
      <c r="J17" s="96"/>
      <c r="K17" s="802"/>
      <c r="L17" s="802"/>
      <c r="M17" s="802"/>
      <c r="N17" s="802"/>
      <c r="O17" s="802"/>
      <c r="P17" s="802"/>
      <c r="Q17" s="802"/>
      <c r="R17" s="802"/>
      <c r="S17" s="802"/>
      <c r="T17" s="96"/>
      <c r="U17" s="796"/>
      <c r="V17" s="796"/>
      <c r="W17" s="796"/>
      <c r="X17" s="796"/>
      <c r="Y17" s="796"/>
      <c r="Z17" s="796"/>
      <c r="AA17" s="796"/>
      <c r="AB17" s="796"/>
      <c r="AC17" s="796"/>
    </row>
    <row r="18" spans="1:29" ht="14.45" customHeight="1">
      <c r="A18" s="796"/>
      <c r="B18" s="796"/>
      <c r="C18" s="796"/>
      <c r="D18" s="796"/>
      <c r="E18" s="796"/>
      <c r="F18" s="796"/>
      <c r="G18" s="796"/>
      <c r="H18" s="796"/>
      <c r="I18" s="796"/>
      <c r="J18" s="96"/>
      <c r="K18" s="802"/>
      <c r="L18" s="802"/>
      <c r="M18" s="802"/>
      <c r="N18" s="802"/>
      <c r="O18" s="802"/>
      <c r="P18" s="802"/>
      <c r="Q18" s="802"/>
      <c r="R18" s="802"/>
      <c r="S18" s="802"/>
      <c r="T18" s="96"/>
      <c r="U18" s="796"/>
      <c r="V18" s="796"/>
      <c r="W18" s="796"/>
      <c r="X18" s="796"/>
      <c r="Y18" s="796"/>
      <c r="Z18" s="796"/>
      <c r="AA18" s="796"/>
      <c r="AB18" s="796"/>
      <c r="AC18" s="796"/>
    </row>
    <row r="19" spans="1:29" ht="14.25">
      <c r="A19" s="796"/>
      <c r="B19" s="796"/>
      <c r="C19" s="796"/>
      <c r="D19" s="796"/>
      <c r="E19" s="796"/>
      <c r="F19" s="796"/>
      <c r="G19" s="796"/>
      <c r="H19" s="796"/>
      <c r="I19" s="796"/>
      <c r="J19" s="96"/>
      <c r="K19" s="802"/>
      <c r="L19" s="802"/>
      <c r="M19" s="802"/>
      <c r="N19" s="802"/>
      <c r="O19" s="802"/>
      <c r="P19" s="802"/>
      <c r="Q19" s="802"/>
      <c r="R19" s="802"/>
      <c r="S19" s="802"/>
      <c r="T19" s="96"/>
      <c r="U19" s="796"/>
      <c r="V19" s="796"/>
      <c r="W19" s="796"/>
      <c r="X19" s="796"/>
      <c r="Y19" s="796"/>
      <c r="Z19" s="796"/>
      <c r="AA19" s="796"/>
      <c r="AB19" s="796"/>
      <c r="AC19" s="796"/>
    </row>
    <row r="20" spans="1:29" ht="14.25">
      <c r="A20" s="796"/>
      <c r="B20" s="796"/>
      <c r="C20" s="796"/>
      <c r="D20" s="796"/>
      <c r="E20" s="796"/>
      <c r="F20" s="796"/>
      <c r="G20" s="796"/>
      <c r="H20" s="796"/>
      <c r="I20" s="796"/>
      <c r="J20" s="96"/>
      <c r="K20" s="802"/>
      <c r="L20" s="802"/>
      <c r="M20" s="802"/>
      <c r="N20" s="802"/>
      <c r="O20" s="802"/>
      <c r="P20" s="802"/>
      <c r="Q20" s="802"/>
      <c r="R20" s="802"/>
      <c r="S20" s="802"/>
      <c r="T20" s="96"/>
      <c r="U20" s="796"/>
      <c r="V20" s="796"/>
      <c r="W20" s="796"/>
      <c r="X20" s="796"/>
      <c r="Y20" s="796"/>
      <c r="Z20" s="796"/>
      <c r="AA20" s="796"/>
      <c r="AB20" s="796"/>
      <c r="AC20" s="796"/>
    </row>
    <row r="21" spans="1:29" ht="14.25">
      <c r="A21" s="796"/>
      <c r="B21" s="796"/>
      <c r="C21" s="796"/>
      <c r="D21" s="796"/>
      <c r="E21" s="796"/>
      <c r="F21" s="796"/>
      <c r="G21" s="796"/>
      <c r="H21" s="796"/>
      <c r="I21" s="796"/>
      <c r="J21" s="96"/>
      <c r="K21" s="802"/>
      <c r="L21" s="802"/>
      <c r="M21" s="802"/>
      <c r="N21" s="802"/>
      <c r="O21" s="802"/>
      <c r="P21" s="802"/>
      <c r="Q21" s="802"/>
      <c r="R21" s="802"/>
      <c r="S21" s="802"/>
      <c r="T21" s="96"/>
      <c r="U21" s="796"/>
      <c r="V21" s="796"/>
      <c r="W21" s="796"/>
      <c r="X21" s="796"/>
      <c r="Y21" s="796"/>
      <c r="Z21" s="796"/>
      <c r="AA21" s="796"/>
      <c r="AB21" s="796"/>
      <c r="AC21" s="796"/>
    </row>
    <row r="22" spans="1:29" ht="14.25">
      <c r="A22" s="796"/>
      <c r="B22" s="796"/>
      <c r="C22" s="796"/>
      <c r="D22" s="796"/>
      <c r="E22" s="796"/>
      <c r="F22" s="796"/>
      <c r="G22" s="796"/>
      <c r="H22" s="796"/>
      <c r="I22" s="796"/>
      <c r="J22" s="96"/>
      <c r="K22" s="802"/>
      <c r="L22" s="802"/>
      <c r="M22" s="802"/>
      <c r="N22" s="802"/>
      <c r="O22" s="802"/>
      <c r="P22" s="802"/>
      <c r="Q22" s="802"/>
      <c r="R22" s="802"/>
      <c r="S22" s="802"/>
      <c r="T22" s="96"/>
      <c r="U22" s="796"/>
      <c r="V22" s="796"/>
      <c r="W22" s="796"/>
      <c r="X22" s="796"/>
      <c r="Y22" s="796"/>
      <c r="Z22" s="796"/>
      <c r="AA22" s="796"/>
      <c r="AB22" s="796"/>
      <c r="AC22" s="796"/>
    </row>
    <row r="23" spans="1:29" ht="14.25">
      <c r="A23" s="796"/>
      <c r="B23" s="796"/>
      <c r="C23" s="796"/>
      <c r="D23" s="796"/>
      <c r="E23" s="796"/>
      <c r="F23" s="796"/>
      <c r="G23" s="796"/>
      <c r="H23" s="796"/>
      <c r="I23" s="796"/>
      <c r="J23" s="96"/>
      <c r="K23" s="802"/>
      <c r="L23" s="802"/>
      <c r="M23" s="802"/>
      <c r="N23" s="802"/>
      <c r="O23" s="802"/>
      <c r="P23" s="802"/>
      <c r="Q23" s="802"/>
      <c r="R23" s="802"/>
      <c r="S23" s="802"/>
      <c r="T23" s="96"/>
      <c r="U23" s="796"/>
      <c r="V23" s="796"/>
      <c r="W23" s="796"/>
      <c r="X23" s="796"/>
      <c r="Y23" s="796"/>
      <c r="Z23" s="796"/>
      <c r="AA23" s="796"/>
      <c r="AB23" s="796"/>
      <c r="AC23" s="796"/>
    </row>
    <row r="24" spans="1:29" ht="14.25">
      <c r="A24" s="796"/>
      <c r="B24" s="796"/>
      <c r="C24" s="796"/>
      <c r="D24" s="796"/>
      <c r="E24" s="796"/>
      <c r="F24" s="796"/>
      <c r="G24" s="796"/>
      <c r="H24" s="796"/>
      <c r="I24" s="796"/>
      <c r="J24" s="96"/>
      <c r="K24" s="802"/>
      <c r="L24" s="802"/>
      <c r="M24" s="802"/>
      <c r="N24" s="802"/>
      <c r="O24" s="802"/>
      <c r="P24" s="802"/>
      <c r="Q24" s="802"/>
      <c r="R24" s="802"/>
      <c r="S24" s="802"/>
      <c r="T24" s="96"/>
      <c r="U24" s="796"/>
      <c r="V24" s="796"/>
      <c r="W24" s="796"/>
      <c r="X24" s="796"/>
      <c r="Y24" s="796"/>
      <c r="Z24" s="796"/>
      <c r="AA24" s="796"/>
      <c r="AB24" s="796"/>
      <c r="AC24" s="796"/>
    </row>
    <row r="25" spans="1:29" ht="14.25">
      <c r="A25" s="796"/>
      <c r="B25" s="796"/>
      <c r="C25" s="796"/>
      <c r="D25" s="796"/>
      <c r="E25" s="796"/>
      <c r="F25" s="796"/>
      <c r="G25" s="796"/>
      <c r="H25" s="796"/>
      <c r="I25" s="796"/>
      <c r="J25" s="96"/>
      <c r="K25" s="802"/>
      <c r="L25" s="802"/>
      <c r="M25" s="802"/>
      <c r="N25" s="802"/>
      <c r="O25" s="802"/>
      <c r="P25" s="802"/>
      <c r="Q25" s="802"/>
      <c r="R25" s="802"/>
      <c r="S25" s="802"/>
      <c r="T25" s="96"/>
      <c r="U25" s="796"/>
      <c r="V25" s="796"/>
      <c r="W25" s="796"/>
      <c r="X25" s="796"/>
      <c r="Y25" s="796"/>
      <c r="Z25" s="796"/>
      <c r="AA25" s="796"/>
      <c r="AB25" s="796"/>
      <c r="AC25" s="796"/>
    </row>
    <row r="26" spans="1:29" ht="14.25">
      <c r="A26" s="796"/>
      <c r="B26" s="796"/>
      <c r="C26" s="796"/>
      <c r="D26" s="796"/>
      <c r="E26" s="796"/>
      <c r="F26" s="796"/>
      <c r="G26" s="796"/>
      <c r="H26" s="796"/>
      <c r="I26" s="796"/>
      <c r="J26" s="96"/>
      <c r="K26" s="802"/>
      <c r="L26" s="802"/>
      <c r="M26" s="802"/>
      <c r="N26" s="802"/>
      <c r="O26" s="802"/>
      <c r="P26" s="802"/>
      <c r="Q26" s="802"/>
      <c r="R26" s="802"/>
      <c r="S26" s="802"/>
      <c r="T26" s="96"/>
      <c r="U26" s="796"/>
      <c r="V26" s="796"/>
      <c r="W26" s="796"/>
      <c r="X26" s="796"/>
      <c r="Y26" s="796"/>
      <c r="Z26" s="796"/>
      <c r="AA26" s="796"/>
      <c r="AB26" s="796"/>
      <c r="AC26" s="796"/>
    </row>
    <row r="27" spans="1:29" ht="14.25">
      <c r="A27" s="796"/>
      <c r="B27" s="796"/>
      <c r="C27" s="796"/>
      <c r="D27" s="796"/>
      <c r="E27" s="796"/>
      <c r="F27" s="796"/>
      <c r="G27" s="796"/>
      <c r="H27" s="796"/>
      <c r="I27" s="796"/>
      <c r="J27" s="96"/>
      <c r="K27" s="802"/>
      <c r="L27" s="802"/>
      <c r="M27" s="802"/>
      <c r="N27" s="802"/>
      <c r="O27" s="802"/>
      <c r="P27" s="802"/>
      <c r="Q27" s="802"/>
      <c r="R27" s="802"/>
      <c r="S27" s="802"/>
      <c r="T27" s="96"/>
      <c r="U27" s="796"/>
      <c r="V27" s="796"/>
      <c r="W27" s="796"/>
      <c r="X27" s="796"/>
      <c r="Y27" s="796"/>
      <c r="Z27" s="796"/>
      <c r="AA27" s="796"/>
      <c r="AB27" s="796"/>
      <c r="AC27" s="796"/>
    </row>
    <row r="28" spans="1:29" ht="14.25">
      <c r="A28" s="796"/>
      <c r="B28" s="796"/>
      <c r="C28" s="796"/>
      <c r="D28" s="796"/>
      <c r="E28" s="796"/>
      <c r="F28" s="796"/>
      <c r="G28" s="796"/>
      <c r="H28" s="796"/>
      <c r="I28" s="796"/>
      <c r="J28" s="96"/>
      <c r="K28" s="802"/>
      <c r="L28" s="802"/>
      <c r="M28" s="802"/>
      <c r="N28" s="802"/>
      <c r="O28" s="802"/>
      <c r="P28" s="802"/>
      <c r="Q28" s="802"/>
      <c r="R28" s="802"/>
      <c r="S28" s="802"/>
      <c r="T28" s="96"/>
      <c r="U28" s="796"/>
      <c r="V28" s="796"/>
      <c r="W28" s="796"/>
      <c r="X28" s="796"/>
      <c r="Y28" s="796"/>
      <c r="Z28" s="796"/>
      <c r="AA28" s="796"/>
      <c r="AB28" s="796"/>
      <c r="AC28" s="796"/>
    </row>
    <row r="29" spans="1:29" ht="14.25">
      <c r="A29" s="796"/>
      <c r="B29" s="796"/>
      <c r="C29" s="796"/>
      <c r="D29" s="796"/>
      <c r="E29" s="796"/>
      <c r="F29" s="796"/>
      <c r="G29" s="796"/>
      <c r="H29" s="796"/>
      <c r="I29" s="796"/>
      <c r="J29" s="96"/>
      <c r="K29" s="802"/>
      <c r="L29" s="802"/>
      <c r="M29" s="802"/>
      <c r="N29" s="802"/>
      <c r="O29" s="802"/>
      <c r="P29" s="802"/>
      <c r="Q29" s="802"/>
      <c r="R29" s="802"/>
      <c r="S29" s="802"/>
      <c r="T29" s="96"/>
      <c r="U29" s="796"/>
      <c r="V29" s="796"/>
      <c r="W29" s="796"/>
      <c r="X29" s="796"/>
      <c r="Y29" s="796"/>
      <c r="Z29" s="796"/>
      <c r="AA29" s="796"/>
      <c r="AB29" s="796"/>
      <c r="AC29" s="796"/>
    </row>
    <row r="30" spans="1:29" ht="14.25">
      <c r="A30" s="796"/>
      <c r="B30" s="796"/>
      <c r="C30" s="796"/>
      <c r="D30" s="796"/>
      <c r="E30" s="796"/>
      <c r="F30" s="796"/>
      <c r="G30" s="796"/>
      <c r="H30" s="796"/>
      <c r="I30" s="796"/>
      <c r="J30" s="96"/>
      <c r="K30" s="802"/>
      <c r="L30" s="802"/>
      <c r="M30" s="802"/>
      <c r="N30" s="802"/>
      <c r="O30" s="802"/>
      <c r="P30" s="802"/>
      <c r="Q30" s="802"/>
      <c r="R30" s="802"/>
      <c r="S30" s="802"/>
      <c r="T30" s="96"/>
      <c r="U30" s="796"/>
      <c r="V30" s="796"/>
      <c r="W30" s="796"/>
      <c r="X30" s="796"/>
      <c r="Y30" s="796"/>
      <c r="Z30" s="796"/>
      <c r="AA30" s="796"/>
      <c r="AB30" s="796"/>
      <c r="AC30" s="796"/>
    </row>
    <row r="31" spans="1:29" ht="14.25">
      <c r="A31" s="796"/>
      <c r="B31" s="796"/>
      <c r="C31" s="796"/>
      <c r="D31" s="796"/>
      <c r="E31" s="796"/>
      <c r="F31" s="796"/>
      <c r="G31" s="796"/>
      <c r="H31" s="796"/>
      <c r="I31" s="796"/>
      <c r="J31" s="96"/>
      <c r="K31" s="802"/>
      <c r="L31" s="802"/>
      <c r="M31" s="802"/>
      <c r="N31" s="802"/>
      <c r="O31" s="802"/>
      <c r="P31" s="802"/>
      <c r="Q31" s="802"/>
      <c r="R31" s="802"/>
      <c r="S31" s="802"/>
      <c r="T31" s="96"/>
      <c r="U31" s="796"/>
      <c r="V31" s="796"/>
      <c r="W31" s="796"/>
      <c r="X31" s="796"/>
      <c r="Y31" s="796"/>
      <c r="Z31" s="796"/>
      <c r="AA31" s="796"/>
      <c r="AB31" s="796"/>
      <c r="AC31" s="796"/>
    </row>
    <row r="32" spans="1:29" ht="14.25">
      <c r="A32" s="796"/>
      <c r="B32" s="796"/>
      <c r="C32" s="796"/>
      <c r="D32" s="796"/>
      <c r="E32" s="796"/>
      <c r="F32" s="796"/>
      <c r="G32" s="796"/>
      <c r="H32" s="796"/>
      <c r="I32" s="796"/>
      <c r="J32" s="96"/>
      <c r="K32" s="802"/>
      <c r="L32" s="802"/>
      <c r="M32" s="802"/>
      <c r="N32" s="802"/>
      <c r="O32" s="802"/>
      <c r="P32" s="802"/>
      <c r="Q32" s="802"/>
      <c r="R32" s="802"/>
      <c r="S32" s="802"/>
      <c r="T32" s="96"/>
      <c r="U32" s="796"/>
      <c r="V32" s="796"/>
      <c r="W32" s="796"/>
      <c r="X32" s="796"/>
      <c r="Y32" s="796"/>
      <c r="Z32" s="796"/>
      <c r="AA32" s="796"/>
      <c r="AB32" s="796"/>
      <c r="AC32" s="796"/>
    </row>
    <row r="33" spans="1:29" ht="14.25">
      <c r="A33" s="796"/>
      <c r="B33" s="796"/>
      <c r="C33" s="796"/>
      <c r="D33" s="796"/>
      <c r="E33" s="796"/>
      <c r="F33" s="796"/>
      <c r="G33" s="796"/>
      <c r="H33" s="796"/>
      <c r="I33" s="796"/>
      <c r="J33" s="96"/>
      <c r="K33" s="802"/>
      <c r="L33" s="802"/>
      <c r="M33" s="802"/>
      <c r="N33" s="802"/>
      <c r="O33" s="802"/>
      <c r="P33" s="802"/>
      <c r="Q33" s="802"/>
      <c r="R33" s="802"/>
      <c r="S33" s="802"/>
      <c r="T33" s="96"/>
      <c r="U33" s="796"/>
      <c r="V33" s="796"/>
      <c r="W33" s="796"/>
      <c r="X33" s="796"/>
      <c r="Y33" s="796"/>
      <c r="Z33" s="796"/>
      <c r="AA33" s="796"/>
      <c r="AB33" s="796"/>
      <c r="AC33" s="796"/>
    </row>
    <row r="34" spans="1:29" ht="14.25">
      <c r="A34" s="796"/>
      <c r="B34" s="796"/>
      <c r="C34" s="796"/>
      <c r="D34" s="796"/>
      <c r="E34" s="796"/>
      <c r="F34" s="796"/>
      <c r="G34" s="796"/>
      <c r="H34" s="796"/>
      <c r="I34" s="796"/>
      <c r="J34" s="96"/>
      <c r="K34" s="802"/>
      <c r="L34" s="802"/>
      <c r="M34" s="802"/>
      <c r="N34" s="802"/>
      <c r="O34" s="802"/>
      <c r="P34" s="802"/>
      <c r="Q34" s="802"/>
      <c r="R34" s="802"/>
      <c r="S34" s="802"/>
      <c r="T34" s="96"/>
      <c r="U34" s="796"/>
      <c r="V34" s="796"/>
      <c r="W34" s="796"/>
      <c r="X34" s="796"/>
      <c r="Y34" s="796"/>
      <c r="Z34" s="796"/>
      <c r="AA34" s="796"/>
      <c r="AB34" s="796"/>
      <c r="AC34" s="796"/>
    </row>
    <row r="35" spans="1:29" ht="14.25">
      <c r="A35" s="796"/>
      <c r="B35" s="796"/>
      <c r="C35" s="796"/>
      <c r="D35" s="796"/>
      <c r="E35" s="796"/>
      <c r="F35" s="796"/>
      <c r="G35" s="796"/>
      <c r="H35" s="796"/>
      <c r="I35" s="796"/>
      <c r="J35" s="96"/>
      <c r="K35" s="802"/>
      <c r="L35" s="802"/>
      <c r="M35" s="802"/>
      <c r="N35" s="802"/>
      <c r="O35" s="802"/>
      <c r="P35" s="802"/>
      <c r="Q35" s="802"/>
      <c r="R35" s="802"/>
      <c r="S35" s="802"/>
      <c r="T35" s="96"/>
      <c r="U35" s="796"/>
      <c r="V35" s="796"/>
      <c r="W35" s="796"/>
      <c r="X35" s="796"/>
      <c r="Y35" s="796"/>
      <c r="Z35" s="796"/>
      <c r="AA35" s="796"/>
      <c r="AB35" s="796"/>
      <c r="AC35" s="796"/>
    </row>
    <row r="36" spans="1:29" ht="14.25">
      <c r="A36" s="796"/>
      <c r="B36" s="796"/>
      <c r="C36" s="796"/>
      <c r="D36" s="796"/>
      <c r="E36" s="796"/>
      <c r="F36" s="796"/>
      <c r="G36" s="796"/>
      <c r="H36" s="796"/>
      <c r="I36" s="796"/>
      <c r="J36" s="96"/>
      <c r="K36" s="802"/>
      <c r="L36" s="802"/>
      <c r="M36" s="802"/>
      <c r="N36" s="802"/>
      <c r="O36" s="802"/>
      <c r="P36" s="802"/>
      <c r="Q36" s="802"/>
      <c r="R36" s="802"/>
      <c r="S36" s="802"/>
      <c r="T36" s="96"/>
      <c r="U36" s="796"/>
      <c r="V36" s="796"/>
      <c r="W36" s="796"/>
      <c r="X36" s="796"/>
      <c r="Y36" s="796"/>
      <c r="Z36" s="796"/>
      <c r="AA36" s="796"/>
      <c r="AB36" s="796"/>
      <c r="AC36" s="796"/>
    </row>
    <row r="37" spans="1:29" ht="14.25">
      <c r="A37" s="796"/>
      <c r="B37" s="796"/>
      <c r="C37" s="796"/>
      <c r="D37" s="796"/>
      <c r="E37" s="796"/>
      <c r="F37" s="796"/>
      <c r="G37" s="796"/>
      <c r="H37" s="796"/>
      <c r="I37" s="796"/>
      <c r="J37" s="96"/>
      <c r="K37" s="802"/>
      <c r="L37" s="802"/>
      <c r="M37" s="802"/>
      <c r="N37" s="802"/>
      <c r="O37" s="802"/>
      <c r="P37" s="802"/>
      <c r="Q37" s="802"/>
      <c r="R37" s="802"/>
      <c r="S37" s="802"/>
      <c r="T37" s="96"/>
      <c r="U37" s="796"/>
      <c r="V37" s="796"/>
      <c r="W37" s="796"/>
      <c r="X37" s="796"/>
      <c r="Y37" s="796"/>
      <c r="Z37" s="796"/>
      <c r="AA37" s="796"/>
      <c r="AB37" s="796"/>
      <c r="AC37" s="796"/>
    </row>
    <row r="38" spans="1:29" ht="14.25">
      <c r="A38" s="796"/>
      <c r="B38" s="796"/>
      <c r="C38" s="796"/>
      <c r="D38" s="796"/>
      <c r="E38" s="796"/>
      <c r="F38" s="796"/>
      <c r="G38" s="796"/>
      <c r="H38" s="796"/>
      <c r="I38" s="796"/>
      <c r="J38" s="96"/>
      <c r="K38" s="802"/>
      <c r="L38" s="802"/>
      <c r="M38" s="802"/>
      <c r="N38" s="802"/>
      <c r="O38" s="802"/>
      <c r="P38" s="802"/>
      <c r="Q38" s="802"/>
      <c r="R38" s="802"/>
      <c r="S38" s="802"/>
      <c r="T38" s="96"/>
      <c r="U38" s="796"/>
      <c r="V38" s="796"/>
      <c r="W38" s="796"/>
      <c r="X38" s="796"/>
      <c r="Y38" s="796"/>
      <c r="Z38" s="796"/>
      <c r="AA38" s="796"/>
      <c r="AB38" s="796"/>
      <c r="AC38" s="796"/>
    </row>
    <row r="39" spans="1:29" ht="14.25">
      <c r="A39" s="796"/>
      <c r="B39" s="796"/>
      <c r="C39" s="796"/>
      <c r="D39" s="796"/>
      <c r="E39" s="796"/>
      <c r="F39" s="796"/>
      <c r="G39" s="796"/>
      <c r="H39" s="796"/>
      <c r="I39" s="796"/>
      <c r="J39" s="96"/>
      <c r="K39" s="802"/>
      <c r="L39" s="802"/>
      <c r="M39" s="802"/>
      <c r="N39" s="802"/>
      <c r="O39" s="802"/>
      <c r="P39" s="802"/>
      <c r="Q39" s="802"/>
      <c r="R39" s="802"/>
      <c r="S39" s="802"/>
      <c r="T39" s="96"/>
      <c r="U39" s="796"/>
      <c r="V39" s="796"/>
      <c r="W39" s="796"/>
      <c r="X39" s="796"/>
      <c r="Y39" s="796"/>
      <c r="Z39" s="796"/>
      <c r="AA39" s="796"/>
      <c r="AB39" s="796"/>
      <c r="AC39" s="796"/>
    </row>
    <row r="40" spans="1:29" ht="14.25">
      <c r="A40" s="796"/>
      <c r="B40" s="796"/>
      <c r="C40" s="796"/>
      <c r="D40" s="796"/>
      <c r="E40" s="796"/>
      <c r="F40" s="796"/>
      <c r="G40" s="796"/>
      <c r="H40" s="796"/>
      <c r="I40" s="796"/>
      <c r="J40" s="96"/>
      <c r="K40" s="802"/>
      <c r="L40" s="802"/>
      <c r="M40" s="802"/>
      <c r="N40" s="802"/>
      <c r="O40" s="802"/>
      <c r="P40" s="802"/>
      <c r="Q40" s="802"/>
      <c r="R40" s="802"/>
      <c r="S40" s="802"/>
      <c r="T40" s="96"/>
      <c r="U40" s="796"/>
      <c r="V40" s="796"/>
      <c r="W40" s="796"/>
      <c r="X40" s="796"/>
      <c r="Y40" s="796"/>
      <c r="Z40" s="796"/>
      <c r="AA40" s="796"/>
      <c r="AB40" s="796"/>
      <c r="AC40" s="796"/>
    </row>
    <row r="41" spans="1:29" ht="14.45" customHeight="1">
      <c r="A41" s="796"/>
      <c r="B41" s="796"/>
      <c r="C41" s="796"/>
      <c r="D41" s="796"/>
      <c r="E41" s="796"/>
      <c r="F41" s="796"/>
      <c r="G41" s="796"/>
      <c r="H41" s="796"/>
      <c r="I41" s="796"/>
      <c r="J41" s="96"/>
      <c r="K41" s="802"/>
      <c r="L41" s="802"/>
      <c r="M41" s="802"/>
      <c r="N41" s="802"/>
      <c r="O41" s="802"/>
      <c r="P41" s="802"/>
      <c r="Q41" s="802"/>
      <c r="R41" s="802"/>
      <c r="S41" s="802"/>
      <c r="T41" s="96"/>
      <c r="U41" s="796"/>
      <c r="V41" s="796"/>
      <c r="W41" s="796"/>
      <c r="X41" s="796"/>
      <c r="Y41" s="796"/>
      <c r="Z41" s="796"/>
      <c r="AA41" s="796"/>
      <c r="AB41" s="796"/>
      <c r="AC41" s="796"/>
    </row>
    <row r="42" spans="1:29" ht="14.25">
      <c r="A42" s="796"/>
      <c r="B42" s="796"/>
      <c r="C42" s="796"/>
      <c r="D42" s="796"/>
      <c r="E42" s="796"/>
      <c r="F42" s="796"/>
      <c r="G42" s="796"/>
      <c r="H42" s="796"/>
      <c r="I42" s="796"/>
      <c r="J42" s="96"/>
      <c r="K42" s="802"/>
      <c r="L42" s="802"/>
      <c r="M42" s="802"/>
      <c r="N42" s="802"/>
      <c r="O42" s="802"/>
      <c r="P42" s="802"/>
      <c r="Q42" s="802"/>
      <c r="R42" s="802"/>
      <c r="S42" s="802"/>
      <c r="T42" s="96"/>
      <c r="U42" s="796"/>
      <c r="V42" s="796"/>
      <c r="W42" s="796"/>
      <c r="X42" s="796"/>
      <c r="Y42" s="796"/>
      <c r="Z42" s="796"/>
      <c r="AA42" s="796"/>
      <c r="AB42" s="796"/>
      <c r="AC42" s="796"/>
    </row>
    <row r="43" spans="1:29" ht="14.25">
      <c r="A43" s="796"/>
      <c r="B43" s="796"/>
      <c r="C43" s="796"/>
      <c r="D43" s="796"/>
      <c r="E43" s="796"/>
      <c r="F43" s="796"/>
      <c r="G43" s="796"/>
      <c r="H43" s="796"/>
      <c r="I43" s="796"/>
      <c r="J43" s="96"/>
      <c r="K43" s="802"/>
      <c r="L43" s="802"/>
      <c r="M43" s="802"/>
      <c r="N43" s="802"/>
      <c r="O43" s="802"/>
      <c r="P43" s="802"/>
      <c r="Q43" s="802"/>
      <c r="R43" s="802"/>
      <c r="S43" s="802"/>
      <c r="T43" s="96"/>
      <c r="U43" s="796"/>
      <c r="V43" s="796"/>
      <c r="W43" s="796"/>
      <c r="X43" s="796"/>
      <c r="Y43" s="796"/>
      <c r="Z43" s="796"/>
      <c r="AA43" s="796"/>
      <c r="AB43" s="796"/>
      <c r="AC43" s="796"/>
    </row>
    <row r="44" spans="1:29" ht="14.25">
      <c r="A44" s="796"/>
      <c r="B44" s="796"/>
      <c r="C44" s="796"/>
      <c r="D44" s="796"/>
      <c r="E44" s="796"/>
      <c r="F44" s="796"/>
      <c r="G44" s="796"/>
      <c r="H44" s="796"/>
      <c r="I44" s="796"/>
      <c r="J44" s="96"/>
      <c r="K44" s="802"/>
      <c r="L44" s="802"/>
      <c r="M44" s="802"/>
      <c r="N44" s="802"/>
      <c r="O44" s="802"/>
      <c r="P44" s="802"/>
      <c r="Q44" s="802"/>
      <c r="R44" s="802"/>
      <c r="S44" s="802"/>
      <c r="T44" s="96"/>
      <c r="U44" s="796"/>
      <c r="V44" s="796"/>
      <c r="W44" s="796"/>
      <c r="X44" s="796"/>
      <c r="Y44" s="796"/>
      <c r="Z44" s="796"/>
      <c r="AA44" s="796"/>
      <c r="AB44" s="796"/>
      <c r="AC44" s="796"/>
    </row>
    <row r="45" spans="1:29" ht="14.25">
      <c r="A45" s="796"/>
      <c r="B45" s="796"/>
      <c r="C45" s="796"/>
      <c r="D45" s="796"/>
      <c r="E45" s="796"/>
      <c r="F45" s="796"/>
      <c r="G45" s="796"/>
      <c r="H45" s="796"/>
      <c r="I45" s="796"/>
      <c r="J45" s="96"/>
      <c r="K45" s="802"/>
      <c r="L45" s="802"/>
      <c r="M45" s="802"/>
      <c r="N45" s="802"/>
      <c r="O45" s="802"/>
      <c r="P45" s="802"/>
      <c r="Q45" s="802"/>
      <c r="R45" s="802"/>
      <c r="S45" s="802"/>
      <c r="T45" s="96"/>
      <c r="U45" s="796"/>
      <c r="V45" s="796"/>
      <c r="W45" s="796"/>
      <c r="X45" s="796"/>
      <c r="Y45" s="796"/>
      <c r="Z45" s="796"/>
      <c r="AA45" s="796"/>
      <c r="AB45" s="796"/>
      <c r="AC45" s="796"/>
    </row>
    <row r="46" spans="1:29" ht="6" customHeight="1">
      <c r="A46" s="93"/>
      <c r="B46" s="93"/>
      <c r="C46" s="93"/>
      <c r="D46" s="93"/>
      <c r="E46" s="93"/>
      <c r="F46" s="93"/>
      <c r="G46" s="93"/>
      <c r="H46" s="93"/>
      <c r="I46" s="93"/>
      <c r="J46" s="96"/>
      <c r="T46" s="96"/>
    </row>
    <row r="47" spans="1:29" s="95" customFormat="1" ht="20.100000000000001" customHeight="1">
      <c r="A47" s="799"/>
      <c r="B47" s="799"/>
      <c r="C47" s="799"/>
      <c r="D47" s="799"/>
      <c r="E47" s="799"/>
      <c r="F47" s="799"/>
      <c r="G47" s="799"/>
      <c r="H47" s="799"/>
      <c r="I47" s="799"/>
      <c r="J47" s="94"/>
      <c r="K47" s="794" t="s">
        <v>7</v>
      </c>
      <c r="L47" s="794"/>
      <c r="M47" s="794"/>
      <c r="N47" s="794"/>
      <c r="O47" s="794"/>
      <c r="P47" s="794"/>
      <c r="Q47" s="794"/>
      <c r="R47" s="794"/>
      <c r="S47" s="794"/>
      <c r="T47" s="169"/>
      <c r="U47" s="794" t="s">
        <v>8</v>
      </c>
      <c r="V47" s="794"/>
      <c r="W47" s="794"/>
      <c r="X47" s="794"/>
      <c r="Y47" s="794"/>
      <c r="Z47" s="794"/>
      <c r="AA47" s="794"/>
      <c r="AB47" s="794"/>
      <c r="AC47" s="794"/>
    </row>
    <row r="48" spans="1:29" ht="6" customHeight="1">
      <c r="A48" s="93"/>
      <c r="B48" s="93"/>
      <c r="C48" s="93"/>
      <c r="D48" s="93"/>
      <c r="E48" s="93"/>
      <c r="F48" s="93"/>
      <c r="G48" s="93"/>
      <c r="H48" s="93"/>
      <c r="I48" s="93"/>
      <c r="J48" s="96"/>
      <c r="T48" s="96"/>
    </row>
    <row r="49" spans="1:29" ht="14.1" customHeight="1">
      <c r="A49" s="795"/>
      <c r="B49" s="796"/>
      <c r="C49" s="796"/>
      <c r="D49" s="796"/>
      <c r="E49" s="796"/>
      <c r="F49" s="796"/>
      <c r="G49" s="796"/>
      <c r="H49" s="796"/>
      <c r="I49" s="796"/>
      <c r="J49" s="96"/>
      <c r="K49" s="797" t="s">
        <v>9</v>
      </c>
      <c r="L49" s="798"/>
      <c r="M49" s="798"/>
      <c r="N49" s="798"/>
      <c r="O49" s="798"/>
      <c r="P49" s="798"/>
      <c r="Q49" s="798"/>
      <c r="R49" s="798"/>
      <c r="S49" s="798"/>
      <c r="T49" s="96"/>
      <c r="U49" s="797" t="s">
        <v>10</v>
      </c>
      <c r="V49" s="797"/>
      <c r="W49" s="797"/>
      <c r="X49" s="797"/>
      <c r="Y49" s="797"/>
      <c r="Z49" s="797"/>
      <c r="AA49" s="797"/>
      <c r="AB49" s="797"/>
      <c r="AC49" s="797"/>
    </row>
    <row r="50" spans="1:29" ht="14.25">
      <c r="A50" s="796"/>
      <c r="B50" s="796"/>
      <c r="C50" s="796"/>
      <c r="D50" s="796"/>
      <c r="E50" s="796"/>
      <c r="F50" s="796"/>
      <c r="G50" s="796"/>
      <c r="H50" s="796"/>
      <c r="I50" s="796"/>
      <c r="J50" s="96"/>
      <c r="K50" s="798"/>
      <c r="L50" s="798"/>
      <c r="M50" s="798"/>
      <c r="N50" s="798"/>
      <c r="O50" s="798"/>
      <c r="P50" s="798"/>
      <c r="Q50" s="798"/>
      <c r="R50" s="798"/>
      <c r="S50" s="798"/>
      <c r="T50" s="96"/>
      <c r="U50" s="797"/>
      <c r="V50" s="797"/>
      <c r="W50" s="797"/>
      <c r="X50" s="797"/>
      <c r="Y50" s="797"/>
      <c r="Z50" s="797"/>
      <c r="AA50" s="797"/>
      <c r="AB50" s="797"/>
      <c r="AC50" s="797"/>
    </row>
    <row r="51" spans="1:29" ht="14.25">
      <c r="A51" s="796"/>
      <c r="B51" s="796"/>
      <c r="C51" s="796"/>
      <c r="D51" s="796"/>
      <c r="E51" s="796"/>
      <c r="F51" s="796"/>
      <c r="G51" s="796"/>
      <c r="H51" s="796"/>
      <c r="I51" s="796"/>
      <c r="J51" s="96"/>
      <c r="K51" s="798"/>
      <c r="L51" s="798"/>
      <c r="M51" s="798"/>
      <c r="N51" s="798"/>
      <c r="O51" s="798"/>
      <c r="P51" s="798"/>
      <c r="Q51" s="798"/>
      <c r="R51" s="798"/>
      <c r="S51" s="798"/>
      <c r="T51" s="96"/>
      <c r="U51" s="797"/>
      <c r="V51" s="797"/>
      <c r="W51" s="797"/>
      <c r="X51" s="797"/>
      <c r="Y51" s="797"/>
      <c r="Z51" s="797"/>
      <c r="AA51" s="797"/>
      <c r="AB51" s="797"/>
      <c r="AC51" s="797"/>
    </row>
    <row r="52" spans="1:29" ht="14.25">
      <c r="A52" s="796"/>
      <c r="B52" s="796"/>
      <c r="C52" s="796"/>
      <c r="D52" s="796"/>
      <c r="E52" s="796"/>
      <c r="F52" s="796"/>
      <c r="G52" s="796"/>
      <c r="H52" s="796"/>
      <c r="I52" s="796"/>
      <c r="J52" s="96"/>
      <c r="K52" s="798"/>
      <c r="L52" s="798"/>
      <c r="M52" s="798"/>
      <c r="N52" s="798"/>
      <c r="O52" s="798"/>
      <c r="P52" s="798"/>
      <c r="Q52" s="798"/>
      <c r="R52" s="798"/>
      <c r="S52" s="798"/>
      <c r="T52" s="96"/>
      <c r="U52" s="797"/>
      <c r="V52" s="797"/>
      <c r="W52" s="797"/>
      <c r="X52" s="797"/>
      <c r="Y52" s="797"/>
      <c r="Z52" s="797"/>
      <c r="AA52" s="797"/>
      <c r="AB52" s="797"/>
      <c r="AC52" s="797"/>
    </row>
    <row r="53" spans="1:29" ht="14.25">
      <c r="A53" s="796"/>
      <c r="B53" s="796"/>
      <c r="C53" s="796"/>
      <c r="D53" s="796"/>
      <c r="E53" s="796"/>
      <c r="F53" s="796"/>
      <c r="G53" s="796"/>
      <c r="H53" s="796"/>
      <c r="I53" s="796"/>
      <c r="J53" s="96"/>
      <c r="K53" s="798"/>
      <c r="L53" s="798"/>
      <c r="M53" s="798"/>
      <c r="N53" s="798"/>
      <c r="O53" s="798"/>
      <c r="P53" s="798"/>
      <c r="Q53" s="798"/>
      <c r="R53" s="798"/>
      <c r="S53" s="798"/>
      <c r="T53" s="96"/>
      <c r="U53" s="797"/>
      <c r="V53" s="797"/>
      <c r="W53" s="797"/>
      <c r="X53" s="797"/>
      <c r="Y53" s="797"/>
      <c r="Z53" s="797"/>
      <c r="AA53" s="797"/>
      <c r="AB53" s="797"/>
      <c r="AC53" s="797"/>
    </row>
    <row r="54" spans="1:29" ht="14.25">
      <c r="A54" s="796"/>
      <c r="B54" s="796"/>
      <c r="C54" s="796"/>
      <c r="D54" s="796"/>
      <c r="E54" s="796"/>
      <c r="F54" s="796"/>
      <c r="G54" s="796"/>
      <c r="H54" s="796"/>
      <c r="I54" s="796"/>
      <c r="J54" s="96"/>
      <c r="K54" s="798"/>
      <c r="L54" s="798"/>
      <c r="M54" s="798"/>
      <c r="N54" s="798"/>
      <c r="O54" s="798"/>
      <c r="P54" s="798"/>
      <c r="Q54" s="798"/>
      <c r="R54" s="798"/>
      <c r="S54" s="798"/>
      <c r="T54" s="96"/>
      <c r="U54" s="797"/>
      <c r="V54" s="797"/>
      <c r="W54" s="797"/>
      <c r="X54" s="797"/>
      <c r="Y54" s="797"/>
      <c r="Z54" s="797"/>
      <c r="AA54" s="797"/>
      <c r="AB54" s="797"/>
      <c r="AC54" s="797"/>
    </row>
    <row r="55" spans="1:29" ht="14.25">
      <c r="A55" s="796"/>
      <c r="B55" s="796"/>
      <c r="C55" s="796"/>
      <c r="D55" s="796"/>
      <c r="E55" s="796"/>
      <c r="F55" s="796"/>
      <c r="G55" s="796"/>
      <c r="H55" s="796"/>
      <c r="I55" s="796"/>
      <c r="J55" s="96"/>
      <c r="K55" s="798"/>
      <c r="L55" s="798"/>
      <c r="M55" s="798"/>
      <c r="N55" s="798"/>
      <c r="O55" s="798"/>
      <c r="P55" s="798"/>
      <c r="Q55" s="798"/>
      <c r="R55" s="798"/>
      <c r="S55" s="798"/>
      <c r="T55" s="96"/>
      <c r="U55" s="797"/>
      <c r="V55" s="797"/>
      <c r="W55" s="797"/>
      <c r="X55" s="797"/>
      <c r="Y55" s="797"/>
      <c r="Z55" s="797"/>
      <c r="AA55" s="797"/>
      <c r="AB55" s="797"/>
      <c r="AC55" s="797"/>
    </row>
    <row r="56" spans="1:29" ht="14.25">
      <c r="A56" s="796"/>
      <c r="B56" s="796"/>
      <c r="C56" s="796"/>
      <c r="D56" s="796"/>
      <c r="E56" s="796"/>
      <c r="F56" s="796"/>
      <c r="G56" s="796"/>
      <c r="H56" s="796"/>
      <c r="I56" s="796"/>
      <c r="J56" s="96"/>
      <c r="K56" s="798"/>
      <c r="L56" s="798"/>
      <c r="M56" s="798"/>
      <c r="N56" s="798"/>
      <c r="O56" s="798"/>
      <c r="P56" s="798"/>
      <c r="Q56" s="798"/>
      <c r="R56" s="798"/>
      <c r="S56" s="798"/>
      <c r="T56" s="96"/>
      <c r="U56" s="797"/>
      <c r="V56" s="797"/>
      <c r="W56" s="797"/>
      <c r="X56" s="797"/>
      <c r="Y56" s="797"/>
      <c r="Z56" s="797"/>
      <c r="AA56" s="797"/>
      <c r="AB56" s="797"/>
      <c r="AC56" s="797"/>
    </row>
    <row r="57" spans="1:29" ht="14.25">
      <c r="A57" s="796"/>
      <c r="B57" s="796"/>
      <c r="C57" s="796"/>
      <c r="D57" s="796"/>
      <c r="E57" s="796"/>
      <c r="F57" s="796"/>
      <c r="G57" s="796"/>
      <c r="H57" s="796"/>
      <c r="I57" s="796"/>
      <c r="J57" s="96"/>
      <c r="K57" s="798"/>
      <c r="L57" s="798"/>
      <c r="M57" s="798"/>
      <c r="N57" s="798"/>
      <c r="O57" s="798"/>
      <c r="P57" s="798"/>
      <c r="Q57" s="798"/>
      <c r="R57" s="798"/>
      <c r="S57" s="798"/>
      <c r="T57" s="96"/>
      <c r="U57" s="797"/>
      <c r="V57" s="797"/>
      <c r="W57" s="797"/>
      <c r="X57" s="797"/>
      <c r="Y57" s="797"/>
      <c r="Z57" s="797"/>
      <c r="AA57" s="797"/>
      <c r="AB57" s="797"/>
      <c r="AC57" s="797"/>
    </row>
    <row r="58" spans="1:29" ht="14.25">
      <c r="A58" s="796"/>
      <c r="B58" s="796"/>
      <c r="C58" s="796"/>
      <c r="D58" s="796"/>
      <c r="E58" s="796"/>
      <c r="F58" s="796"/>
      <c r="G58" s="796"/>
      <c r="H58" s="796"/>
      <c r="I58" s="796"/>
      <c r="J58" s="96"/>
      <c r="K58" s="798"/>
      <c r="L58" s="798"/>
      <c r="M58" s="798"/>
      <c r="N58" s="798"/>
      <c r="O58" s="798"/>
      <c r="P58" s="798"/>
      <c r="Q58" s="798"/>
      <c r="R58" s="798"/>
      <c r="S58" s="798"/>
      <c r="T58" s="96"/>
      <c r="U58" s="797"/>
      <c r="V58" s="797"/>
      <c r="W58" s="797"/>
      <c r="X58" s="797"/>
      <c r="Y58" s="797"/>
      <c r="Z58" s="797"/>
      <c r="AA58" s="797"/>
      <c r="AB58" s="797"/>
      <c r="AC58" s="797"/>
    </row>
    <row r="59" spans="1:29" ht="14.25">
      <c r="A59" s="796"/>
      <c r="B59" s="796"/>
      <c r="C59" s="796"/>
      <c r="D59" s="796"/>
      <c r="E59" s="796"/>
      <c r="F59" s="796"/>
      <c r="G59" s="796"/>
      <c r="H59" s="796"/>
      <c r="I59" s="796"/>
      <c r="J59" s="96"/>
      <c r="K59" s="798"/>
      <c r="L59" s="798"/>
      <c r="M59" s="798"/>
      <c r="N59" s="798"/>
      <c r="O59" s="798"/>
      <c r="P59" s="798"/>
      <c r="Q59" s="798"/>
      <c r="R59" s="798"/>
      <c r="S59" s="798"/>
      <c r="T59" s="96"/>
      <c r="U59" s="797"/>
      <c r="V59" s="797"/>
      <c r="W59" s="797"/>
      <c r="X59" s="797"/>
      <c r="Y59" s="797"/>
      <c r="Z59" s="797"/>
      <c r="AA59" s="797"/>
      <c r="AB59" s="797"/>
      <c r="AC59" s="797"/>
    </row>
    <row r="60" spans="1:29" ht="14.25">
      <c r="A60" s="796"/>
      <c r="B60" s="796"/>
      <c r="C60" s="796"/>
      <c r="D60" s="796"/>
      <c r="E60" s="796"/>
      <c r="F60" s="796"/>
      <c r="G60" s="796"/>
      <c r="H60" s="796"/>
      <c r="I60" s="796"/>
      <c r="J60" s="96"/>
      <c r="K60" s="798"/>
      <c r="L60" s="798"/>
      <c r="M60" s="798"/>
      <c r="N60" s="798"/>
      <c r="O60" s="798"/>
      <c r="P60" s="798"/>
      <c r="Q60" s="798"/>
      <c r="R60" s="798"/>
      <c r="S60" s="798"/>
      <c r="T60" s="96"/>
      <c r="U60" s="797"/>
      <c r="V60" s="797"/>
      <c r="W60" s="797"/>
      <c r="X60" s="797"/>
      <c r="Y60" s="797"/>
      <c r="Z60" s="797"/>
      <c r="AA60" s="797"/>
      <c r="AB60" s="797"/>
      <c r="AC60" s="797"/>
    </row>
    <row r="61" spans="1:29" ht="14.25">
      <c r="A61" s="796"/>
      <c r="B61" s="796"/>
      <c r="C61" s="796"/>
      <c r="D61" s="796"/>
      <c r="E61" s="796"/>
      <c r="F61" s="796"/>
      <c r="G61" s="796"/>
      <c r="H61" s="796"/>
      <c r="I61" s="796"/>
      <c r="J61" s="96"/>
      <c r="K61" s="798"/>
      <c r="L61" s="798"/>
      <c r="M61" s="798"/>
      <c r="N61" s="798"/>
      <c r="O61" s="798"/>
      <c r="P61" s="798"/>
      <c r="Q61" s="798"/>
      <c r="R61" s="798"/>
      <c r="S61" s="798"/>
      <c r="T61" s="96"/>
      <c r="U61" s="797"/>
      <c r="V61" s="797"/>
      <c r="W61" s="797"/>
      <c r="X61" s="797"/>
      <c r="Y61" s="797"/>
      <c r="Z61" s="797"/>
      <c r="AA61" s="797"/>
      <c r="AB61" s="797"/>
      <c r="AC61" s="797"/>
    </row>
    <row r="62" spans="1:29" ht="14.25">
      <c r="A62" s="796"/>
      <c r="B62" s="796"/>
      <c r="C62" s="796"/>
      <c r="D62" s="796"/>
      <c r="E62" s="796"/>
      <c r="F62" s="796"/>
      <c r="G62" s="796"/>
      <c r="H62" s="796"/>
      <c r="I62" s="796"/>
      <c r="J62" s="96"/>
      <c r="K62" s="798"/>
      <c r="L62" s="798"/>
      <c r="M62" s="798"/>
      <c r="N62" s="798"/>
      <c r="O62" s="798"/>
      <c r="P62" s="798"/>
      <c r="Q62" s="798"/>
      <c r="R62" s="798"/>
      <c r="S62" s="798"/>
      <c r="T62" s="96"/>
      <c r="U62" s="797"/>
      <c r="V62" s="797"/>
      <c r="W62" s="797"/>
      <c r="X62" s="797"/>
      <c r="Y62" s="797"/>
      <c r="Z62" s="797"/>
      <c r="AA62" s="797"/>
      <c r="AB62" s="797"/>
      <c r="AC62" s="797"/>
    </row>
    <row r="63" spans="1:29" ht="14.25">
      <c r="A63" s="796"/>
      <c r="B63" s="796"/>
      <c r="C63" s="796"/>
      <c r="D63" s="796"/>
      <c r="E63" s="796"/>
      <c r="F63" s="796"/>
      <c r="G63" s="796"/>
      <c r="H63" s="796"/>
      <c r="I63" s="796"/>
      <c r="J63" s="96"/>
      <c r="K63" s="798"/>
      <c r="L63" s="798"/>
      <c r="M63" s="798"/>
      <c r="N63" s="798"/>
      <c r="O63" s="798"/>
      <c r="P63" s="798"/>
      <c r="Q63" s="798"/>
      <c r="R63" s="798"/>
      <c r="S63" s="798"/>
      <c r="T63" s="96"/>
      <c r="U63" s="797"/>
      <c r="V63" s="797"/>
      <c r="W63" s="797"/>
      <c r="X63" s="797"/>
      <c r="Y63" s="797"/>
      <c r="Z63" s="797"/>
      <c r="AA63" s="797"/>
      <c r="AB63" s="797"/>
      <c r="AC63" s="797"/>
    </row>
    <row r="64" spans="1:29" ht="14.25">
      <c r="A64" s="796"/>
      <c r="B64" s="796"/>
      <c r="C64" s="796"/>
      <c r="D64" s="796"/>
      <c r="E64" s="796"/>
      <c r="F64" s="796"/>
      <c r="G64" s="796"/>
      <c r="H64" s="796"/>
      <c r="I64" s="796"/>
      <c r="J64" s="96"/>
      <c r="K64" s="798"/>
      <c r="L64" s="798"/>
      <c r="M64" s="798"/>
      <c r="N64" s="798"/>
      <c r="O64" s="798"/>
      <c r="P64" s="798"/>
      <c r="Q64" s="798"/>
      <c r="R64" s="798"/>
      <c r="S64" s="798"/>
      <c r="T64" s="96"/>
      <c r="U64" s="797"/>
      <c r="V64" s="797"/>
      <c r="W64" s="797"/>
      <c r="X64" s="797"/>
      <c r="Y64" s="797"/>
      <c r="Z64" s="797"/>
      <c r="AA64" s="797"/>
      <c r="AB64" s="797"/>
      <c r="AC64" s="797"/>
    </row>
    <row r="65" spans="1:29" ht="14.25">
      <c r="A65" s="796"/>
      <c r="B65" s="796"/>
      <c r="C65" s="796"/>
      <c r="D65" s="796"/>
      <c r="E65" s="796"/>
      <c r="F65" s="796"/>
      <c r="G65" s="796"/>
      <c r="H65" s="796"/>
      <c r="I65" s="796"/>
      <c r="J65" s="96"/>
      <c r="K65" s="798"/>
      <c r="L65" s="798"/>
      <c r="M65" s="798"/>
      <c r="N65" s="798"/>
      <c r="O65" s="798"/>
      <c r="P65" s="798"/>
      <c r="Q65" s="798"/>
      <c r="R65" s="798"/>
      <c r="S65" s="798"/>
      <c r="T65" s="96"/>
      <c r="U65" s="797"/>
      <c r="V65" s="797"/>
      <c r="W65" s="797"/>
      <c r="X65" s="797"/>
      <c r="Y65" s="797"/>
      <c r="Z65" s="797"/>
      <c r="AA65" s="797"/>
      <c r="AB65" s="797"/>
      <c r="AC65" s="797"/>
    </row>
    <row r="66" spans="1:29" ht="14.25">
      <c r="A66" s="796"/>
      <c r="B66" s="796"/>
      <c r="C66" s="796"/>
      <c r="D66" s="796"/>
      <c r="E66" s="796"/>
      <c r="F66" s="796"/>
      <c r="G66" s="796"/>
      <c r="H66" s="796"/>
      <c r="I66" s="796"/>
      <c r="J66" s="96"/>
      <c r="K66" s="798"/>
      <c r="L66" s="798"/>
      <c r="M66" s="798"/>
      <c r="N66" s="798"/>
      <c r="O66" s="798"/>
      <c r="P66" s="798"/>
      <c r="Q66" s="798"/>
      <c r="R66" s="798"/>
      <c r="S66" s="798"/>
      <c r="T66" s="96"/>
      <c r="U66" s="797"/>
      <c r="V66" s="797"/>
      <c r="W66" s="797"/>
      <c r="X66" s="797"/>
      <c r="Y66" s="797"/>
      <c r="Z66" s="797"/>
      <c r="AA66" s="797"/>
      <c r="AB66" s="797"/>
      <c r="AC66" s="797"/>
    </row>
    <row r="67" spans="1:29" ht="14.25">
      <c r="A67" s="796"/>
      <c r="B67" s="796"/>
      <c r="C67" s="796"/>
      <c r="D67" s="796"/>
      <c r="E67" s="796"/>
      <c r="F67" s="796"/>
      <c r="G67" s="796"/>
      <c r="H67" s="796"/>
      <c r="I67" s="796"/>
      <c r="J67" s="96"/>
      <c r="K67" s="798"/>
      <c r="L67" s="798"/>
      <c r="M67" s="798"/>
      <c r="N67" s="798"/>
      <c r="O67" s="798"/>
      <c r="P67" s="798"/>
      <c r="Q67" s="798"/>
      <c r="R67" s="798"/>
      <c r="S67" s="798"/>
      <c r="T67" s="96"/>
      <c r="U67" s="797"/>
      <c r="V67" s="797"/>
      <c r="W67" s="797"/>
      <c r="X67" s="797"/>
      <c r="Y67" s="797"/>
      <c r="Z67" s="797"/>
      <c r="AA67" s="797"/>
      <c r="AB67" s="797"/>
      <c r="AC67" s="797"/>
    </row>
    <row r="68" spans="1:29" ht="14.25">
      <c r="A68" s="796"/>
      <c r="B68" s="796"/>
      <c r="C68" s="796"/>
      <c r="D68" s="796"/>
      <c r="E68" s="796"/>
      <c r="F68" s="796"/>
      <c r="G68" s="796"/>
      <c r="H68" s="796"/>
      <c r="I68" s="796"/>
      <c r="J68" s="96"/>
      <c r="K68" s="798"/>
      <c r="L68" s="798"/>
      <c r="M68" s="798"/>
      <c r="N68" s="798"/>
      <c r="O68" s="798"/>
      <c r="P68" s="798"/>
      <c r="Q68" s="798"/>
      <c r="R68" s="798"/>
      <c r="S68" s="798"/>
      <c r="T68" s="96"/>
      <c r="U68" s="797"/>
      <c r="V68" s="797"/>
      <c r="W68" s="797"/>
      <c r="X68" s="797"/>
      <c r="Y68" s="797"/>
      <c r="Z68" s="797"/>
      <c r="AA68" s="797"/>
      <c r="AB68" s="797"/>
      <c r="AC68" s="797"/>
    </row>
    <row r="69" spans="1:29" ht="14.25">
      <c r="A69" s="796"/>
      <c r="B69" s="796"/>
      <c r="C69" s="796"/>
      <c r="D69" s="796"/>
      <c r="E69" s="796"/>
      <c r="F69" s="796"/>
      <c r="G69" s="796"/>
      <c r="H69" s="796"/>
      <c r="I69" s="796"/>
      <c r="J69" s="96"/>
      <c r="K69" s="798"/>
      <c r="L69" s="798"/>
      <c r="M69" s="798"/>
      <c r="N69" s="798"/>
      <c r="O69" s="798"/>
      <c r="P69" s="798"/>
      <c r="Q69" s="798"/>
      <c r="R69" s="798"/>
      <c r="S69" s="798"/>
      <c r="T69" s="96"/>
      <c r="U69" s="797"/>
      <c r="V69" s="797"/>
      <c r="W69" s="797"/>
      <c r="X69" s="797"/>
      <c r="Y69" s="797"/>
      <c r="Z69" s="797"/>
      <c r="AA69" s="797"/>
      <c r="AB69" s="797"/>
      <c r="AC69" s="797"/>
    </row>
    <row r="70" spans="1:29" ht="14.25">
      <c r="A70" s="796"/>
      <c r="B70" s="796"/>
      <c r="C70" s="796"/>
      <c r="D70" s="796"/>
      <c r="E70" s="796"/>
      <c r="F70" s="796"/>
      <c r="G70" s="796"/>
      <c r="H70" s="796"/>
      <c r="I70" s="796"/>
      <c r="J70" s="96"/>
      <c r="K70" s="798"/>
      <c r="L70" s="798"/>
      <c r="M70" s="798"/>
      <c r="N70" s="798"/>
      <c r="O70" s="798"/>
      <c r="P70" s="798"/>
      <c r="Q70" s="798"/>
      <c r="R70" s="798"/>
      <c r="S70" s="798"/>
      <c r="T70" s="96"/>
      <c r="U70" s="797"/>
      <c r="V70" s="797"/>
      <c r="W70" s="797"/>
      <c r="X70" s="797"/>
      <c r="Y70" s="797"/>
      <c r="Z70" s="797"/>
      <c r="AA70" s="797"/>
      <c r="AB70" s="797"/>
      <c r="AC70" s="797"/>
    </row>
    <row r="71" spans="1:29" ht="14.25">
      <c r="A71" s="796"/>
      <c r="B71" s="796"/>
      <c r="C71" s="796"/>
      <c r="D71" s="796"/>
      <c r="E71" s="796"/>
      <c r="F71" s="796"/>
      <c r="G71" s="796"/>
      <c r="H71" s="796"/>
      <c r="I71" s="796"/>
      <c r="J71" s="96"/>
      <c r="K71" s="798"/>
      <c r="L71" s="798"/>
      <c r="M71" s="798"/>
      <c r="N71" s="798"/>
      <c r="O71" s="798"/>
      <c r="P71" s="798"/>
      <c r="Q71" s="798"/>
      <c r="R71" s="798"/>
      <c r="S71" s="798"/>
      <c r="T71" s="96"/>
      <c r="U71" s="797"/>
      <c r="V71" s="797"/>
      <c r="W71" s="797"/>
      <c r="X71" s="797"/>
      <c r="Y71" s="797"/>
      <c r="Z71" s="797"/>
      <c r="AA71" s="797"/>
      <c r="AB71" s="797"/>
      <c r="AC71" s="797"/>
    </row>
    <row r="72" spans="1:29" ht="5.45" customHeight="1">
      <c r="A72" s="796"/>
      <c r="B72" s="796"/>
      <c r="C72" s="796"/>
      <c r="D72" s="796"/>
      <c r="E72" s="796"/>
      <c r="F72" s="796"/>
      <c r="G72" s="796"/>
      <c r="H72" s="796"/>
      <c r="I72" s="796"/>
      <c r="J72" s="96"/>
      <c r="K72" s="798"/>
      <c r="L72" s="798"/>
      <c r="M72" s="798"/>
      <c r="N72" s="798"/>
      <c r="O72" s="798"/>
      <c r="P72" s="798"/>
      <c r="Q72" s="798"/>
      <c r="R72" s="798"/>
      <c r="S72" s="798"/>
      <c r="T72" s="96"/>
      <c r="U72" s="97"/>
      <c r="V72" s="97"/>
      <c r="W72" s="97"/>
      <c r="X72" s="97"/>
      <c r="Y72" s="97"/>
      <c r="Z72" s="97"/>
      <c r="AA72" s="97"/>
      <c r="AB72" s="97"/>
      <c r="AC72" s="97"/>
    </row>
    <row r="73" spans="1:29" ht="20.100000000000001" customHeight="1">
      <c r="A73" s="796"/>
      <c r="B73" s="796"/>
      <c r="C73" s="796"/>
      <c r="D73" s="796"/>
      <c r="E73" s="796"/>
      <c r="F73" s="796"/>
      <c r="G73" s="796"/>
      <c r="H73" s="796"/>
      <c r="I73" s="796"/>
      <c r="J73" s="96"/>
      <c r="K73" s="798"/>
      <c r="L73" s="798"/>
      <c r="M73" s="798"/>
      <c r="N73" s="798"/>
      <c r="O73" s="798"/>
      <c r="P73" s="798"/>
      <c r="Q73" s="798"/>
      <c r="R73" s="798"/>
      <c r="S73" s="798"/>
      <c r="T73" s="96"/>
      <c r="U73" s="800" t="s">
        <v>11</v>
      </c>
      <c r="V73" s="800"/>
      <c r="W73" s="800"/>
      <c r="X73" s="800"/>
      <c r="Y73" s="800"/>
      <c r="Z73" s="800"/>
      <c r="AA73" s="800"/>
      <c r="AB73" s="800"/>
      <c r="AC73" s="800"/>
    </row>
    <row r="74" spans="1:29" ht="6" customHeight="1">
      <c r="A74" s="796"/>
      <c r="B74" s="796"/>
      <c r="C74" s="796"/>
      <c r="D74" s="796"/>
      <c r="E74" s="796"/>
      <c r="F74" s="796"/>
      <c r="G74" s="796"/>
      <c r="H74" s="796"/>
      <c r="I74" s="796"/>
      <c r="J74" s="96"/>
      <c r="K74" s="798"/>
      <c r="L74" s="798"/>
      <c r="M74" s="798"/>
      <c r="N74" s="798"/>
      <c r="O74" s="798"/>
      <c r="P74" s="798"/>
      <c r="Q74" s="798"/>
      <c r="R74" s="798"/>
      <c r="S74" s="798"/>
      <c r="T74" s="96"/>
      <c r="V74" s="97"/>
      <c r="W74" s="97"/>
      <c r="X74" s="97"/>
      <c r="Y74" s="97"/>
      <c r="Z74" s="97"/>
      <c r="AA74" s="97"/>
      <c r="AB74" s="97"/>
      <c r="AC74" s="97"/>
    </row>
    <row r="75" spans="1:29" ht="14.25">
      <c r="A75" s="796"/>
      <c r="B75" s="796"/>
      <c r="C75" s="796"/>
      <c r="D75" s="796"/>
      <c r="E75" s="796"/>
      <c r="F75" s="796"/>
      <c r="G75" s="796"/>
      <c r="H75" s="796"/>
      <c r="I75" s="796"/>
      <c r="J75" s="96"/>
      <c r="K75" s="798"/>
      <c r="L75" s="798"/>
      <c r="M75" s="798"/>
      <c r="N75" s="798"/>
      <c r="O75" s="798"/>
      <c r="P75" s="798"/>
      <c r="Q75" s="798"/>
      <c r="R75" s="798"/>
      <c r="S75" s="798"/>
      <c r="T75" s="96"/>
      <c r="U75" s="797" t="s">
        <v>12</v>
      </c>
      <c r="V75" s="796"/>
      <c r="W75" s="796"/>
      <c r="X75" s="796"/>
      <c r="Y75" s="796"/>
      <c r="Z75" s="796"/>
      <c r="AA75" s="796"/>
      <c r="AB75" s="796"/>
      <c r="AC75" s="796"/>
    </row>
    <row r="76" spans="1:29" ht="14.25">
      <c r="A76" s="796"/>
      <c r="B76" s="796"/>
      <c r="C76" s="796"/>
      <c r="D76" s="796"/>
      <c r="E76" s="796"/>
      <c r="F76" s="796"/>
      <c r="G76" s="796"/>
      <c r="H76" s="796"/>
      <c r="I76" s="796"/>
      <c r="J76" s="96"/>
      <c r="K76" s="798"/>
      <c r="L76" s="798"/>
      <c r="M76" s="798"/>
      <c r="N76" s="798"/>
      <c r="O76" s="798"/>
      <c r="P76" s="798"/>
      <c r="Q76" s="798"/>
      <c r="R76" s="798"/>
      <c r="S76" s="798"/>
      <c r="T76" s="96"/>
      <c r="U76" s="796"/>
      <c r="V76" s="796"/>
      <c r="W76" s="796"/>
      <c r="X76" s="796"/>
      <c r="Y76" s="796"/>
      <c r="Z76" s="796"/>
      <c r="AA76" s="796"/>
      <c r="AB76" s="796"/>
      <c r="AC76" s="796"/>
    </row>
    <row r="77" spans="1:29" ht="14.25">
      <c r="A77" s="796"/>
      <c r="B77" s="796"/>
      <c r="C77" s="796"/>
      <c r="D77" s="796"/>
      <c r="E77" s="796"/>
      <c r="F77" s="796"/>
      <c r="G77" s="796"/>
      <c r="H77" s="796"/>
      <c r="I77" s="796"/>
      <c r="J77" s="96"/>
      <c r="K77" s="798"/>
      <c r="L77" s="798"/>
      <c r="M77" s="798"/>
      <c r="N77" s="798"/>
      <c r="O77" s="798"/>
      <c r="P77" s="798"/>
      <c r="Q77" s="798"/>
      <c r="R77" s="798"/>
      <c r="S77" s="798"/>
      <c r="T77" s="96"/>
      <c r="U77" s="796"/>
      <c r="V77" s="796"/>
      <c r="W77" s="796"/>
      <c r="X77" s="796"/>
      <c r="Y77" s="796"/>
      <c r="Z77" s="796"/>
      <c r="AA77" s="796"/>
      <c r="AB77" s="796"/>
      <c r="AC77" s="796"/>
    </row>
    <row r="78" spans="1:29" ht="14.25">
      <c r="A78" s="796"/>
      <c r="B78" s="796"/>
      <c r="C78" s="796"/>
      <c r="D78" s="796"/>
      <c r="E78" s="796"/>
      <c r="F78" s="796"/>
      <c r="G78" s="796"/>
      <c r="H78" s="796"/>
      <c r="I78" s="796"/>
      <c r="J78" s="96"/>
      <c r="K78" s="798"/>
      <c r="L78" s="798"/>
      <c r="M78" s="798"/>
      <c r="N78" s="798"/>
      <c r="O78" s="798"/>
      <c r="P78" s="798"/>
      <c r="Q78" s="798"/>
      <c r="R78" s="798"/>
      <c r="S78" s="798"/>
      <c r="T78" s="96"/>
      <c r="U78" s="796"/>
      <c r="V78" s="796"/>
      <c r="W78" s="796"/>
      <c r="X78" s="796"/>
      <c r="Y78" s="796"/>
      <c r="Z78" s="796"/>
      <c r="AA78" s="796"/>
      <c r="AB78" s="796"/>
      <c r="AC78" s="796"/>
    </row>
    <row r="79" spans="1:29" ht="14.25">
      <c r="A79" s="796"/>
      <c r="B79" s="796"/>
      <c r="C79" s="796"/>
      <c r="D79" s="796"/>
      <c r="E79" s="796"/>
      <c r="F79" s="796"/>
      <c r="G79" s="796"/>
      <c r="H79" s="796"/>
      <c r="I79" s="796"/>
      <c r="J79" s="96"/>
      <c r="K79" s="798"/>
      <c r="L79" s="798"/>
      <c r="M79" s="798"/>
      <c r="N79" s="798"/>
      <c r="O79" s="798"/>
      <c r="P79" s="798"/>
      <c r="Q79" s="798"/>
      <c r="R79" s="798"/>
      <c r="S79" s="798"/>
      <c r="T79" s="96"/>
      <c r="U79" s="796"/>
      <c r="V79" s="796"/>
      <c r="W79" s="796"/>
      <c r="X79" s="796"/>
      <c r="Y79" s="796"/>
      <c r="Z79" s="796"/>
      <c r="AA79" s="796"/>
      <c r="AB79" s="796"/>
      <c r="AC79" s="796"/>
    </row>
    <row r="80" spans="1:29" ht="14.25">
      <c r="A80" s="796"/>
      <c r="B80" s="796"/>
      <c r="C80" s="796"/>
      <c r="D80" s="796"/>
      <c r="E80" s="796"/>
      <c r="F80" s="796"/>
      <c r="G80" s="796"/>
      <c r="H80" s="796"/>
      <c r="I80" s="796"/>
      <c r="J80" s="96"/>
      <c r="K80" s="798"/>
      <c r="L80" s="798"/>
      <c r="M80" s="798"/>
      <c r="N80" s="798"/>
      <c r="O80" s="798"/>
      <c r="P80" s="798"/>
      <c r="Q80" s="798"/>
      <c r="R80" s="798"/>
      <c r="S80" s="798"/>
      <c r="T80" s="96"/>
      <c r="U80" s="796"/>
      <c r="V80" s="796"/>
      <c r="W80" s="796"/>
      <c r="X80" s="796"/>
      <c r="Y80" s="796"/>
      <c r="Z80" s="796"/>
      <c r="AA80" s="796"/>
      <c r="AB80" s="796"/>
      <c r="AC80" s="796"/>
    </row>
    <row r="81" spans="1:29" ht="14.25">
      <c r="A81" s="796"/>
      <c r="B81" s="796"/>
      <c r="C81" s="796"/>
      <c r="D81" s="796"/>
      <c r="E81" s="796"/>
      <c r="F81" s="796"/>
      <c r="G81" s="796"/>
      <c r="H81" s="796"/>
      <c r="I81" s="796"/>
      <c r="J81" s="96"/>
      <c r="K81" s="798"/>
      <c r="L81" s="798"/>
      <c r="M81" s="798"/>
      <c r="N81" s="798"/>
      <c r="O81" s="798"/>
      <c r="P81" s="798"/>
      <c r="Q81" s="798"/>
      <c r="R81" s="798"/>
      <c r="S81" s="798"/>
      <c r="T81" s="96"/>
      <c r="U81" s="796"/>
      <c r="V81" s="796"/>
      <c r="W81" s="796"/>
      <c r="X81" s="796"/>
      <c r="Y81" s="796"/>
      <c r="Z81" s="796"/>
      <c r="AA81" s="796"/>
      <c r="AB81" s="796"/>
      <c r="AC81" s="796"/>
    </row>
    <row r="82" spans="1:29" ht="14.25">
      <c r="A82" s="796"/>
      <c r="B82" s="796"/>
      <c r="C82" s="796"/>
      <c r="D82" s="796"/>
      <c r="E82" s="796"/>
      <c r="F82" s="796"/>
      <c r="G82" s="796"/>
      <c r="H82" s="796"/>
      <c r="I82" s="796"/>
      <c r="J82" s="96"/>
      <c r="K82" s="798"/>
      <c r="L82" s="798"/>
      <c r="M82" s="798"/>
      <c r="N82" s="798"/>
      <c r="O82" s="798"/>
      <c r="P82" s="798"/>
      <c r="Q82" s="798"/>
      <c r="R82" s="798"/>
      <c r="S82" s="798"/>
      <c r="T82" s="96"/>
      <c r="U82" s="796"/>
      <c r="V82" s="796"/>
      <c r="W82" s="796"/>
      <c r="X82" s="796"/>
      <c r="Y82" s="796"/>
      <c r="Z82" s="796"/>
      <c r="AA82" s="796"/>
      <c r="AB82" s="796"/>
      <c r="AC82" s="796"/>
    </row>
    <row r="83" spans="1:29" ht="14.25">
      <c r="A83" s="796"/>
      <c r="B83" s="796"/>
      <c r="C83" s="796"/>
      <c r="D83" s="796"/>
      <c r="E83" s="796"/>
      <c r="F83" s="796"/>
      <c r="G83" s="796"/>
      <c r="H83" s="796"/>
      <c r="I83" s="796"/>
      <c r="J83" s="96"/>
      <c r="K83" s="798"/>
      <c r="L83" s="798"/>
      <c r="M83" s="798"/>
      <c r="N83" s="798"/>
      <c r="O83" s="798"/>
      <c r="P83" s="798"/>
      <c r="Q83" s="798"/>
      <c r="R83" s="798"/>
      <c r="S83" s="798"/>
      <c r="T83" s="96"/>
      <c r="U83" s="796"/>
      <c r="V83" s="796"/>
      <c r="W83" s="796"/>
      <c r="X83" s="796"/>
      <c r="Y83" s="796"/>
      <c r="Z83" s="796"/>
      <c r="AA83" s="796"/>
      <c r="AB83" s="796"/>
      <c r="AC83" s="796"/>
    </row>
    <row r="84" spans="1:29" ht="14.25">
      <c r="A84" s="796"/>
      <c r="B84" s="796"/>
      <c r="C84" s="796"/>
      <c r="D84" s="796"/>
      <c r="E84" s="796"/>
      <c r="F84" s="796"/>
      <c r="G84" s="796"/>
      <c r="H84" s="796"/>
      <c r="I84" s="796"/>
      <c r="J84" s="96"/>
      <c r="K84" s="798"/>
      <c r="L84" s="798"/>
      <c r="M84" s="798"/>
      <c r="N84" s="798"/>
      <c r="O84" s="798"/>
      <c r="P84" s="798"/>
      <c r="Q84" s="798"/>
      <c r="R84" s="798"/>
      <c r="S84" s="798"/>
      <c r="T84" s="96"/>
      <c r="U84" s="796"/>
      <c r="V84" s="796"/>
      <c r="W84" s="796"/>
      <c r="X84" s="796"/>
      <c r="Y84" s="796"/>
      <c r="Z84" s="796"/>
      <c r="AA84" s="796"/>
      <c r="AB84" s="796"/>
      <c r="AC84" s="796"/>
    </row>
    <row r="85" spans="1:29" ht="14.25">
      <c r="A85" s="796"/>
      <c r="B85" s="796"/>
      <c r="C85" s="796"/>
      <c r="D85" s="796"/>
      <c r="E85" s="796"/>
      <c r="F85" s="796"/>
      <c r="G85" s="796"/>
      <c r="H85" s="796"/>
      <c r="I85" s="796"/>
      <c r="J85" s="96"/>
      <c r="K85" s="798"/>
      <c r="L85" s="798"/>
      <c r="M85" s="798"/>
      <c r="N85" s="798"/>
      <c r="O85" s="798"/>
      <c r="P85" s="798"/>
      <c r="Q85" s="798"/>
      <c r="R85" s="798"/>
      <c r="S85" s="798"/>
      <c r="T85" s="96"/>
      <c r="U85" s="796"/>
      <c r="V85" s="796"/>
      <c r="W85" s="796"/>
      <c r="X85" s="796"/>
      <c r="Y85" s="796"/>
      <c r="Z85" s="796"/>
      <c r="AA85" s="796"/>
      <c r="AB85" s="796"/>
      <c r="AC85" s="796"/>
    </row>
    <row r="86" spans="1:29" ht="14.25">
      <c r="A86" s="796"/>
      <c r="B86" s="796"/>
      <c r="C86" s="796"/>
      <c r="D86" s="796"/>
      <c r="E86" s="796"/>
      <c r="F86" s="796"/>
      <c r="G86" s="796"/>
      <c r="H86" s="796"/>
      <c r="I86" s="796"/>
      <c r="J86" s="96"/>
      <c r="K86" s="798"/>
      <c r="L86" s="798"/>
      <c r="M86" s="798"/>
      <c r="N86" s="798"/>
      <c r="O86" s="798"/>
      <c r="P86" s="798"/>
      <c r="Q86" s="798"/>
      <c r="R86" s="798"/>
      <c r="S86" s="798"/>
      <c r="T86" s="96"/>
      <c r="U86" s="796"/>
      <c r="V86" s="796"/>
      <c r="W86" s="796"/>
      <c r="X86" s="796"/>
      <c r="Y86" s="796"/>
      <c r="Z86" s="796"/>
      <c r="AA86" s="796"/>
      <c r="AB86" s="796"/>
      <c r="AC86" s="796"/>
    </row>
    <row r="87" spans="1:29" ht="14.25">
      <c r="A87" s="796"/>
      <c r="B87" s="796"/>
      <c r="C87" s="796"/>
      <c r="D87" s="796"/>
      <c r="E87" s="796"/>
      <c r="F87" s="796"/>
      <c r="G87" s="796"/>
      <c r="H87" s="796"/>
      <c r="I87" s="796"/>
      <c r="J87" s="96"/>
      <c r="K87" s="798"/>
      <c r="L87" s="798"/>
      <c r="M87" s="798"/>
      <c r="N87" s="798"/>
      <c r="O87" s="798"/>
      <c r="P87" s="798"/>
      <c r="Q87" s="798"/>
      <c r="R87" s="798"/>
      <c r="S87" s="798"/>
      <c r="T87" s="96"/>
      <c r="U87" s="796"/>
      <c r="V87" s="796"/>
      <c r="W87" s="796"/>
      <c r="X87" s="796"/>
      <c r="Y87" s="796"/>
      <c r="Z87" s="796"/>
      <c r="AA87" s="796"/>
      <c r="AB87" s="796"/>
      <c r="AC87" s="796"/>
    </row>
    <row r="88" spans="1:29" ht="14.25">
      <c r="A88" s="796"/>
      <c r="B88" s="796"/>
      <c r="C88" s="796"/>
      <c r="D88" s="796"/>
      <c r="E88" s="796"/>
      <c r="F88" s="796"/>
      <c r="G88" s="796"/>
      <c r="H88" s="796"/>
      <c r="I88" s="796"/>
      <c r="J88" s="96"/>
      <c r="K88" s="798"/>
      <c r="L88" s="798"/>
      <c r="M88" s="798"/>
      <c r="N88" s="798"/>
      <c r="O88" s="798"/>
      <c r="P88" s="798"/>
      <c r="Q88" s="798"/>
      <c r="R88" s="798"/>
      <c r="S88" s="798"/>
      <c r="T88" s="96"/>
      <c r="U88" s="796"/>
      <c r="V88" s="796"/>
      <c r="W88" s="796"/>
      <c r="X88" s="796"/>
      <c r="Y88" s="796"/>
      <c r="Z88" s="796"/>
      <c r="AA88" s="796"/>
      <c r="AB88" s="796"/>
      <c r="AC88" s="796"/>
    </row>
    <row r="89" spans="1:29" ht="14.25">
      <c r="A89" s="796"/>
      <c r="B89" s="796"/>
      <c r="C89" s="796"/>
      <c r="D89" s="796"/>
      <c r="E89" s="796"/>
      <c r="F89" s="796"/>
      <c r="G89" s="796"/>
      <c r="H89" s="796"/>
      <c r="I89" s="796"/>
      <c r="J89" s="96"/>
      <c r="K89" s="798"/>
      <c r="L89" s="798"/>
      <c r="M89" s="798"/>
      <c r="N89" s="798"/>
      <c r="O89" s="798"/>
      <c r="P89" s="798"/>
      <c r="Q89" s="798"/>
      <c r="R89" s="798"/>
      <c r="S89" s="798"/>
      <c r="T89" s="96"/>
      <c r="U89" s="796"/>
      <c r="V89" s="796"/>
      <c r="W89" s="796"/>
      <c r="X89" s="796"/>
      <c r="Y89" s="796"/>
      <c r="Z89" s="796"/>
      <c r="AA89" s="796"/>
      <c r="AB89" s="796"/>
      <c r="AC89" s="796"/>
    </row>
    <row r="90" spans="1:29" ht="14.25">
      <c r="A90" s="796"/>
      <c r="B90" s="796"/>
      <c r="C90" s="796"/>
      <c r="D90" s="796"/>
      <c r="E90" s="796"/>
      <c r="F90" s="796"/>
      <c r="G90" s="796"/>
      <c r="H90" s="796"/>
      <c r="I90" s="796"/>
      <c r="J90" s="96"/>
      <c r="K90" s="798"/>
      <c r="L90" s="798"/>
      <c r="M90" s="798"/>
      <c r="N90" s="798"/>
      <c r="O90" s="798"/>
      <c r="P90" s="798"/>
      <c r="Q90" s="798"/>
      <c r="R90" s="798"/>
      <c r="S90" s="798"/>
      <c r="T90" s="96"/>
      <c r="U90" s="796"/>
      <c r="V90" s="796"/>
      <c r="W90" s="796"/>
      <c r="X90" s="796"/>
      <c r="Y90" s="796"/>
      <c r="Z90" s="796"/>
      <c r="AA90" s="796"/>
      <c r="AB90" s="796"/>
      <c r="AC90" s="796"/>
    </row>
    <row r="91" spans="1:29" ht="14.25">
      <c r="A91" s="796"/>
      <c r="B91" s="796"/>
      <c r="C91" s="796"/>
      <c r="D91" s="796"/>
      <c r="E91" s="796"/>
      <c r="F91" s="796"/>
      <c r="G91" s="796"/>
      <c r="H91" s="796"/>
      <c r="I91" s="796"/>
      <c r="J91" s="96"/>
      <c r="K91" s="798"/>
      <c r="L91" s="798"/>
      <c r="M91" s="798"/>
      <c r="N91" s="798"/>
      <c r="O91" s="798"/>
      <c r="P91" s="798"/>
      <c r="Q91" s="798"/>
      <c r="R91" s="798"/>
      <c r="S91" s="798"/>
      <c r="T91" s="96"/>
      <c r="U91" s="796"/>
      <c r="V91" s="796"/>
      <c r="W91" s="796"/>
      <c r="X91" s="796"/>
      <c r="Y91" s="796"/>
      <c r="Z91" s="796"/>
      <c r="AA91" s="796"/>
      <c r="AB91" s="796"/>
      <c r="AC91" s="796"/>
    </row>
    <row r="92" spans="1:29" ht="14.25">
      <c r="A92" s="796"/>
      <c r="B92" s="796"/>
      <c r="C92" s="796"/>
      <c r="D92" s="796"/>
      <c r="E92" s="796"/>
      <c r="F92" s="796"/>
      <c r="G92" s="796"/>
      <c r="H92" s="796"/>
      <c r="I92" s="796"/>
      <c r="J92" s="96"/>
      <c r="K92" s="798"/>
      <c r="L92" s="798"/>
      <c r="M92" s="798"/>
      <c r="N92" s="798"/>
      <c r="O92" s="798"/>
      <c r="P92" s="798"/>
      <c r="Q92" s="798"/>
      <c r="R92" s="798"/>
      <c r="S92" s="798"/>
      <c r="T92" s="96"/>
      <c r="U92" s="796"/>
      <c r="V92" s="796"/>
      <c r="W92" s="796"/>
      <c r="X92" s="796"/>
      <c r="Y92" s="796"/>
      <c r="Z92" s="796"/>
      <c r="AA92" s="796"/>
      <c r="AB92" s="796"/>
      <c r="AC92" s="796"/>
    </row>
    <row r="93" spans="1:29" ht="14.25">
      <c r="A93" s="796"/>
      <c r="B93" s="796"/>
      <c r="C93" s="796"/>
      <c r="D93" s="796"/>
      <c r="E93" s="796"/>
      <c r="F93" s="796"/>
      <c r="G93" s="796"/>
      <c r="H93" s="796"/>
      <c r="I93" s="796"/>
      <c r="J93" s="96"/>
      <c r="K93" s="798"/>
      <c r="L93" s="798"/>
      <c r="M93" s="798"/>
      <c r="N93" s="798"/>
      <c r="O93" s="798"/>
      <c r="P93" s="798"/>
      <c r="Q93" s="798"/>
      <c r="R93" s="798"/>
      <c r="S93" s="798"/>
      <c r="T93" s="96"/>
      <c r="U93" s="796"/>
      <c r="V93" s="796"/>
      <c r="W93" s="796"/>
      <c r="X93" s="796"/>
      <c r="Y93" s="796"/>
      <c r="Z93" s="796"/>
      <c r="AA93" s="796"/>
      <c r="AB93" s="796"/>
      <c r="AC93" s="796"/>
    </row>
    <row r="94" spans="1:29" ht="14.25">
      <c r="A94" s="796"/>
      <c r="B94" s="796"/>
      <c r="C94" s="796"/>
      <c r="D94" s="796"/>
      <c r="E94" s="796"/>
      <c r="F94" s="796"/>
      <c r="G94" s="796"/>
      <c r="H94" s="796"/>
      <c r="I94" s="796"/>
      <c r="J94" s="96"/>
      <c r="K94" s="798"/>
      <c r="L94" s="798"/>
      <c r="M94" s="798"/>
      <c r="N94" s="798"/>
      <c r="O94" s="798"/>
      <c r="P94" s="798"/>
      <c r="Q94" s="798"/>
      <c r="R94" s="798"/>
      <c r="S94" s="798"/>
      <c r="T94" s="96"/>
      <c r="U94" s="796"/>
      <c r="V94" s="796"/>
      <c r="W94" s="796"/>
      <c r="X94" s="796"/>
      <c r="Y94" s="796"/>
      <c r="Z94" s="796"/>
      <c r="AA94" s="796"/>
      <c r="AB94" s="796"/>
      <c r="AC94" s="796"/>
    </row>
    <row r="95" spans="1:29" ht="14.25">
      <c r="A95" s="796"/>
      <c r="B95" s="796"/>
      <c r="C95" s="796"/>
      <c r="D95" s="796"/>
      <c r="E95" s="796"/>
      <c r="F95" s="796"/>
      <c r="G95" s="796"/>
      <c r="H95" s="796"/>
      <c r="I95" s="796"/>
      <c r="J95" s="96"/>
      <c r="K95" s="798"/>
      <c r="L95" s="798"/>
      <c r="M95" s="798"/>
      <c r="N95" s="798"/>
      <c r="O95" s="798"/>
      <c r="P95" s="798"/>
      <c r="Q95" s="798"/>
      <c r="R95" s="798"/>
      <c r="S95" s="798"/>
      <c r="T95" s="96"/>
      <c r="U95" s="796"/>
      <c r="V95" s="796"/>
      <c r="W95" s="796"/>
      <c r="X95" s="796"/>
      <c r="Y95" s="796"/>
      <c r="Z95" s="796"/>
      <c r="AA95" s="796"/>
      <c r="AB95" s="796"/>
      <c r="AC95" s="796"/>
    </row>
    <row r="96" spans="1:29" ht="14.25">
      <c r="A96" s="796"/>
      <c r="B96" s="796"/>
      <c r="C96" s="796"/>
      <c r="D96" s="796"/>
      <c r="E96" s="796"/>
      <c r="F96" s="796"/>
      <c r="G96" s="796"/>
      <c r="H96" s="796"/>
      <c r="I96" s="796"/>
      <c r="J96" s="96"/>
      <c r="K96" s="798"/>
      <c r="L96" s="798"/>
      <c r="M96" s="798"/>
      <c r="N96" s="798"/>
      <c r="O96" s="798"/>
      <c r="P96" s="798"/>
      <c r="Q96" s="798"/>
      <c r="R96" s="798"/>
      <c r="S96" s="798"/>
      <c r="T96" s="96"/>
      <c r="U96" s="796"/>
      <c r="V96" s="796"/>
      <c r="W96" s="796"/>
      <c r="X96" s="796"/>
      <c r="Y96" s="796"/>
      <c r="Z96" s="796"/>
      <c r="AA96" s="796"/>
      <c r="AB96" s="796"/>
      <c r="AC96" s="796"/>
    </row>
    <row r="97" spans="1:29" ht="14.25">
      <c r="A97" s="796"/>
      <c r="B97" s="796"/>
      <c r="C97" s="796"/>
      <c r="D97" s="796"/>
      <c r="E97" s="796"/>
      <c r="F97" s="796"/>
      <c r="G97" s="796"/>
      <c r="H97" s="796"/>
      <c r="I97" s="796"/>
      <c r="J97" s="96"/>
      <c r="K97" s="798"/>
      <c r="L97" s="798"/>
      <c r="M97" s="798"/>
      <c r="N97" s="798"/>
      <c r="O97" s="798"/>
      <c r="P97" s="798"/>
      <c r="Q97" s="798"/>
      <c r="R97" s="798"/>
      <c r="S97" s="798"/>
      <c r="T97" s="96"/>
      <c r="U97" s="796"/>
      <c r="V97" s="796"/>
      <c r="W97" s="796"/>
      <c r="X97" s="796"/>
      <c r="Y97" s="796"/>
      <c r="Z97" s="796"/>
      <c r="AA97" s="796"/>
      <c r="AB97" s="796"/>
      <c r="AC97" s="796"/>
    </row>
    <row r="98" spans="1:29" ht="14.25">
      <c r="A98" s="796"/>
      <c r="B98" s="796"/>
      <c r="C98" s="796"/>
      <c r="D98" s="796"/>
      <c r="E98" s="796"/>
      <c r="F98" s="796"/>
      <c r="G98" s="796"/>
      <c r="H98" s="796"/>
      <c r="I98" s="796"/>
      <c r="J98" s="96"/>
      <c r="K98" s="798"/>
      <c r="L98" s="798"/>
      <c r="M98" s="798"/>
      <c r="N98" s="798"/>
      <c r="O98" s="798"/>
      <c r="P98" s="798"/>
      <c r="Q98" s="798"/>
      <c r="R98" s="798"/>
      <c r="S98" s="798"/>
      <c r="T98" s="96"/>
      <c r="U98" s="796"/>
      <c r="V98" s="796"/>
      <c r="W98" s="796"/>
      <c r="X98" s="796"/>
      <c r="Y98" s="796"/>
      <c r="Z98" s="796"/>
      <c r="AA98" s="796"/>
      <c r="AB98" s="796"/>
      <c r="AC98" s="796"/>
    </row>
    <row r="99" spans="1:29" ht="14.25">
      <c r="A99" s="796"/>
      <c r="B99" s="796"/>
      <c r="C99" s="796"/>
      <c r="D99" s="796"/>
      <c r="E99" s="796"/>
      <c r="F99" s="796"/>
      <c r="G99" s="796"/>
      <c r="H99" s="796"/>
      <c r="I99" s="796"/>
      <c r="J99" s="96"/>
      <c r="K99" s="798"/>
      <c r="L99" s="798"/>
      <c r="M99" s="798"/>
      <c r="N99" s="798"/>
      <c r="O99" s="798"/>
      <c r="P99" s="798"/>
      <c r="Q99" s="798"/>
      <c r="R99" s="798"/>
      <c r="S99" s="798"/>
      <c r="T99" s="96"/>
      <c r="U99" s="796"/>
      <c r="V99" s="796"/>
      <c r="W99" s="796"/>
      <c r="X99" s="796"/>
      <c r="Y99" s="796"/>
      <c r="Z99" s="796"/>
      <c r="AA99" s="796"/>
      <c r="AB99" s="796"/>
      <c r="AC99" s="796"/>
    </row>
    <row r="100" spans="1:29" ht="14.25">
      <c r="A100" s="796"/>
      <c r="B100" s="796"/>
      <c r="C100" s="796"/>
      <c r="D100" s="796"/>
      <c r="E100" s="796"/>
      <c r="F100" s="796"/>
      <c r="G100" s="796"/>
      <c r="H100" s="796"/>
      <c r="I100" s="796"/>
      <c r="J100" s="96"/>
      <c r="K100" s="798"/>
      <c r="L100" s="798"/>
      <c r="M100" s="798"/>
      <c r="N100" s="798"/>
      <c r="O100" s="798"/>
      <c r="P100" s="798"/>
      <c r="Q100" s="798"/>
      <c r="R100" s="798"/>
      <c r="S100" s="798"/>
      <c r="T100" s="96"/>
      <c r="U100" s="796"/>
      <c r="V100" s="796"/>
      <c r="W100" s="796"/>
      <c r="X100" s="796"/>
      <c r="Y100" s="796"/>
      <c r="Z100" s="796"/>
      <c r="AA100" s="796"/>
      <c r="AB100" s="796"/>
      <c r="AC100" s="796"/>
    </row>
    <row r="101" spans="1:29" ht="14.25">
      <c r="A101" s="796"/>
      <c r="B101" s="796"/>
      <c r="C101" s="796"/>
      <c r="D101" s="796"/>
      <c r="E101" s="796"/>
      <c r="F101" s="796"/>
      <c r="G101" s="796"/>
      <c r="H101" s="796"/>
      <c r="I101" s="796"/>
      <c r="J101" s="96"/>
      <c r="K101" s="798"/>
      <c r="L101" s="798"/>
      <c r="M101" s="798"/>
      <c r="N101" s="798"/>
      <c r="O101" s="798"/>
      <c r="P101" s="798"/>
      <c r="Q101" s="798"/>
      <c r="R101" s="798"/>
      <c r="S101" s="798"/>
      <c r="T101" s="96"/>
      <c r="U101" s="796"/>
      <c r="V101" s="796"/>
      <c r="W101" s="796"/>
      <c r="X101" s="796"/>
      <c r="Y101" s="796"/>
      <c r="Z101" s="796"/>
      <c r="AA101" s="796"/>
      <c r="AB101" s="796"/>
      <c r="AC101" s="796"/>
    </row>
    <row r="102" spans="1:29" ht="14.25">
      <c r="A102" s="796"/>
      <c r="B102" s="796"/>
      <c r="C102" s="796"/>
      <c r="D102" s="796"/>
      <c r="E102" s="796"/>
      <c r="F102" s="796"/>
      <c r="G102" s="796"/>
      <c r="H102" s="796"/>
      <c r="I102" s="796"/>
      <c r="J102" s="96"/>
      <c r="K102" s="798"/>
      <c r="L102" s="798"/>
      <c r="M102" s="798"/>
      <c r="N102" s="798"/>
      <c r="O102" s="798"/>
      <c r="P102" s="798"/>
      <c r="Q102" s="798"/>
      <c r="R102" s="798"/>
      <c r="S102" s="798"/>
      <c r="T102" s="96"/>
      <c r="U102" s="796"/>
      <c r="V102" s="796"/>
      <c r="W102" s="796"/>
      <c r="X102" s="796"/>
      <c r="Y102" s="796"/>
      <c r="Z102" s="796"/>
      <c r="AA102" s="796"/>
      <c r="AB102" s="796"/>
      <c r="AC102" s="796"/>
    </row>
    <row r="103" spans="1:29" ht="14.25">
      <c r="A103" s="796"/>
      <c r="B103" s="796"/>
      <c r="C103" s="796"/>
      <c r="D103" s="796"/>
      <c r="E103" s="796"/>
      <c r="F103" s="796"/>
      <c r="G103" s="796"/>
      <c r="H103" s="796"/>
      <c r="I103" s="796"/>
      <c r="J103" s="96"/>
      <c r="K103" s="798"/>
      <c r="L103" s="798"/>
      <c r="M103" s="798"/>
      <c r="N103" s="798"/>
      <c r="O103" s="798"/>
      <c r="P103" s="798"/>
      <c r="Q103" s="798"/>
      <c r="R103" s="798"/>
      <c r="S103" s="798"/>
      <c r="T103" s="96"/>
      <c r="U103" s="796"/>
      <c r="V103" s="796"/>
      <c r="W103" s="796"/>
      <c r="X103" s="796"/>
      <c r="Y103" s="796"/>
      <c r="Z103" s="796"/>
      <c r="AA103" s="796"/>
      <c r="AB103" s="796"/>
      <c r="AC103" s="796"/>
    </row>
    <row r="104" spans="1:29" ht="14.25">
      <c r="A104" s="796"/>
      <c r="B104" s="796"/>
      <c r="C104" s="796"/>
      <c r="D104" s="796"/>
      <c r="E104" s="796"/>
      <c r="F104" s="796"/>
      <c r="G104" s="796"/>
      <c r="H104" s="796"/>
      <c r="I104" s="796"/>
      <c r="J104" s="96"/>
      <c r="K104" s="798"/>
      <c r="L104" s="798"/>
      <c r="M104" s="798"/>
      <c r="N104" s="798"/>
      <c r="O104" s="798"/>
      <c r="P104" s="798"/>
      <c r="Q104" s="798"/>
      <c r="R104" s="798"/>
      <c r="S104" s="798"/>
      <c r="T104" s="96"/>
      <c r="U104" s="796"/>
      <c r="V104" s="796"/>
      <c r="W104" s="796"/>
      <c r="X104" s="796"/>
      <c r="Y104" s="796"/>
      <c r="Z104" s="796"/>
      <c r="AA104" s="796"/>
      <c r="AB104" s="796"/>
      <c r="AC104" s="796"/>
    </row>
    <row r="105" spans="1:29" ht="14.25">
      <c r="A105" s="796"/>
      <c r="B105" s="796"/>
      <c r="C105" s="796"/>
      <c r="D105" s="796"/>
      <c r="E105" s="796"/>
      <c r="F105" s="796"/>
      <c r="G105" s="796"/>
      <c r="H105" s="796"/>
      <c r="I105" s="796"/>
      <c r="J105" s="96"/>
      <c r="K105" s="798"/>
      <c r="L105" s="798"/>
      <c r="M105" s="798"/>
      <c r="N105" s="798"/>
      <c r="O105" s="798"/>
      <c r="P105" s="798"/>
      <c r="Q105" s="798"/>
      <c r="R105" s="798"/>
      <c r="S105" s="798"/>
      <c r="T105" s="96"/>
      <c r="U105" s="796"/>
      <c r="V105" s="796"/>
      <c r="W105" s="796"/>
      <c r="X105" s="796"/>
      <c r="Y105" s="796"/>
      <c r="Z105" s="796"/>
      <c r="AA105" s="796"/>
      <c r="AB105" s="796"/>
      <c r="AC105" s="796"/>
    </row>
    <row r="106" spans="1:29" s="100" customFormat="1" ht="6" customHeight="1">
      <c r="A106" s="98"/>
      <c r="B106" s="98"/>
      <c r="C106" s="98"/>
      <c r="D106" s="98"/>
      <c r="E106" s="98"/>
      <c r="F106" s="98"/>
      <c r="G106" s="98"/>
      <c r="H106" s="98"/>
      <c r="I106" s="98"/>
      <c r="J106" s="99"/>
      <c r="T106" s="99"/>
    </row>
    <row r="107" spans="1:29" s="95" customFormat="1" ht="20.100000000000001" customHeight="1">
      <c r="A107" s="794" t="s">
        <v>13</v>
      </c>
      <c r="B107" s="794"/>
      <c r="C107" s="794"/>
      <c r="D107" s="794"/>
      <c r="E107" s="794"/>
      <c r="F107" s="794"/>
      <c r="G107" s="794"/>
      <c r="H107" s="794"/>
      <c r="I107" s="794"/>
      <c r="J107" s="169"/>
      <c r="K107" s="794" t="s">
        <v>14</v>
      </c>
      <c r="L107" s="794"/>
      <c r="M107" s="794"/>
      <c r="N107" s="794"/>
      <c r="O107" s="794"/>
      <c r="P107" s="794"/>
      <c r="Q107" s="794"/>
      <c r="R107" s="794"/>
      <c r="S107" s="794"/>
      <c r="T107" s="169"/>
      <c r="U107" s="794" t="s">
        <v>15</v>
      </c>
      <c r="V107" s="794"/>
      <c r="W107" s="794"/>
      <c r="X107" s="794"/>
      <c r="Y107" s="794"/>
      <c r="Z107" s="794"/>
      <c r="AA107" s="794"/>
      <c r="AB107" s="794"/>
      <c r="AC107" s="794"/>
    </row>
    <row r="108" spans="1:29" s="100" customFormat="1" ht="6" customHeight="1">
      <c r="A108" s="98"/>
      <c r="B108" s="98"/>
      <c r="C108" s="98"/>
      <c r="D108" s="98"/>
      <c r="E108" s="98"/>
      <c r="F108" s="98"/>
      <c r="G108" s="98"/>
      <c r="H108" s="98"/>
      <c r="I108" s="98"/>
      <c r="J108" s="99"/>
      <c r="T108" s="99"/>
    </row>
    <row r="109" spans="1:29" ht="14.25">
      <c r="A109" s="795" t="s">
        <v>16</v>
      </c>
      <c r="B109" s="796"/>
      <c r="C109" s="796"/>
      <c r="D109" s="796"/>
      <c r="E109" s="796"/>
      <c r="F109" s="796"/>
      <c r="G109" s="796"/>
      <c r="H109" s="796"/>
      <c r="I109" s="796"/>
      <c r="J109" s="96"/>
      <c r="K109" s="797" t="s">
        <v>17</v>
      </c>
      <c r="L109" s="798"/>
      <c r="M109" s="798"/>
      <c r="N109" s="798"/>
      <c r="O109" s="798"/>
      <c r="P109" s="798"/>
      <c r="Q109" s="798"/>
      <c r="R109" s="798"/>
      <c r="S109" s="798"/>
      <c r="T109" s="96"/>
      <c r="U109" s="797" t="s">
        <v>18</v>
      </c>
      <c r="V109" s="796"/>
      <c r="W109" s="796"/>
      <c r="X109" s="796"/>
      <c r="Y109" s="796"/>
      <c r="Z109" s="796"/>
      <c r="AA109" s="796"/>
      <c r="AB109" s="796"/>
      <c r="AC109" s="796"/>
    </row>
    <row r="110" spans="1:29" ht="14.25">
      <c r="A110" s="796"/>
      <c r="B110" s="796"/>
      <c r="C110" s="796"/>
      <c r="D110" s="796"/>
      <c r="E110" s="796"/>
      <c r="F110" s="796"/>
      <c r="G110" s="796"/>
      <c r="H110" s="796"/>
      <c r="I110" s="796"/>
      <c r="J110" s="96"/>
      <c r="K110" s="798"/>
      <c r="L110" s="798"/>
      <c r="M110" s="798"/>
      <c r="N110" s="798"/>
      <c r="O110" s="798"/>
      <c r="P110" s="798"/>
      <c r="Q110" s="798"/>
      <c r="R110" s="798"/>
      <c r="S110" s="798"/>
      <c r="T110" s="96"/>
      <c r="U110" s="796"/>
      <c r="V110" s="796"/>
      <c r="W110" s="796"/>
      <c r="X110" s="796"/>
      <c r="Y110" s="796"/>
      <c r="Z110" s="796"/>
      <c r="AA110" s="796"/>
      <c r="AB110" s="796"/>
      <c r="AC110" s="796"/>
    </row>
    <row r="111" spans="1:29" ht="14.25">
      <c r="A111" s="796"/>
      <c r="B111" s="796"/>
      <c r="C111" s="796"/>
      <c r="D111" s="796"/>
      <c r="E111" s="796"/>
      <c r="F111" s="796"/>
      <c r="G111" s="796"/>
      <c r="H111" s="796"/>
      <c r="I111" s="796"/>
      <c r="J111" s="96"/>
      <c r="K111" s="798"/>
      <c r="L111" s="798"/>
      <c r="M111" s="798"/>
      <c r="N111" s="798"/>
      <c r="O111" s="798"/>
      <c r="P111" s="798"/>
      <c r="Q111" s="798"/>
      <c r="R111" s="798"/>
      <c r="S111" s="798"/>
      <c r="T111" s="96"/>
      <c r="U111" s="796"/>
      <c r="V111" s="796"/>
      <c r="W111" s="796"/>
      <c r="X111" s="796"/>
      <c r="Y111" s="796"/>
      <c r="Z111" s="796"/>
      <c r="AA111" s="796"/>
      <c r="AB111" s="796"/>
      <c r="AC111" s="796"/>
    </row>
    <row r="112" spans="1:29" ht="14.25">
      <c r="A112" s="796"/>
      <c r="B112" s="796"/>
      <c r="C112" s="796"/>
      <c r="D112" s="796"/>
      <c r="E112" s="796"/>
      <c r="F112" s="796"/>
      <c r="G112" s="796"/>
      <c r="H112" s="796"/>
      <c r="I112" s="796"/>
      <c r="J112" s="96"/>
      <c r="K112" s="798"/>
      <c r="L112" s="798"/>
      <c r="M112" s="798"/>
      <c r="N112" s="798"/>
      <c r="O112" s="798"/>
      <c r="P112" s="798"/>
      <c r="Q112" s="798"/>
      <c r="R112" s="798"/>
      <c r="S112" s="798"/>
      <c r="T112" s="96"/>
      <c r="U112" s="796"/>
      <c r="V112" s="796"/>
      <c r="W112" s="796"/>
      <c r="X112" s="796"/>
      <c r="Y112" s="796"/>
      <c r="Z112" s="796"/>
      <c r="AA112" s="796"/>
      <c r="AB112" s="796"/>
      <c r="AC112" s="796"/>
    </row>
    <row r="113" spans="1:29" ht="14.25">
      <c r="A113" s="796"/>
      <c r="B113" s="796"/>
      <c r="C113" s="796"/>
      <c r="D113" s="796"/>
      <c r="E113" s="796"/>
      <c r="F113" s="796"/>
      <c r="G113" s="796"/>
      <c r="H113" s="796"/>
      <c r="I113" s="796"/>
      <c r="J113" s="96"/>
      <c r="K113" s="798"/>
      <c r="L113" s="798"/>
      <c r="M113" s="798"/>
      <c r="N113" s="798"/>
      <c r="O113" s="798"/>
      <c r="P113" s="798"/>
      <c r="Q113" s="798"/>
      <c r="R113" s="798"/>
      <c r="S113" s="798"/>
      <c r="T113" s="96"/>
      <c r="U113" s="796"/>
      <c r="V113" s="796"/>
      <c r="W113" s="796"/>
      <c r="X113" s="796"/>
      <c r="Y113" s="796"/>
      <c r="Z113" s="796"/>
      <c r="AA113" s="796"/>
      <c r="AB113" s="796"/>
      <c r="AC113" s="796"/>
    </row>
    <row r="114" spans="1:29" ht="14.25">
      <c r="A114" s="796"/>
      <c r="B114" s="796"/>
      <c r="C114" s="796"/>
      <c r="D114" s="796"/>
      <c r="E114" s="796"/>
      <c r="F114" s="796"/>
      <c r="G114" s="796"/>
      <c r="H114" s="796"/>
      <c r="I114" s="796"/>
      <c r="J114" s="96"/>
      <c r="K114" s="798"/>
      <c r="L114" s="798"/>
      <c r="M114" s="798"/>
      <c r="N114" s="798"/>
      <c r="O114" s="798"/>
      <c r="P114" s="798"/>
      <c r="Q114" s="798"/>
      <c r="R114" s="798"/>
      <c r="S114" s="798"/>
      <c r="T114" s="96"/>
      <c r="U114" s="796"/>
      <c r="V114" s="796"/>
      <c r="W114" s="796"/>
      <c r="X114" s="796"/>
      <c r="Y114" s="796"/>
      <c r="Z114" s="796"/>
      <c r="AA114" s="796"/>
      <c r="AB114" s="796"/>
      <c r="AC114" s="796"/>
    </row>
    <row r="115" spans="1:29" ht="14.25">
      <c r="A115" s="796"/>
      <c r="B115" s="796"/>
      <c r="C115" s="796"/>
      <c r="D115" s="796"/>
      <c r="E115" s="796"/>
      <c r="F115" s="796"/>
      <c r="G115" s="796"/>
      <c r="H115" s="796"/>
      <c r="I115" s="796"/>
      <c r="J115" s="96"/>
      <c r="K115" s="798"/>
      <c r="L115" s="798"/>
      <c r="M115" s="798"/>
      <c r="N115" s="798"/>
      <c r="O115" s="798"/>
      <c r="P115" s="798"/>
      <c r="Q115" s="798"/>
      <c r="R115" s="798"/>
      <c r="S115" s="798"/>
      <c r="T115" s="96"/>
      <c r="U115" s="796"/>
      <c r="V115" s="796"/>
      <c r="W115" s="796"/>
      <c r="X115" s="796"/>
      <c r="Y115" s="796"/>
      <c r="Z115" s="796"/>
      <c r="AA115" s="796"/>
      <c r="AB115" s="796"/>
      <c r="AC115" s="796"/>
    </row>
    <row r="116" spans="1:29" ht="14.25">
      <c r="A116" s="796"/>
      <c r="B116" s="796"/>
      <c r="C116" s="796"/>
      <c r="D116" s="796"/>
      <c r="E116" s="796"/>
      <c r="F116" s="796"/>
      <c r="G116" s="796"/>
      <c r="H116" s="796"/>
      <c r="I116" s="796"/>
      <c r="J116" s="96"/>
      <c r="K116" s="798"/>
      <c r="L116" s="798"/>
      <c r="M116" s="798"/>
      <c r="N116" s="798"/>
      <c r="O116" s="798"/>
      <c r="P116" s="798"/>
      <c r="Q116" s="798"/>
      <c r="R116" s="798"/>
      <c r="S116" s="798"/>
      <c r="T116" s="96"/>
      <c r="U116" s="796"/>
      <c r="V116" s="796"/>
      <c r="W116" s="796"/>
      <c r="X116" s="796"/>
      <c r="Y116" s="796"/>
      <c r="Z116" s="796"/>
      <c r="AA116" s="796"/>
      <c r="AB116" s="796"/>
      <c r="AC116" s="796"/>
    </row>
    <row r="117" spans="1:29" ht="14.25">
      <c r="A117" s="796"/>
      <c r="B117" s="796"/>
      <c r="C117" s="796"/>
      <c r="D117" s="796"/>
      <c r="E117" s="796"/>
      <c r="F117" s="796"/>
      <c r="G117" s="796"/>
      <c r="H117" s="796"/>
      <c r="I117" s="796"/>
      <c r="J117" s="96"/>
      <c r="K117" s="798"/>
      <c r="L117" s="798"/>
      <c r="M117" s="798"/>
      <c r="N117" s="798"/>
      <c r="O117" s="798"/>
      <c r="P117" s="798"/>
      <c r="Q117" s="798"/>
      <c r="R117" s="798"/>
      <c r="S117" s="798"/>
      <c r="T117" s="96"/>
      <c r="U117" s="796"/>
      <c r="V117" s="796"/>
      <c r="W117" s="796"/>
      <c r="X117" s="796"/>
      <c r="Y117" s="796"/>
      <c r="Z117" s="796"/>
      <c r="AA117" s="796"/>
      <c r="AB117" s="796"/>
      <c r="AC117" s="796"/>
    </row>
    <row r="118" spans="1:29" ht="14.25">
      <c r="A118" s="796"/>
      <c r="B118" s="796"/>
      <c r="C118" s="796"/>
      <c r="D118" s="796"/>
      <c r="E118" s="796"/>
      <c r="F118" s="796"/>
      <c r="G118" s="796"/>
      <c r="H118" s="796"/>
      <c r="I118" s="796"/>
      <c r="J118" s="96"/>
      <c r="K118" s="798"/>
      <c r="L118" s="798"/>
      <c r="M118" s="798"/>
      <c r="N118" s="798"/>
      <c r="O118" s="798"/>
      <c r="P118" s="798"/>
      <c r="Q118" s="798"/>
      <c r="R118" s="798"/>
      <c r="S118" s="798"/>
      <c r="T118" s="96"/>
      <c r="U118" s="796"/>
      <c r="V118" s="796"/>
      <c r="W118" s="796"/>
      <c r="X118" s="796"/>
      <c r="Y118" s="796"/>
      <c r="Z118" s="796"/>
      <c r="AA118" s="796"/>
      <c r="AB118" s="796"/>
      <c r="AC118" s="796"/>
    </row>
    <row r="119" spans="1:29" ht="14.25">
      <c r="A119" s="796"/>
      <c r="B119" s="796"/>
      <c r="C119" s="796"/>
      <c r="D119" s="796"/>
      <c r="E119" s="796"/>
      <c r="F119" s="796"/>
      <c r="G119" s="796"/>
      <c r="H119" s="796"/>
      <c r="I119" s="796"/>
      <c r="J119" s="96"/>
      <c r="K119" s="798"/>
      <c r="L119" s="798"/>
      <c r="M119" s="798"/>
      <c r="N119" s="798"/>
      <c r="O119" s="798"/>
      <c r="P119" s="798"/>
      <c r="Q119" s="798"/>
      <c r="R119" s="798"/>
      <c r="S119" s="798"/>
      <c r="T119" s="96"/>
      <c r="U119" s="796"/>
      <c r="V119" s="796"/>
      <c r="W119" s="796"/>
      <c r="X119" s="796"/>
      <c r="Y119" s="796"/>
      <c r="Z119" s="796"/>
      <c r="AA119" s="796"/>
      <c r="AB119" s="796"/>
      <c r="AC119" s="796"/>
    </row>
    <row r="120" spans="1:29" ht="14.25">
      <c r="A120" s="796"/>
      <c r="B120" s="796"/>
      <c r="C120" s="796"/>
      <c r="D120" s="796"/>
      <c r="E120" s="796"/>
      <c r="F120" s="796"/>
      <c r="G120" s="796"/>
      <c r="H120" s="796"/>
      <c r="I120" s="796"/>
      <c r="J120" s="96"/>
      <c r="K120" s="798"/>
      <c r="L120" s="798"/>
      <c r="M120" s="798"/>
      <c r="N120" s="798"/>
      <c r="O120" s="798"/>
      <c r="P120" s="798"/>
      <c r="Q120" s="798"/>
      <c r="R120" s="798"/>
      <c r="S120" s="798"/>
      <c r="T120" s="96"/>
      <c r="U120" s="796"/>
      <c r="V120" s="796"/>
      <c r="W120" s="796"/>
      <c r="X120" s="796"/>
      <c r="Y120" s="796"/>
      <c r="Z120" s="796"/>
      <c r="AA120" s="796"/>
      <c r="AB120" s="796"/>
      <c r="AC120" s="796"/>
    </row>
    <row r="121" spans="1:29" ht="14.25">
      <c r="A121" s="796"/>
      <c r="B121" s="796"/>
      <c r="C121" s="796"/>
      <c r="D121" s="796"/>
      <c r="E121" s="796"/>
      <c r="F121" s="796"/>
      <c r="G121" s="796"/>
      <c r="H121" s="796"/>
      <c r="I121" s="796"/>
      <c r="J121" s="96"/>
      <c r="K121" s="798"/>
      <c r="L121" s="798"/>
      <c r="M121" s="798"/>
      <c r="N121" s="798"/>
      <c r="O121" s="798"/>
      <c r="P121" s="798"/>
      <c r="Q121" s="798"/>
      <c r="R121" s="798"/>
      <c r="S121" s="798"/>
      <c r="T121" s="96"/>
      <c r="U121" s="796"/>
      <c r="V121" s="796"/>
      <c r="W121" s="796"/>
      <c r="X121" s="796"/>
      <c r="Y121" s="796"/>
      <c r="Z121" s="796"/>
      <c r="AA121" s="796"/>
      <c r="AB121" s="796"/>
      <c r="AC121" s="796"/>
    </row>
    <row r="122" spans="1:29" ht="14.25">
      <c r="A122" s="796"/>
      <c r="B122" s="796"/>
      <c r="C122" s="796"/>
      <c r="D122" s="796"/>
      <c r="E122" s="796"/>
      <c r="F122" s="796"/>
      <c r="G122" s="796"/>
      <c r="H122" s="796"/>
      <c r="I122" s="796"/>
      <c r="J122" s="96"/>
      <c r="K122" s="798"/>
      <c r="L122" s="798"/>
      <c r="M122" s="798"/>
      <c r="N122" s="798"/>
      <c r="O122" s="798"/>
      <c r="P122" s="798"/>
      <c r="Q122" s="798"/>
      <c r="R122" s="798"/>
      <c r="S122" s="798"/>
      <c r="T122" s="96"/>
      <c r="U122" s="796"/>
      <c r="V122" s="796"/>
      <c r="W122" s="796"/>
      <c r="X122" s="796"/>
      <c r="Y122" s="796"/>
      <c r="Z122" s="796"/>
      <c r="AA122" s="796"/>
      <c r="AB122" s="796"/>
      <c r="AC122" s="796"/>
    </row>
    <row r="123" spans="1:29" ht="14.25">
      <c r="A123" s="796"/>
      <c r="B123" s="796"/>
      <c r="C123" s="796"/>
      <c r="D123" s="796"/>
      <c r="E123" s="796"/>
      <c r="F123" s="796"/>
      <c r="G123" s="796"/>
      <c r="H123" s="796"/>
      <c r="I123" s="796"/>
      <c r="J123" s="96"/>
      <c r="K123" s="798"/>
      <c r="L123" s="798"/>
      <c r="M123" s="798"/>
      <c r="N123" s="798"/>
      <c r="O123" s="798"/>
      <c r="P123" s="798"/>
      <c r="Q123" s="798"/>
      <c r="R123" s="798"/>
      <c r="S123" s="798"/>
      <c r="T123" s="96"/>
      <c r="U123" s="796"/>
      <c r="V123" s="796"/>
      <c r="W123" s="796"/>
      <c r="X123" s="796"/>
      <c r="Y123" s="796"/>
      <c r="Z123" s="796"/>
      <c r="AA123" s="796"/>
      <c r="AB123" s="796"/>
      <c r="AC123" s="796"/>
    </row>
    <row r="124" spans="1:29" ht="14.25">
      <c r="A124" s="796"/>
      <c r="B124" s="796"/>
      <c r="C124" s="796"/>
      <c r="D124" s="796"/>
      <c r="E124" s="796"/>
      <c r="F124" s="796"/>
      <c r="G124" s="796"/>
      <c r="H124" s="796"/>
      <c r="I124" s="796"/>
      <c r="J124" s="96"/>
      <c r="K124" s="798"/>
      <c r="L124" s="798"/>
      <c r="M124" s="798"/>
      <c r="N124" s="798"/>
      <c r="O124" s="798"/>
      <c r="P124" s="798"/>
      <c r="Q124" s="798"/>
      <c r="R124" s="798"/>
      <c r="S124" s="798"/>
      <c r="T124" s="96"/>
      <c r="U124" s="796"/>
      <c r="V124" s="796"/>
      <c r="W124" s="796"/>
      <c r="X124" s="796"/>
      <c r="Y124" s="796"/>
      <c r="Z124" s="796"/>
      <c r="AA124" s="796"/>
      <c r="AB124" s="796"/>
      <c r="AC124" s="796"/>
    </row>
    <row r="125" spans="1:29" ht="14.25">
      <c r="A125" s="796"/>
      <c r="B125" s="796"/>
      <c r="C125" s="796"/>
      <c r="D125" s="796"/>
      <c r="E125" s="796"/>
      <c r="F125" s="796"/>
      <c r="G125" s="796"/>
      <c r="H125" s="796"/>
      <c r="I125" s="796"/>
      <c r="J125" s="96"/>
      <c r="K125" s="798"/>
      <c r="L125" s="798"/>
      <c r="M125" s="798"/>
      <c r="N125" s="798"/>
      <c r="O125" s="798"/>
      <c r="P125" s="798"/>
      <c r="Q125" s="798"/>
      <c r="R125" s="798"/>
      <c r="S125" s="798"/>
      <c r="T125" s="96"/>
      <c r="U125" s="796"/>
      <c r="V125" s="796"/>
      <c r="W125" s="796"/>
      <c r="X125" s="796"/>
      <c r="Y125" s="796"/>
      <c r="Z125" s="796"/>
      <c r="AA125" s="796"/>
      <c r="AB125" s="796"/>
      <c r="AC125" s="796"/>
    </row>
    <row r="126" spans="1:29" ht="14.25">
      <c r="A126" s="796"/>
      <c r="B126" s="796"/>
      <c r="C126" s="796"/>
      <c r="D126" s="796"/>
      <c r="E126" s="796"/>
      <c r="F126" s="796"/>
      <c r="G126" s="796"/>
      <c r="H126" s="796"/>
      <c r="I126" s="796"/>
      <c r="J126" s="96"/>
      <c r="K126" s="798"/>
      <c r="L126" s="798"/>
      <c r="M126" s="798"/>
      <c r="N126" s="798"/>
      <c r="O126" s="798"/>
      <c r="P126" s="798"/>
      <c r="Q126" s="798"/>
      <c r="R126" s="798"/>
      <c r="S126" s="798"/>
      <c r="T126" s="96"/>
      <c r="U126" s="796"/>
      <c r="V126" s="796"/>
      <c r="W126" s="796"/>
      <c r="X126" s="796"/>
      <c r="Y126" s="796"/>
      <c r="Z126" s="796"/>
      <c r="AA126" s="796"/>
      <c r="AB126" s="796"/>
      <c r="AC126" s="796"/>
    </row>
    <row r="127" spans="1:29" ht="14.25">
      <c r="A127" s="796"/>
      <c r="B127" s="796"/>
      <c r="C127" s="796"/>
      <c r="D127" s="796"/>
      <c r="E127" s="796"/>
      <c r="F127" s="796"/>
      <c r="G127" s="796"/>
      <c r="H127" s="796"/>
      <c r="I127" s="796"/>
      <c r="J127" s="96"/>
      <c r="K127" s="798"/>
      <c r="L127" s="798"/>
      <c r="M127" s="798"/>
      <c r="N127" s="798"/>
      <c r="O127" s="798"/>
      <c r="P127" s="798"/>
      <c r="Q127" s="798"/>
      <c r="R127" s="798"/>
      <c r="S127" s="798"/>
      <c r="T127" s="96"/>
      <c r="U127" s="796"/>
      <c r="V127" s="796"/>
      <c r="W127" s="796"/>
      <c r="X127" s="796"/>
      <c r="Y127" s="796"/>
      <c r="Z127" s="796"/>
      <c r="AA127" s="796"/>
      <c r="AB127" s="796"/>
      <c r="AC127" s="796"/>
    </row>
    <row r="128" spans="1:29" ht="14.25">
      <c r="A128" s="796"/>
      <c r="B128" s="796"/>
      <c r="C128" s="796"/>
      <c r="D128" s="796"/>
      <c r="E128" s="796"/>
      <c r="F128" s="796"/>
      <c r="G128" s="796"/>
      <c r="H128" s="796"/>
      <c r="I128" s="796"/>
      <c r="J128" s="96"/>
      <c r="K128" s="798"/>
      <c r="L128" s="798"/>
      <c r="M128" s="798"/>
      <c r="N128" s="798"/>
      <c r="O128" s="798"/>
      <c r="P128" s="798"/>
      <c r="Q128" s="798"/>
      <c r="R128" s="798"/>
      <c r="S128" s="798"/>
      <c r="T128" s="96"/>
      <c r="U128" s="796"/>
      <c r="V128" s="796"/>
      <c r="W128" s="796"/>
      <c r="X128" s="796"/>
      <c r="Y128" s="796"/>
      <c r="Z128" s="796"/>
      <c r="AA128" s="796"/>
      <c r="AB128" s="796"/>
      <c r="AC128" s="796"/>
    </row>
    <row r="129" spans="1:29" ht="14.25">
      <c r="A129" s="796"/>
      <c r="B129" s="796"/>
      <c r="C129" s="796"/>
      <c r="D129" s="796"/>
      <c r="E129" s="796"/>
      <c r="F129" s="796"/>
      <c r="G129" s="796"/>
      <c r="H129" s="796"/>
      <c r="I129" s="796"/>
      <c r="J129" s="96"/>
      <c r="K129" s="798"/>
      <c r="L129" s="798"/>
      <c r="M129" s="798"/>
      <c r="N129" s="798"/>
      <c r="O129" s="798"/>
      <c r="P129" s="798"/>
      <c r="Q129" s="798"/>
      <c r="R129" s="798"/>
      <c r="S129" s="798"/>
      <c r="T129" s="96"/>
      <c r="U129" s="796"/>
      <c r="V129" s="796"/>
      <c r="W129" s="796"/>
      <c r="X129" s="796"/>
      <c r="Y129" s="796"/>
      <c r="Z129" s="796"/>
      <c r="AA129" s="796"/>
      <c r="AB129" s="796"/>
      <c r="AC129" s="796"/>
    </row>
    <row r="130" spans="1:29" ht="14.25">
      <c r="A130" s="796"/>
      <c r="B130" s="796"/>
      <c r="C130" s="796"/>
      <c r="D130" s="796"/>
      <c r="E130" s="796"/>
      <c r="F130" s="796"/>
      <c r="G130" s="796"/>
      <c r="H130" s="796"/>
      <c r="I130" s="796"/>
      <c r="J130" s="96"/>
      <c r="K130" s="798"/>
      <c r="L130" s="798"/>
      <c r="M130" s="798"/>
      <c r="N130" s="798"/>
      <c r="O130" s="798"/>
      <c r="P130" s="798"/>
      <c r="Q130" s="798"/>
      <c r="R130" s="798"/>
      <c r="S130" s="798"/>
      <c r="T130" s="96"/>
      <c r="U130" s="796"/>
      <c r="V130" s="796"/>
      <c r="W130" s="796"/>
      <c r="X130" s="796"/>
      <c r="Y130" s="796"/>
      <c r="Z130" s="796"/>
      <c r="AA130" s="796"/>
      <c r="AB130" s="796"/>
      <c r="AC130" s="796"/>
    </row>
    <row r="131" spans="1:29" ht="14.25">
      <c r="A131" s="796"/>
      <c r="B131" s="796"/>
      <c r="C131" s="796"/>
      <c r="D131" s="796"/>
      <c r="E131" s="796"/>
      <c r="F131" s="796"/>
      <c r="G131" s="796"/>
      <c r="H131" s="796"/>
      <c r="I131" s="796"/>
      <c r="J131" s="96"/>
      <c r="K131" s="798"/>
      <c r="L131" s="798"/>
      <c r="M131" s="798"/>
      <c r="N131" s="798"/>
      <c r="O131" s="798"/>
      <c r="P131" s="798"/>
      <c r="Q131" s="798"/>
      <c r="R131" s="798"/>
      <c r="S131" s="798"/>
      <c r="T131" s="96"/>
      <c r="U131" s="796"/>
      <c r="V131" s="796"/>
      <c r="W131" s="796"/>
      <c r="X131" s="796"/>
      <c r="Y131" s="796"/>
      <c r="Z131" s="796"/>
      <c r="AA131" s="796"/>
      <c r="AB131" s="796"/>
      <c r="AC131" s="796"/>
    </row>
    <row r="132" spans="1:29" ht="14.25">
      <c r="A132" s="796"/>
      <c r="B132" s="796"/>
      <c r="C132" s="796"/>
      <c r="D132" s="796"/>
      <c r="E132" s="796"/>
      <c r="F132" s="796"/>
      <c r="G132" s="796"/>
      <c r="H132" s="796"/>
      <c r="I132" s="796"/>
      <c r="J132" s="96"/>
      <c r="K132" s="798"/>
      <c r="L132" s="798"/>
      <c r="M132" s="798"/>
      <c r="N132" s="798"/>
      <c r="O132" s="798"/>
      <c r="P132" s="798"/>
      <c r="Q132" s="798"/>
      <c r="R132" s="798"/>
      <c r="S132" s="798"/>
      <c r="T132" s="96"/>
      <c r="U132" s="796"/>
      <c r="V132" s="796"/>
      <c r="W132" s="796"/>
      <c r="X132" s="796"/>
      <c r="Y132" s="796"/>
      <c r="Z132" s="796"/>
      <c r="AA132" s="796"/>
      <c r="AB132" s="796"/>
      <c r="AC132" s="796"/>
    </row>
    <row r="133" spans="1:29" ht="14.25">
      <c r="A133" s="796"/>
      <c r="B133" s="796"/>
      <c r="C133" s="796"/>
      <c r="D133" s="796"/>
      <c r="E133" s="796"/>
      <c r="F133" s="796"/>
      <c r="G133" s="796"/>
      <c r="H133" s="796"/>
      <c r="I133" s="796"/>
      <c r="J133" s="96"/>
      <c r="K133" s="798"/>
      <c r="L133" s="798"/>
      <c r="M133" s="798"/>
      <c r="N133" s="798"/>
      <c r="O133" s="798"/>
      <c r="P133" s="798"/>
      <c r="Q133" s="798"/>
      <c r="R133" s="798"/>
      <c r="S133" s="798"/>
      <c r="T133" s="96"/>
      <c r="U133" s="796"/>
      <c r="V133" s="796"/>
      <c r="W133" s="796"/>
      <c r="X133" s="796"/>
      <c r="Y133" s="796"/>
      <c r="Z133" s="796"/>
      <c r="AA133" s="796"/>
      <c r="AB133" s="796"/>
      <c r="AC133" s="796"/>
    </row>
    <row r="134" spans="1:29" ht="14.25">
      <c r="A134" s="796"/>
      <c r="B134" s="796"/>
      <c r="C134" s="796"/>
      <c r="D134" s="796"/>
      <c r="E134" s="796"/>
      <c r="F134" s="796"/>
      <c r="G134" s="796"/>
      <c r="H134" s="796"/>
      <c r="I134" s="796"/>
      <c r="J134" s="96"/>
      <c r="K134" s="798"/>
      <c r="L134" s="798"/>
      <c r="M134" s="798"/>
      <c r="N134" s="798"/>
      <c r="O134" s="798"/>
      <c r="P134" s="798"/>
      <c r="Q134" s="798"/>
      <c r="R134" s="798"/>
      <c r="S134" s="798"/>
      <c r="T134" s="96"/>
      <c r="U134" s="796"/>
      <c r="V134" s="796"/>
      <c r="W134" s="796"/>
      <c r="X134" s="796"/>
      <c r="Y134" s="796"/>
      <c r="Z134" s="796"/>
      <c r="AA134" s="796"/>
      <c r="AB134" s="796"/>
      <c r="AC134" s="796"/>
    </row>
    <row r="135" spans="1:29" ht="14.25">
      <c r="A135" s="796"/>
      <c r="B135" s="796"/>
      <c r="C135" s="796"/>
      <c r="D135" s="796"/>
      <c r="E135" s="796"/>
      <c r="F135" s="796"/>
      <c r="G135" s="796"/>
      <c r="H135" s="796"/>
      <c r="I135" s="796"/>
      <c r="J135" s="96"/>
      <c r="K135" s="798"/>
      <c r="L135" s="798"/>
      <c r="M135" s="798"/>
      <c r="N135" s="798"/>
      <c r="O135" s="798"/>
      <c r="P135" s="798"/>
      <c r="Q135" s="798"/>
      <c r="R135" s="798"/>
      <c r="S135" s="798"/>
      <c r="T135" s="96"/>
      <c r="U135" s="796"/>
      <c r="V135" s="796"/>
      <c r="W135" s="796"/>
      <c r="X135" s="796"/>
      <c r="Y135" s="796"/>
      <c r="Z135" s="796"/>
      <c r="AA135" s="796"/>
      <c r="AB135" s="796"/>
      <c r="AC135" s="796"/>
    </row>
    <row r="136" spans="1:29" ht="14.25">
      <c r="A136" s="796"/>
      <c r="B136" s="796"/>
      <c r="C136" s="796"/>
      <c r="D136" s="796"/>
      <c r="E136" s="796"/>
      <c r="F136" s="796"/>
      <c r="G136" s="796"/>
      <c r="H136" s="796"/>
      <c r="I136" s="796"/>
      <c r="J136" s="96"/>
      <c r="K136" s="798"/>
      <c r="L136" s="798"/>
      <c r="M136" s="798"/>
      <c r="N136" s="798"/>
      <c r="O136" s="798"/>
      <c r="P136" s="798"/>
      <c r="Q136" s="798"/>
      <c r="R136" s="798"/>
      <c r="S136" s="798"/>
      <c r="T136" s="96"/>
      <c r="U136" s="796"/>
      <c r="V136" s="796"/>
      <c r="W136" s="796"/>
      <c r="X136" s="796"/>
      <c r="Y136" s="796"/>
      <c r="Z136" s="796"/>
      <c r="AA136" s="796"/>
      <c r="AB136" s="796"/>
      <c r="AC136" s="796"/>
    </row>
    <row r="137" spans="1:29" ht="14.25">
      <c r="A137" s="796"/>
      <c r="B137" s="796"/>
      <c r="C137" s="796"/>
      <c r="D137" s="796"/>
      <c r="E137" s="796"/>
      <c r="F137" s="796"/>
      <c r="G137" s="796"/>
      <c r="H137" s="796"/>
      <c r="I137" s="796"/>
      <c r="J137" s="96"/>
      <c r="K137" s="798"/>
      <c r="L137" s="798"/>
      <c r="M137" s="798"/>
      <c r="N137" s="798"/>
      <c r="O137" s="798"/>
      <c r="P137" s="798"/>
      <c r="Q137" s="798"/>
      <c r="R137" s="798"/>
      <c r="S137" s="798"/>
      <c r="T137" s="96"/>
      <c r="U137" s="796"/>
      <c r="V137" s="796"/>
      <c r="W137" s="796"/>
      <c r="X137" s="796"/>
      <c r="Y137" s="796"/>
      <c r="Z137" s="796"/>
      <c r="AA137" s="796"/>
      <c r="AB137" s="796"/>
      <c r="AC137" s="796"/>
    </row>
    <row r="138" spans="1:29" ht="14.25">
      <c r="A138" s="796"/>
      <c r="B138" s="796"/>
      <c r="C138" s="796"/>
      <c r="D138" s="796"/>
      <c r="E138" s="796"/>
      <c r="F138" s="796"/>
      <c r="G138" s="796"/>
      <c r="H138" s="796"/>
      <c r="I138" s="796"/>
      <c r="J138" s="96"/>
      <c r="K138" s="798"/>
      <c r="L138" s="798"/>
      <c r="M138" s="798"/>
      <c r="N138" s="798"/>
      <c r="O138" s="798"/>
      <c r="P138" s="798"/>
      <c r="Q138" s="798"/>
      <c r="R138" s="798"/>
      <c r="S138" s="798"/>
      <c r="T138" s="96"/>
      <c r="U138" s="796"/>
      <c r="V138" s="796"/>
      <c r="W138" s="796"/>
      <c r="X138" s="796"/>
      <c r="Y138" s="796"/>
      <c r="Z138" s="796"/>
      <c r="AA138" s="796"/>
      <c r="AB138" s="796"/>
      <c r="AC138" s="796"/>
    </row>
    <row r="139" spans="1:29" ht="14.25">
      <c r="A139" s="796"/>
      <c r="B139" s="796"/>
      <c r="C139" s="796"/>
      <c r="D139" s="796"/>
      <c r="E139" s="796"/>
      <c r="F139" s="796"/>
      <c r="G139" s="796"/>
      <c r="H139" s="796"/>
      <c r="I139" s="796"/>
      <c r="J139" s="96"/>
      <c r="K139" s="798"/>
      <c r="L139" s="798"/>
      <c r="M139" s="798"/>
      <c r="N139" s="798"/>
      <c r="O139" s="798"/>
      <c r="P139" s="798"/>
      <c r="Q139" s="798"/>
      <c r="R139" s="798"/>
      <c r="S139" s="798"/>
      <c r="T139" s="96"/>
      <c r="U139" s="796"/>
      <c r="V139" s="796"/>
      <c r="W139" s="796"/>
      <c r="X139" s="796"/>
      <c r="Y139" s="796"/>
      <c r="Z139" s="796"/>
      <c r="AA139" s="796"/>
      <c r="AB139" s="796"/>
      <c r="AC139" s="796"/>
    </row>
    <row r="140" spans="1:29" ht="14.25">
      <c r="A140" s="796"/>
      <c r="B140" s="796"/>
      <c r="C140" s="796"/>
      <c r="D140" s="796"/>
      <c r="E140" s="796"/>
      <c r="F140" s="796"/>
      <c r="G140" s="796"/>
      <c r="H140" s="796"/>
      <c r="I140" s="796"/>
      <c r="J140" s="96"/>
      <c r="K140" s="798"/>
      <c r="L140" s="798"/>
      <c r="M140" s="798"/>
      <c r="N140" s="798"/>
      <c r="O140" s="798"/>
      <c r="P140" s="798"/>
      <c r="Q140" s="798"/>
      <c r="R140" s="798"/>
      <c r="S140" s="798"/>
      <c r="T140" s="96"/>
      <c r="U140" s="796"/>
      <c r="V140" s="796"/>
      <c r="W140" s="796"/>
      <c r="X140" s="796"/>
      <c r="Y140" s="796"/>
      <c r="Z140" s="796"/>
      <c r="AA140" s="796"/>
      <c r="AB140" s="796"/>
      <c r="AC140" s="796"/>
    </row>
    <row r="141" spans="1:29" ht="14.25">
      <c r="A141" s="796"/>
      <c r="B141" s="796"/>
      <c r="C141" s="796"/>
      <c r="D141" s="796"/>
      <c r="E141" s="796"/>
      <c r="F141" s="796"/>
      <c r="G141" s="796"/>
      <c r="H141" s="796"/>
      <c r="I141" s="796"/>
      <c r="J141" s="96"/>
      <c r="K141" s="798"/>
      <c r="L141" s="798"/>
      <c r="M141" s="798"/>
      <c r="N141" s="798"/>
      <c r="O141" s="798"/>
      <c r="P141" s="798"/>
      <c r="Q141" s="798"/>
      <c r="R141" s="798"/>
      <c r="S141" s="798"/>
      <c r="T141" s="96"/>
      <c r="U141" s="796"/>
      <c r="V141" s="796"/>
      <c r="W141" s="796"/>
      <c r="X141" s="796"/>
      <c r="Y141" s="796"/>
      <c r="Z141" s="796"/>
      <c r="AA141" s="796"/>
      <c r="AB141" s="796"/>
      <c r="AC141" s="796"/>
    </row>
    <row r="142" spans="1:29" ht="14.25">
      <c r="A142" s="796"/>
      <c r="B142" s="796"/>
      <c r="C142" s="796"/>
      <c r="D142" s="796"/>
      <c r="E142" s="796"/>
      <c r="F142" s="796"/>
      <c r="G142" s="796"/>
      <c r="H142" s="796"/>
      <c r="I142" s="796"/>
      <c r="J142" s="96"/>
      <c r="K142" s="798"/>
      <c r="L142" s="798"/>
      <c r="M142" s="798"/>
      <c r="N142" s="798"/>
      <c r="O142" s="798"/>
      <c r="P142" s="798"/>
      <c r="Q142" s="798"/>
      <c r="R142" s="798"/>
      <c r="S142" s="798"/>
      <c r="T142" s="96"/>
      <c r="U142" s="796"/>
      <c r="V142" s="796"/>
      <c r="W142" s="796"/>
      <c r="X142" s="796"/>
      <c r="Y142" s="796"/>
      <c r="Z142" s="796"/>
      <c r="AA142" s="796"/>
      <c r="AB142" s="796"/>
      <c r="AC142" s="796"/>
    </row>
    <row r="143" spans="1:29" ht="14.25">
      <c r="A143" s="796"/>
      <c r="B143" s="796"/>
      <c r="C143" s="796"/>
      <c r="D143" s="796"/>
      <c r="E143" s="796"/>
      <c r="F143" s="796"/>
      <c r="G143" s="796"/>
      <c r="H143" s="796"/>
      <c r="I143" s="796"/>
      <c r="J143" s="96"/>
      <c r="K143" s="798"/>
      <c r="L143" s="798"/>
      <c r="M143" s="798"/>
      <c r="N143" s="798"/>
      <c r="O143" s="798"/>
      <c r="P143" s="798"/>
      <c r="Q143" s="798"/>
      <c r="R143" s="798"/>
      <c r="S143" s="798"/>
      <c r="T143" s="96"/>
      <c r="U143" s="796"/>
      <c r="V143" s="796"/>
      <c r="W143" s="796"/>
      <c r="X143" s="796"/>
      <c r="Y143" s="796"/>
      <c r="Z143" s="796"/>
      <c r="AA143" s="796"/>
      <c r="AB143" s="796"/>
      <c r="AC143" s="796"/>
    </row>
    <row r="144" spans="1:29" ht="14.25">
      <c r="A144" s="796"/>
      <c r="B144" s="796"/>
      <c r="C144" s="796"/>
      <c r="D144" s="796"/>
      <c r="E144" s="796"/>
      <c r="F144" s="796"/>
      <c r="G144" s="796"/>
      <c r="H144" s="796"/>
      <c r="I144" s="796"/>
      <c r="J144" s="96"/>
      <c r="K144" s="798"/>
      <c r="L144" s="798"/>
      <c r="M144" s="798"/>
      <c r="N144" s="798"/>
      <c r="O144" s="798"/>
      <c r="P144" s="798"/>
      <c r="Q144" s="798"/>
      <c r="R144" s="798"/>
      <c r="S144" s="798"/>
      <c r="T144" s="96"/>
      <c r="U144" s="796"/>
      <c r="V144" s="796"/>
      <c r="W144" s="796"/>
      <c r="X144" s="796"/>
      <c r="Y144" s="796"/>
      <c r="Z144" s="796"/>
      <c r="AA144" s="796"/>
      <c r="AB144" s="796"/>
      <c r="AC144" s="796"/>
    </row>
    <row r="145" spans="1:29" ht="14.25">
      <c r="A145" s="796"/>
      <c r="B145" s="796"/>
      <c r="C145" s="796"/>
      <c r="D145" s="796"/>
      <c r="E145" s="796"/>
      <c r="F145" s="796"/>
      <c r="G145" s="796"/>
      <c r="H145" s="796"/>
      <c r="I145" s="796"/>
      <c r="J145" s="96"/>
      <c r="K145" s="798"/>
      <c r="L145" s="798"/>
      <c r="M145" s="798"/>
      <c r="N145" s="798"/>
      <c r="O145" s="798"/>
      <c r="P145" s="798"/>
      <c r="Q145" s="798"/>
      <c r="R145" s="798"/>
      <c r="S145" s="798"/>
      <c r="T145" s="96"/>
      <c r="U145" s="796"/>
      <c r="V145" s="796"/>
      <c r="W145" s="796"/>
      <c r="X145" s="796"/>
      <c r="Y145" s="796"/>
      <c r="Z145" s="796"/>
      <c r="AA145" s="796"/>
      <c r="AB145" s="796"/>
      <c r="AC145" s="796"/>
    </row>
    <row r="146" spans="1:29" ht="14.25">
      <c r="A146" s="796"/>
      <c r="B146" s="796"/>
      <c r="C146" s="796"/>
      <c r="D146" s="796"/>
      <c r="E146" s="796"/>
      <c r="F146" s="796"/>
      <c r="G146" s="796"/>
      <c r="H146" s="796"/>
      <c r="I146" s="796"/>
      <c r="J146" s="96"/>
      <c r="K146" s="798"/>
      <c r="L146" s="798"/>
      <c r="M146" s="798"/>
      <c r="N146" s="798"/>
      <c r="O146" s="798"/>
      <c r="P146" s="798"/>
      <c r="Q146" s="798"/>
      <c r="R146" s="798"/>
      <c r="S146" s="798"/>
      <c r="T146" s="96"/>
      <c r="U146" s="796"/>
      <c r="V146" s="796"/>
      <c r="W146" s="796"/>
      <c r="X146" s="796"/>
      <c r="Y146" s="796"/>
      <c r="Z146" s="796"/>
      <c r="AA146" s="796"/>
      <c r="AB146" s="796"/>
      <c r="AC146" s="796"/>
    </row>
    <row r="147" spans="1:29" ht="6" customHeight="1"/>
    <row r="148" spans="1:29" ht="14.25"/>
  </sheetData>
  <mergeCells count="21">
    <mergeCell ref="A1:E1"/>
    <mergeCell ref="A3:I3"/>
    <mergeCell ref="K3:S3"/>
    <mergeCell ref="U3:AC3"/>
    <mergeCell ref="A5:I45"/>
    <mergeCell ref="K5:S45"/>
    <mergeCell ref="U5:AC45"/>
    <mergeCell ref="A47:I47"/>
    <mergeCell ref="K47:S47"/>
    <mergeCell ref="U47:AC47"/>
    <mergeCell ref="A49:I105"/>
    <mergeCell ref="K49:S105"/>
    <mergeCell ref="U49:AC71"/>
    <mergeCell ref="U73:AC73"/>
    <mergeCell ref="U75:AC105"/>
    <mergeCell ref="A107:I107"/>
    <mergeCell ref="K107:S107"/>
    <mergeCell ref="U107:AC107"/>
    <mergeCell ref="A109:I146"/>
    <mergeCell ref="K109:S146"/>
    <mergeCell ref="U109:AC14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D51FD-8E14-4885-83B3-A52C93E6F2D7}">
  <sheetPr codeName="Sheet5">
    <tabColor rgb="FFFFF8CA"/>
  </sheetPr>
  <dimension ref="B1:Q11"/>
  <sheetViews>
    <sheetView zoomScale="70" zoomScaleNormal="70" workbookViewId="0">
      <selection activeCell="F12" sqref="F12"/>
    </sheetView>
  </sheetViews>
  <sheetFormatPr defaultColWidth="8.625" defaultRowHeight="14.25"/>
  <cols>
    <col min="1" max="1" width="3.625" style="1" customWidth="1"/>
    <col min="2" max="2" width="26.625" style="50" customWidth="1"/>
    <col min="3" max="6" width="18.125" style="47" customWidth="1"/>
    <col min="7" max="7" width="43" style="47" customWidth="1"/>
    <col min="8" max="8" width="23.375" style="1" customWidth="1"/>
    <col min="9" max="9" width="18" style="1" customWidth="1"/>
    <col min="10" max="10" width="11" style="115" customWidth="1"/>
    <col min="11" max="11" width="23.875" style="1" customWidth="1"/>
    <col min="12" max="12" width="23.375" style="1" bestFit="1" customWidth="1"/>
    <col min="13" max="13" width="12.125" style="1" customWidth="1"/>
    <col min="14" max="14" width="19.125" style="1" customWidth="1"/>
    <col min="15" max="15" width="15.625" style="1" customWidth="1"/>
    <col min="16" max="16" width="14" style="1" hidden="1" customWidth="1"/>
    <col min="17" max="17" width="11.25" style="1" customWidth="1"/>
    <col min="18" max="16384" width="8.625" style="1"/>
  </cols>
  <sheetData>
    <row r="1" spans="2:17">
      <c r="B1" s="846" t="s">
        <v>520</v>
      </c>
      <c r="C1" s="846"/>
      <c r="D1" s="846"/>
      <c r="E1" s="846"/>
      <c r="F1" s="846"/>
      <c r="G1" s="846"/>
      <c r="H1" s="846"/>
      <c r="K1" s="116"/>
      <c r="M1" s="162"/>
    </row>
    <row r="2" spans="2:17">
      <c r="B2" s="846"/>
      <c r="C2" s="846"/>
      <c r="D2" s="846"/>
      <c r="E2" s="846"/>
      <c r="F2" s="846"/>
      <c r="G2" s="846"/>
      <c r="H2" s="846"/>
      <c r="K2" s="116"/>
      <c r="M2" s="164"/>
    </row>
    <row r="3" spans="2:17">
      <c r="B3" s="847" t="s">
        <v>970</v>
      </c>
      <c r="C3" s="847"/>
      <c r="D3" s="847"/>
      <c r="E3" s="847"/>
      <c r="F3" s="847"/>
      <c r="G3" s="847"/>
      <c r="H3" s="847"/>
    </row>
    <row r="4" spans="2:17" ht="9" customHeight="1">
      <c r="B4" s="48"/>
      <c r="C4" s="45"/>
      <c r="D4" s="45"/>
      <c r="E4" s="45"/>
      <c r="F4" s="45"/>
      <c r="G4" s="45"/>
    </row>
    <row r="5" spans="2:17" s="24" customFormat="1" ht="24.95" customHeight="1" thickBot="1">
      <c r="B5" s="49" t="str">
        <f>Calculations!$B$126</f>
        <v>ENERGY STAR Ice Machines</v>
      </c>
      <c r="C5" s="46"/>
      <c r="D5" s="46"/>
      <c r="E5" s="46"/>
      <c r="F5" s="46"/>
      <c r="G5" s="46"/>
      <c r="J5" s="151"/>
    </row>
    <row r="6" spans="2:17" s="115" customFormat="1" ht="72" customHeight="1">
      <c r="B6" s="325" t="s">
        <v>102</v>
      </c>
      <c r="C6" s="326" t="s">
        <v>104</v>
      </c>
      <c r="D6" s="310" t="s">
        <v>315</v>
      </c>
      <c r="E6" s="327" t="s">
        <v>529</v>
      </c>
      <c r="F6" s="327" t="s">
        <v>559</v>
      </c>
      <c r="G6" s="459" t="s">
        <v>528</v>
      </c>
      <c r="H6" s="459" t="s">
        <v>971</v>
      </c>
      <c r="I6" s="459" t="s">
        <v>972</v>
      </c>
      <c r="J6" s="327" t="s">
        <v>110</v>
      </c>
      <c r="K6" s="329" t="s">
        <v>525</v>
      </c>
      <c r="L6" s="330" t="s">
        <v>440</v>
      </c>
      <c r="M6" s="328" t="s">
        <v>441</v>
      </c>
      <c r="N6" s="331" t="s">
        <v>896</v>
      </c>
      <c r="O6" s="326" t="s">
        <v>123</v>
      </c>
      <c r="P6" s="326" t="s">
        <v>254</v>
      </c>
      <c r="Q6" s="326" t="s">
        <v>881</v>
      </c>
    </row>
    <row r="7" spans="2:17" ht="43.5" customHeight="1">
      <c r="B7" s="210"/>
      <c r="C7" s="270"/>
      <c r="D7" s="270"/>
      <c r="E7" s="271"/>
      <c r="F7" s="271"/>
      <c r="G7" s="158"/>
      <c r="H7" s="460"/>
      <c r="I7" s="460"/>
      <c r="J7" s="271"/>
      <c r="K7" s="163">
        <f>G7</f>
        <v>0</v>
      </c>
      <c r="L7" s="183">
        <f>IF(Calculations!O230&lt;0,0,IFERROR(ROUND(Calculations!O230*'ES Ice Machines'!J7,4),0))</f>
        <v>0</v>
      </c>
      <c r="M7" s="184">
        <f>IF(Calculations!P230&lt;0,0,IFERROR(ROUND(Calculations!P230*'ES Ice Machines'!J7,4),0))</f>
        <v>0</v>
      </c>
      <c r="N7" s="446">
        <f>IF(Calculations!N230&lt;0,0,IFERROR(ROUND(Calculations!N230*'ES Ice Machines'!J7,4),0))</f>
        <v>0</v>
      </c>
      <c r="O7" s="445">
        <f>IF(Calculations!Q230&lt;0,0,IFERROR(ROUND(Calculations!Q230*'ES Ice Machines'!J7,2),0))</f>
        <v>0</v>
      </c>
      <c r="P7" s="433" t="str">
        <f>IFERROR(ROUND(O7*Incentives!$C$2+'ES Ice Machines'!N7*Incentives!$C$3,2),"")</f>
        <v/>
      </c>
      <c r="Q7" s="445">
        <f>IFERROR(ROUND(P7*Summary!$G$36/Summary!$H$36,2),0)</f>
        <v>0</v>
      </c>
    </row>
    <row r="8" spans="2:17" ht="47.25" customHeight="1">
      <c r="B8" s="210"/>
      <c r="C8" s="270"/>
      <c r="D8" s="270"/>
      <c r="E8" s="271"/>
      <c r="F8" s="271"/>
      <c r="G8" s="158"/>
      <c r="H8" s="460"/>
      <c r="I8" s="460"/>
      <c r="J8" s="271"/>
      <c r="K8" s="163">
        <f>G8</f>
        <v>0</v>
      </c>
      <c r="L8" s="183">
        <f>IF(Calculations!O231&lt;0,0,IFERROR(ROUND(Calculations!O231*'ES Ice Machines'!J8,4),0))</f>
        <v>0</v>
      </c>
      <c r="M8" s="184">
        <f>IF(Calculations!P231&lt;0,0,IFERROR(ROUND(Calculations!P231*'ES Ice Machines'!J8,4),0))</f>
        <v>0</v>
      </c>
      <c r="N8" s="446">
        <f>IF(Calculations!N231&lt;0,0,IFERROR(ROUND(Calculations!N231*'ES Ice Machines'!J8,4),0))</f>
        <v>0</v>
      </c>
      <c r="O8" s="445">
        <f>IF(Calculations!Q231&lt;0,0,IFERROR(ROUND(Calculations!Q231*'ES Ice Machines'!J8,2),0))</f>
        <v>0</v>
      </c>
      <c r="P8" s="433" t="str">
        <f>IFERROR(ROUND(O8*Incentives!$C$2+'ES Ice Machines'!N8*Incentives!$C$3,2),"")</f>
        <v/>
      </c>
      <c r="Q8" s="445">
        <f>IFERROR(ROUND(P8*Summary!$G$36/Summary!$H$36,2),0)</f>
        <v>0</v>
      </c>
    </row>
    <row r="9" spans="2:17" ht="42.75" customHeight="1">
      <c r="B9" s="210"/>
      <c r="C9" s="270"/>
      <c r="D9" s="270"/>
      <c r="E9" s="271"/>
      <c r="F9" s="271"/>
      <c r="G9" s="158"/>
      <c r="H9" s="460"/>
      <c r="I9" s="460"/>
      <c r="J9" s="271"/>
      <c r="K9" s="163">
        <f>G9</f>
        <v>0</v>
      </c>
      <c r="L9" s="183">
        <f>IF(Calculations!O232&lt;0,0,IFERROR(ROUND(Calculations!O232*'ES Ice Machines'!J9,4),0))</f>
        <v>0</v>
      </c>
      <c r="M9" s="184">
        <f>IF(Calculations!P232&lt;0,0,IFERROR(ROUND(Calculations!P232*'ES Ice Machines'!J9,4),0))</f>
        <v>0</v>
      </c>
      <c r="N9" s="446">
        <f>IF(Calculations!N232&lt;0,0,IFERROR(ROUND(Calculations!N232*'ES Ice Machines'!J9,4),0))</f>
        <v>0</v>
      </c>
      <c r="O9" s="445">
        <f>IF(Calculations!Q232&lt;0,0,IFERROR(ROUND(Calculations!Q232*'ES Ice Machines'!J9,2),0))</f>
        <v>0</v>
      </c>
      <c r="P9" s="433" t="str">
        <f>IFERROR(ROUND(O9*Incentives!$C$2+'ES Ice Machines'!N9*Incentives!$C$3,2),"")</f>
        <v/>
      </c>
      <c r="Q9" s="445">
        <f>IFERROR(ROUND(P9*Summary!$G$36/Summary!$H$36,2),0)</f>
        <v>0</v>
      </c>
    </row>
    <row r="10" spans="2:17" ht="42.75" customHeight="1">
      <c r="B10" s="210"/>
      <c r="C10" s="270"/>
      <c r="D10" s="270"/>
      <c r="E10" s="271"/>
      <c r="F10" s="271"/>
      <c r="G10" s="158"/>
      <c r="H10" s="460"/>
      <c r="I10" s="460"/>
      <c r="J10" s="271"/>
      <c r="K10" s="163">
        <f>G10</f>
        <v>0</v>
      </c>
      <c r="L10" s="183">
        <f>IF(Calculations!O233&lt;0,0,IFERROR(ROUND(Calculations!O233*'ES Ice Machines'!J10,4),0))</f>
        <v>0</v>
      </c>
      <c r="M10" s="184">
        <f>IF(Calculations!P233&lt;0,0,IFERROR(ROUND(Calculations!P233*'ES Ice Machines'!J10,4),0))</f>
        <v>0</v>
      </c>
      <c r="N10" s="446">
        <f>IF(Calculations!N233&lt;0,0,IFERROR(ROUND(Calculations!N233*'ES Ice Machines'!J10,4),0))</f>
        <v>0</v>
      </c>
      <c r="O10" s="445">
        <f>IF(Calculations!Q233&lt;0,0,IFERROR(ROUND(Calculations!Q233*'ES Ice Machines'!J10,2),0))</f>
        <v>0</v>
      </c>
      <c r="P10" s="433" t="str">
        <f>IFERROR(ROUND(O10*Incentives!$C$2+'ES Ice Machines'!N10*Incentives!$C$3,2),"")</f>
        <v/>
      </c>
      <c r="Q10" s="445">
        <f>IFERROR(ROUND(P10*Summary!$G$36/Summary!$H$36,2),0)</f>
        <v>0</v>
      </c>
    </row>
    <row r="11" spans="2:17" s="25" customFormat="1" ht="24.95" customHeight="1" thickBot="1">
      <c r="B11" s="848" t="s">
        <v>194</v>
      </c>
      <c r="C11" s="848"/>
      <c r="D11" s="848"/>
      <c r="E11" s="848"/>
      <c r="F11" s="848"/>
      <c r="G11" s="848"/>
      <c r="H11" s="848"/>
      <c r="I11" s="848"/>
      <c r="J11" s="848"/>
      <c r="K11" s="848"/>
      <c r="L11" s="447">
        <f>SUM(L7:L10)</f>
        <v>0</v>
      </c>
      <c r="M11" s="447">
        <f>SUM(M7:M10)</f>
        <v>0</v>
      </c>
      <c r="N11" s="461">
        <f>SUM(P7:P10)</f>
        <v>0</v>
      </c>
      <c r="O11" s="447">
        <f>SUM(O7:O10)</f>
        <v>0</v>
      </c>
      <c r="P11" s="447">
        <f t="shared" ref="P11:Q11" si="0">SUM(P7:P10)</f>
        <v>0</v>
      </c>
      <c r="Q11" s="447">
        <f t="shared" si="0"/>
        <v>0</v>
      </c>
    </row>
  </sheetData>
  <sheetProtection algorithmName="SHA-512" hashValue="7gTUq12njx8w/nvr4q/AM8dm3fZGto3DeuhgDRJKB0q9Aq9Ly6qKrCPnuDn5UNDJqVAVvj9fsJjDrLriJbq6WQ==" saltValue="YtAra5hFUxwuIZVFiHsgIA==" spinCount="100000" sheet="1" formatColumns="0"/>
  <protectedRanges>
    <protectedRange sqref="E7:I10" name="Range2"/>
    <protectedRange sqref="J7:J10 B7:D10" name="Range1"/>
  </protectedRanges>
  <mergeCells count="3">
    <mergeCell ref="B1:H2"/>
    <mergeCell ref="B3:H3"/>
    <mergeCell ref="B11:K11"/>
  </mergeCells>
  <dataValidations count="3">
    <dataValidation type="whole" allowBlank="1" showInputMessage="1" showErrorMessage="1" sqref="J7:J10" xr:uid="{E72F6E0E-07C4-494B-A37D-B6BA740F3F81}">
      <formula1>0</formula1>
      <formula2>100</formula2>
    </dataValidation>
    <dataValidation type="list" allowBlank="1" showInputMessage="1" showErrorMessage="1" sqref="G7:G10" xr:uid="{C8D0D45A-8FCD-47F7-806D-DB77902B33CA}">
      <formula1>BaseIceMachineType</formula1>
    </dataValidation>
    <dataValidation type="decimal" allowBlank="1" showInputMessage="1" showErrorMessage="1" sqref="H7:I10" xr:uid="{70545EF5-3B82-45BE-B58F-5E00F5642754}">
      <formula1>0</formula1>
      <formula2>9.99999999999999E+21</formula2>
    </dataValidation>
  </dataValidations>
  <hyperlinks>
    <hyperlink ref="D6" r:id="rId1" tooltip="Follow this link to view the Energy Star certified Commerical Ice Machines products page" xr:uid="{E1DC04B4-405D-4790-B626-12EEE314AEAF}"/>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A73EB26C-CBE2-43B9-BB7B-46B1B16ABA38}">
          <x14:formula1>
            <xm:f>Calculations!$B$129:$B$130</xm:f>
          </x14:formula1>
          <xm:sqref>F7:F10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FD18-5F91-49CD-990A-C436D73C336A}">
  <sheetPr codeName="Sheet7">
    <tabColor rgb="FFFFF8CA"/>
  </sheetPr>
  <dimension ref="B1:N23"/>
  <sheetViews>
    <sheetView zoomScale="80" zoomScaleNormal="80" workbookViewId="0">
      <selection activeCell="D21" sqref="D21"/>
    </sheetView>
  </sheetViews>
  <sheetFormatPr defaultColWidth="8.625" defaultRowHeight="14.25"/>
  <cols>
    <col min="1" max="1" width="3.625" style="1" customWidth="1"/>
    <col min="2" max="2" width="26.625" style="50" customWidth="1"/>
    <col min="3" max="3" width="18.125" style="47" customWidth="1"/>
    <col min="4" max="4" width="42.25" style="47" customWidth="1"/>
    <col min="5" max="5" width="37.625" style="47" customWidth="1"/>
    <col min="6" max="6" width="38.375" style="47" customWidth="1"/>
    <col min="7" max="7" width="15.625" style="1" customWidth="1"/>
    <col min="8" max="10" width="36.5" style="1" customWidth="1"/>
    <col min="11" max="11" width="42.625" style="1" customWidth="1"/>
    <col min="12" max="12" width="13.375" style="1" customWidth="1"/>
    <col min="13" max="13" width="18.125" style="1" hidden="1" customWidth="1"/>
    <col min="14" max="14" width="15.375" style="1" customWidth="1"/>
    <col min="15" max="15" width="19.125" style="1" customWidth="1"/>
    <col min="16" max="16" width="15.625" style="1" customWidth="1"/>
    <col min="17" max="16384" width="8.625" style="1"/>
  </cols>
  <sheetData>
    <row r="1" spans="2:14">
      <c r="B1" s="849" t="s">
        <v>973</v>
      </c>
      <c r="C1" s="850"/>
      <c r="D1" s="850"/>
      <c r="E1" s="850"/>
      <c r="F1" s="850"/>
      <c r="G1" s="850"/>
      <c r="L1" s="116"/>
      <c r="M1" s="162"/>
    </row>
    <row r="2" spans="2:14">
      <c r="B2" s="850"/>
      <c r="C2" s="850"/>
      <c r="D2" s="850"/>
      <c r="E2" s="850"/>
      <c r="F2" s="850"/>
      <c r="G2" s="850"/>
      <c r="L2" s="116"/>
      <c r="M2" s="164"/>
    </row>
    <row r="3" spans="2:14">
      <c r="B3" s="847" t="s">
        <v>970</v>
      </c>
      <c r="C3" s="847"/>
      <c r="D3" s="847"/>
      <c r="E3" s="847"/>
      <c r="F3" s="847"/>
      <c r="G3" s="847"/>
    </row>
    <row r="4" spans="2:14" ht="9" customHeight="1">
      <c r="B4" s="48"/>
      <c r="C4" s="45"/>
      <c r="D4" s="45"/>
      <c r="E4" s="45"/>
      <c r="F4" s="45"/>
    </row>
    <row r="5" spans="2:14" s="24" customFormat="1" ht="24.95" customHeight="1" thickBot="1">
      <c r="B5" s="49" t="str">
        <f>Calculations!B101</f>
        <v>Beverage &amp; Snack Vending Machine</v>
      </c>
      <c r="C5" s="46"/>
      <c r="D5" s="46"/>
      <c r="E5" s="73"/>
      <c r="F5" s="46"/>
    </row>
    <row r="6" spans="2:14" ht="24.95" customHeight="1">
      <c r="B6" s="336" t="s">
        <v>102</v>
      </c>
      <c r="C6" s="336" t="s">
        <v>104</v>
      </c>
      <c r="D6" s="316" t="s">
        <v>315</v>
      </c>
      <c r="E6" s="253" t="s">
        <v>509</v>
      </c>
      <c r="F6" s="253" t="s">
        <v>974</v>
      </c>
      <c r="G6" s="253" t="s">
        <v>84</v>
      </c>
      <c r="H6" s="253" t="s">
        <v>70</v>
      </c>
      <c r="I6" s="503" t="s">
        <v>440</v>
      </c>
      <c r="J6" s="503" t="s">
        <v>975</v>
      </c>
      <c r="K6" s="337" t="s">
        <v>896</v>
      </c>
      <c r="L6" s="338" t="s">
        <v>123</v>
      </c>
      <c r="M6" s="309" t="s">
        <v>254</v>
      </c>
      <c r="N6" s="309" t="s">
        <v>881</v>
      </c>
    </row>
    <row r="7" spans="2:14" ht="24.95" customHeight="1">
      <c r="B7" s="270"/>
      <c r="C7" s="270"/>
      <c r="D7" s="270"/>
      <c r="E7" s="271"/>
      <c r="F7" s="339"/>
      <c r="G7" s="339"/>
      <c r="H7" s="271"/>
      <c r="I7" s="334">
        <f>IFERROR(ROUND(Calculations!J120,4),0)</f>
        <v>0</v>
      </c>
      <c r="J7" s="334">
        <f>IFERROR(ROUND(Calculations!K120,4),0)</f>
        <v>0</v>
      </c>
      <c r="K7" s="334">
        <f>IFERROR(ROUND(Calculations!L120,4),0)</f>
        <v>0</v>
      </c>
      <c r="L7" s="458">
        <f>IFERROR(IF(Calculations!I120&lt;0,0,IFERROR(ROUND(Calculations!I120,2),0)),0)</f>
        <v>0</v>
      </c>
      <c r="M7" s="272" t="str">
        <f>IFERROR(ROUND(L7*Incentives!$C$2+'Beverage and Snack Controls'!K7*Incentives!$C$3,2),"")</f>
        <v/>
      </c>
      <c r="N7" s="273">
        <f>IFERROR(ROUND(M7*Summary!$G$36/Summary!$H$36,2),0)</f>
        <v>0</v>
      </c>
    </row>
    <row r="8" spans="2:14" ht="24.95" customHeight="1">
      <c r="B8" s="270"/>
      <c r="C8" s="270"/>
      <c r="D8" s="270"/>
      <c r="E8" s="271"/>
      <c r="F8" s="339"/>
      <c r="G8" s="339"/>
      <c r="H8" s="274"/>
      <c r="I8" s="334">
        <f>IFERROR(ROUND(Calculations!J121,4),0)</f>
        <v>0</v>
      </c>
      <c r="J8" s="334">
        <f>IFERROR(ROUND(Calculations!K121,4),0)</f>
        <v>0</v>
      </c>
      <c r="K8" s="334">
        <f>IFERROR(ROUND(Calculations!L121,4),0)</f>
        <v>0</v>
      </c>
      <c r="L8" s="458">
        <f>IFERROR(IF(Calculations!I121&lt;0,0,IFERROR(ROUND(Calculations!I121,2),0)),0)</f>
        <v>0</v>
      </c>
      <c r="M8" s="272" t="str">
        <f>IFERROR(ROUND(L8*Incentives!$C$2+'Beverage and Snack Controls'!K8*Incentives!$C$3,2),"")</f>
        <v/>
      </c>
      <c r="N8" s="273">
        <f>IFERROR(ROUND(M8*Summary!$G$36/Summary!$H$36,2),0)</f>
        <v>0</v>
      </c>
    </row>
    <row r="9" spans="2:14" ht="24.95" customHeight="1">
      <c r="B9" s="270"/>
      <c r="C9" s="270"/>
      <c r="D9" s="270"/>
      <c r="E9" s="271"/>
      <c r="F9" s="339"/>
      <c r="G9" s="339"/>
      <c r="H9" s="271"/>
      <c r="I9" s="334">
        <f>IFERROR(ROUND(Calculations!J122,4),0)</f>
        <v>0</v>
      </c>
      <c r="J9" s="334">
        <f>IFERROR(ROUND(Calculations!K122,4),0)</f>
        <v>0</v>
      </c>
      <c r="K9" s="334">
        <f>IFERROR(ROUND(Calculations!L122,4),0)</f>
        <v>0</v>
      </c>
      <c r="L9" s="458">
        <f>IFERROR(IF(Calculations!I122&lt;0,0,IFERROR(ROUND(Calculations!I122,2),0)),0)</f>
        <v>0</v>
      </c>
      <c r="M9" s="272" t="str">
        <f>IFERROR(ROUND(L9*Incentives!$C$2+'Beverage and Snack Controls'!K9*Incentives!$C$3,2),"")</f>
        <v/>
      </c>
      <c r="N9" s="273">
        <f>IFERROR(ROUND(M9*Summary!$G$36/Summary!$H$36,2),0)</f>
        <v>0</v>
      </c>
    </row>
    <row r="10" spans="2:14" ht="24.95" customHeight="1">
      <c r="B10" s="270"/>
      <c r="C10" s="270"/>
      <c r="D10" s="304"/>
      <c r="E10" s="271"/>
      <c r="F10" s="339"/>
      <c r="G10" s="339"/>
      <c r="H10" s="274"/>
      <c r="I10" s="334">
        <f>IFERROR(ROUND(Calculations!J123,4),0)</f>
        <v>0</v>
      </c>
      <c r="J10" s="334">
        <f>IFERROR(ROUND(Calculations!K123,4),0)</f>
        <v>0</v>
      </c>
      <c r="K10" s="334">
        <f>IFERROR(ROUND(Calculations!L123,4),0)</f>
        <v>0</v>
      </c>
      <c r="L10" s="458">
        <f>IFERROR(IF(Calculations!I123&lt;0,0,IFERROR(ROUND(Calculations!I123,2),0)),0)</f>
        <v>0</v>
      </c>
      <c r="M10" s="272" t="str">
        <f>IFERROR(ROUND(L10*Incentives!$C$2+'Beverage and Snack Controls'!K10*Incentives!$C$3,2),"")</f>
        <v/>
      </c>
      <c r="N10" s="273">
        <f>IFERROR(ROUND(M10*Summary!$G$36/Summary!$H$36,2),0)</f>
        <v>0</v>
      </c>
    </row>
    <row r="11" spans="2:14" ht="24.95" customHeight="1" thickBot="1">
      <c r="B11" s="851" t="s">
        <v>194</v>
      </c>
      <c r="C11" s="852"/>
      <c r="D11" s="852"/>
      <c r="E11" s="852"/>
      <c r="F11" s="852"/>
      <c r="G11" s="852"/>
      <c r="H11" s="852"/>
      <c r="I11" s="335">
        <f>SUM(I7:I10)</f>
        <v>0</v>
      </c>
      <c r="J11" s="335">
        <f>SUM(J7:J10)</f>
        <v>0</v>
      </c>
      <c r="K11" s="335">
        <f>SUM(K7:K10)</f>
        <v>0</v>
      </c>
      <c r="L11" s="186">
        <f>SUM(L7:L10)</f>
        <v>0</v>
      </c>
      <c r="M11" s="145"/>
      <c r="N11" s="219">
        <f>SUM(N7:N10)</f>
        <v>0</v>
      </c>
    </row>
    <row r="12" spans="2:14" s="25" customFormat="1" ht="24.95" customHeight="1">
      <c r="B12" s="50"/>
      <c r="C12" s="47"/>
      <c r="D12" s="47"/>
      <c r="E12" s="47"/>
      <c r="F12" s="47"/>
      <c r="G12" s="1"/>
      <c r="H12" s="1"/>
      <c r="I12" s="1"/>
      <c r="J12" s="1"/>
    </row>
    <row r="18" ht="22.5" customHeight="1"/>
    <row r="19" ht="21.75" customHeight="1"/>
    <row r="20" ht="21" customHeight="1"/>
    <row r="21" ht="20.25" customHeight="1"/>
    <row r="22" ht="24" customHeight="1"/>
    <row r="23" ht="30" customHeight="1"/>
  </sheetData>
  <sheetProtection algorithmName="SHA-512" hashValue="9x4/P7K9mhItMmSY75uvSMpJb32mICdL3x9WFFfL6S9Eu/Y518RwiYUos/S6By8WyuB5kWGlhSLobBwLGo00LQ==" saltValue="OFH16869/WNkAbK/JuQhGw==" spinCount="100000" sheet="1" formatColumns="0"/>
  <mergeCells count="3">
    <mergeCell ref="B1:G2"/>
    <mergeCell ref="B3:G3"/>
    <mergeCell ref="B11:H11"/>
  </mergeCells>
  <phoneticPr fontId="100" type="noConversion"/>
  <dataValidations count="3">
    <dataValidation type="whole" allowBlank="1" showInputMessage="1" showErrorMessage="1" sqref="H7:H10" xr:uid="{22F84CD7-0D58-4C06-A4FB-8703A78AC3B2}">
      <formula1>0</formula1>
      <formula2>1000</formula2>
    </dataValidation>
    <dataValidation type="list" allowBlank="1" showInputMessage="1" showErrorMessage="1" sqref="F7:F10" xr:uid="{9EEB99B8-0F8A-469F-B22E-B5A0FEAD88DD}">
      <formula1>Manufactured_Date</formula1>
    </dataValidation>
    <dataValidation type="list" allowBlank="1" showInputMessage="1" showErrorMessage="1" sqref="G7:G10" xr:uid="{EAEF2FAD-A06F-4A3F-8D95-0BCE0196BF34}">
      <formula1>INDIRECT(F7)</formula1>
    </dataValidation>
  </dataValidations>
  <hyperlinks>
    <hyperlink ref="D6" r:id="rId1" tooltip="Follow this link to view the Energy Star certified Commercial Clothes Washer products page" xr:uid="{03FE6EBC-07D1-4DAB-8CE6-F895696835D7}"/>
  </hyperlinks>
  <pageMargins left="0.5" right="0.5" top="0.5" bottom="0.5" header="0.3" footer="0.3"/>
  <pageSetup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27F1029-D774-4E2C-82AE-241D3F1C0BB1}">
          <x14:formula1>
            <xm:f>Calculations!$B$109:$B$110</xm:f>
          </x14:formula1>
          <xm:sqref>E7:E10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822E-5868-4B45-A014-CC53B90A772C}">
  <sheetPr codeName="Sheet10">
    <tabColor rgb="FFFFF8CA"/>
  </sheetPr>
  <dimension ref="B1:P15"/>
  <sheetViews>
    <sheetView topLeftCell="A4" zoomScaleNormal="100" workbookViewId="0">
      <selection activeCell="F12" sqref="F12"/>
    </sheetView>
  </sheetViews>
  <sheetFormatPr defaultColWidth="8.625" defaultRowHeight="14.25"/>
  <cols>
    <col min="1" max="1" width="3.625" style="1" customWidth="1"/>
    <col min="2" max="2" width="34.125" style="50" customWidth="1"/>
    <col min="3" max="3" width="18.125" style="47" customWidth="1"/>
    <col min="4" max="4" width="20.375" style="47" bestFit="1" customWidth="1"/>
    <col min="5" max="5" width="22.25" style="47" customWidth="1"/>
    <col min="6" max="6" width="26.75" style="47" customWidth="1"/>
    <col min="7" max="7" width="20.625" style="47" bestFit="1" customWidth="1"/>
    <col min="8" max="8" width="27.625" style="47" customWidth="1"/>
    <col min="9" max="9" width="15.625" style="1" customWidth="1"/>
    <col min="10" max="10" width="28.125" style="1" customWidth="1"/>
    <col min="11" max="11" width="23.875" style="1" bestFit="1" customWidth="1"/>
    <col min="12" max="12" width="16.375" style="1" hidden="1" customWidth="1"/>
    <col min="13" max="13" width="18.125" style="1" bestFit="1" customWidth="1"/>
    <col min="14" max="14" width="17.875" style="1" customWidth="1"/>
    <col min="15" max="15" width="19.125" style="1" customWidth="1"/>
    <col min="16" max="16" width="15.625" style="1" customWidth="1"/>
    <col min="17" max="16384" width="8.625" style="1"/>
  </cols>
  <sheetData>
    <row r="1" spans="2:16">
      <c r="B1" s="853" t="s">
        <v>976</v>
      </c>
      <c r="C1" s="853"/>
      <c r="D1" s="853"/>
      <c r="E1" s="853"/>
      <c r="F1" s="853"/>
      <c r="G1" s="853"/>
      <c r="H1" s="853"/>
      <c r="I1" s="853"/>
      <c r="J1" s="732"/>
      <c r="K1" s="732"/>
      <c r="L1" s="116"/>
      <c r="M1" s="162"/>
    </row>
    <row r="2" spans="2:16">
      <c r="B2" s="853"/>
      <c r="C2" s="853"/>
      <c r="D2" s="853"/>
      <c r="E2" s="853"/>
      <c r="F2" s="853"/>
      <c r="G2" s="853"/>
      <c r="H2" s="853"/>
      <c r="I2" s="853"/>
      <c r="J2" s="732"/>
      <c r="K2" s="732"/>
      <c r="L2" s="116"/>
      <c r="M2" s="164"/>
    </row>
    <row r="3" spans="2:16">
      <c r="B3" s="787" t="s">
        <v>970</v>
      </c>
      <c r="C3" s="787"/>
      <c r="D3" s="787"/>
      <c r="E3" s="787"/>
      <c r="F3" s="787"/>
      <c r="G3" s="787"/>
      <c r="H3" s="787"/>
      <c r="I3" s="787"/>
      <c r="J3" s="732"/>
      <c r="K3" s="732"/>
    </row>
    <row r="4" spans="2:16">
      <c r="B4" s="717"/>
      <c r="C4" s="717"/>
      <c r="D4" s="717"/>
      <c r="E4" s="717"/>
      <c r="F4" s="717"/>
      <c r="G4" s="717"/>
      <c r="H4" s="717"/>
      <c r="I4" s="717"/>
      <c r="J4" s="732"/>
      <c r="K4" s="732"/>
    </row>
    <row r="5" spans="2:16" ht="15">
      <c r="B5" s="733" t="s">
        <v>977</v>
      </c>
      <c r="C5" s="717"/>
      <c r="D5" s="717"/>
      <c r="E5" s="717"/>
      <c r="F5" s="717"/>
      <c r="G5" s="717"/>
      <c r="H5" s="717"/>
      <c r="I5" s="717"/>
      <c r="J5" s="732"/>
      <c r="K5" s="732"/>
    </row>
    <row r="6" spans="2:16">
      <c r="B6" s="854" t="s">
        <v>978</v>
      </c>
      <c r="C6" s="854"/>
      <c r="D6" s="854"/>
      <c r="E6" s="854"/>
      <c r="F6" s="854"/>
      <c r="G6" s="854"/>
      <c r="H6" s="854"/>
      <c r="I6" s="854"/>
      <c r="J6" s="854"/>
      <c r="K6" s="854"/>
    </row>
    <row r="7" spans="2:16">
      <c r="B7" s="855"/>
      <c r="C7" s="855"/>
      <c r="D7" s="855"/>
      <c r="E7" s="855"/>
      <c r="F7" s="855"/>
      <c r="G7" s="855"/>
      <c r="H7" s="855"/>
      <c r="I7" s="855"/>
      <c r="J7" s="855"/>
      <c r="K7" s="855"/>
    </row>
    <row r="8" spans="2:16" ht="15">
      <c r="B8" s="48"/>
      <c r="C8" s="45"/>
      <c r="D8" s="45"/>
      <c r="E8" s="45"/>
      <c r="F8" s="45"/>
      <c r="G8" s="45"/>
      <c r="H8" s="45"/>
    </row>
    <row r="9" spans="2:16" s="24" customFormat="1" ht="18.75" thickBot="1">
      <c r="B9" s="731" t="s">
        <v>979</v>
      </c>
      <c r="C9" s="46"/>
      <c r="D9" s="46"/>
      <c r="E9" s="46"/>
      <c r="F9" s="46"/>
      <c r="G9" s="424"/>
      <c r="H9" s="426"/>
      <c r="I9" s="426"/>
      <c r="J9" s="426"/>
      <c r="K9" s="426"/>
      <c r="L9" s="426"/>
    </row>
    <row r="10" spans="2:16" ht="24.95" customHeight="1">
      <c r="B10" s="718" t="s">
        <v>102</v>
      </c>
      <c r="C10" s="719" t="s">
        <v>104</v>
      </c>
      <c r="D10" s="720" t="s">
        <v>315</v>
      </c>
      <c r="E10" s="721" t="s">
        <v>980</v>
      </c>
      <c r="F10" s="719" t="s">
        <v>437</v>
      </c>
      <c r="G10" s="722" t="s">
        <v>110</v>
      </c>
      <c r="H10" s="723" t="s">
        <v>440</v>
      </c>
      <c r="I10" s="723" t="s">
        <v>441</v>
      </c>
      <c r="J10" s="724" t="s">
        <v>896</v>
      </c>
      <c r="K10" s="719" t="s">
        <v>123</v>
      </c>
      <c r="L10" s="725" t="s">
        <v>254</v>
      </c>
      <c r="M10" s="719" t="s">
        <v>881</v>
      </c>
      <c r="P10" s="52"/>
    </row>
    <row r="11" spans="2:16" ht="24.95" customHeight="1">
      <c r="B11" s="210"/>
      <c r="C11" s="270"/>
      <c r="D11" s="270"/>
      <c r="E11" s="270"/>
      <c r="F11" s="339"/>
      <c r="G11" s="158"/>
      <c r="H11" s="882">
        <f>IF(Calculations!Y70&lt;0,0,IFERROR(ROUND(Calculations!Y70,4),0))</f>
        <v>0</v>
      </c>
      <c r="I11" s="882">
        <f>IF(Calculations!Z70&lt;0,0,IFERROR(ROUND(Calculations!Z70,4),0))</f>
        <v>0</v>
      </c>
      <c r="J11" s="882">
        <f>IF(Calculations!AA70&lt;0,0,IFERROR(ROUND(Calculations!AA70,4),0))</f>
        <v>0</v>
      </c>
      <c r="K11" s="883">
        <f>IF(Calculations!AB70&lt;0,0,IFERROR(ROUND(Calculations!AB70,2),0))</f>
        <v>0</v>
      </c>
      <c r="L11" s="272" t="str">
        <f>IFERROR(ROUND(K11*Incentives!$C$2+'Combination Oven'!J11*Incentives!$C$3,2),"")</f>
        <v/>
      </c>
      <c r="M11" s="441" t="str">
        <f>IFERROR(ROUND(L11*Summary!$G$36/Summary!$H$36,2),"")</f>
        <v/>
      </c>
    </row>
    <row r="12" spans="2:16" ht="24.95" customHeight="1">
      <c r="B12" s="210"/>
      <c r="C12" s="270"/>
      <c r="D12" s="270"/>
      <c r="E12" s="270"/>
      <c r="F12" s="339"/>
      <c r="G12" s="158"/>
      <c r="H12" s="882">
        <f>IF(Calculations!Y71&lt;0,0,IFERROR(ROUND(Calculations!Y71,4),0))</f>
        <v>0</v>
      </c>
      <c r="I12" s="882">
        <f>IF(Calculations!Z71&lt;0,0,IFERROR(ROUND(Calculations!Z71,4),0))</f>
        <v>0</v>
      </c>
      <c r="J12" s="882">
        <f>IF(Calculations!AA71&lt;0,0,IFERROR(ROUND(Calculations!AA71,4),0))</f>
        <v>0</v>
      </c>
      <c r="K12" s="883">
        <f>IF(Calculations!AB71&lt;0,0,IFERROR(ROUND(Calculations!AB71,2),0))</f>
        <v>0</v>
      </c>
      <c r="L12" s="272" t="str">
        <f>IFERROR(ROUND(K12*Incentives!$C$2+'Combination Oven'!J12*Incentives!$C$3,2),"")</f>
        <v/>
      </c>
      <c r="M12" s="180" t="str">
        <f>IFERROR(ROUND(L12*Summary!$G$36/Summary!$H$36,2),"")</f>
        <v/>
      </c>
    </row>
    <row r="13" spans="2:16" ht="24.95" customHeight="1">
      <c r="B13" s="210"/>
      <c r="C13" s="270"/>
      <c r="D13" s="270"/>
      <c r="E13" s="270"/>
      <c r="F13" s="339"/>
      <c r="G13" s="158"/>
      <c r="H13" s="882">
        <f>IF(Calculations!Y72&lt;0,0,IFERROR(ROUND(Calculations!Y72,4),0))</f>
        <v>0</v>
      </c>
      <c r="I13" s="882">
        <f>IF(Calculations!Z72&lt;0,0,IFERROR(ROUND(Calculations!Z72,4),0))</f>
        <v>0</v>
      </c>
      <c r="J13" s="882">
        <f>IF(Calculations!AA72&lt;0,0,IFERROR(ROUND(Calculations!AA72,4),0))</f>
        <v>0</v>
      </c>
      <c r="K13" s="883">
        <f>IF(Calculations!AB72&lt;0,0,IFERROR(ROUND(Calculations!AB72,2),0))</f>
        <v>0</v>
      </c>
      <c r="L13" s="272" t="str">
        <f>IFERROR(ROUND(K13*Incentives!$C$2+'Combination Oven'!J13*Incentives!$C$3,2),"")</f>
        <v/>
      </c>
      <c r="M13" s="180" t="str">
        <f>IFERROR(ROUND(L13*Summary!$G$36/Summary!$H$36,2),"")</f>
        <v/>
      </c>
    </row>
    <row r="14" spans="2:16" ht="24.95" customHeight="1">
      <c r="B14" s="210"/>
      <c r="C14" s="270"/>
      <c r="D14" s="270"/>
      <c r="E14" s="270"/>
      <c r="F14" s="339"/>
      <c r="G14" s="158"/>
      <c r="H14" s="882">
        <f>IF(Calculations!Y73&lt;0,0,IFERROR(ROUND(Calculations!Y73,4),0))</f>
        <v>0</v>
      </c>
      <c r="I14" s="882">
        <f>IF(Calculations!Z73&lt;0,0,IFERROR(ROUND(Calculations!Z73,4),0))</f>
        <v>0</v>
      </c>
      <c r="J14" s="882">
        <f>IF(Calculations!AA73&lt;0,0,IFERROR(ROUND(Calculations!AA73,4),0))</f>
        <v>0</v>
      </c>
      <c r="K14" s="883">
        <f>IF(Calculations!AB73&lt;0,0,IFERROR(ROUND(Calculations!AB73,2),0))</f>
        <v>0</v>
      </c>
      <c r="L14" s="272" t="str">
        <f>IFERROR(ROUND(K14*Incentives!$C$2+'Combination Oven'!J14*Incentives!$C$3,2),"")</f>
        <v/>
      </c>
      <c r="M14" s="180" t="str">
        <f>IFERROR(ROUND(L14*Summary!$G$36/Summary!$H$36,2),"")</f>
        <v/>
      </c>
    </row>
    <row r="15" spans="2:16" s="25" customFormat="1" ht="24.95" customHeight="1" thickBot="1">
      <c r="B15" s="856" t="s">
        <v>194</v>
      </c>
      <c r="C15" s="857"/>
      <c r="D15" s="857"/>
      <c r="E15" s="857"/>
      <c r="F15" s="857"/>
      <c r="G15" s="858"/>
      <c r="H15" s="726">
        <f>SUM(H11:H14)</f>
        <v>0</v>
      </c>
      <c r="I15" s="727">
        <f t="shared" ref="I15:M15" si="0">SUM(I11:I14)</f>
        <v>0</v>
      </c>
      <c r="J15" s="728">
        <f>SUM(J11:J14)</f>
        <v>0</v>
      </c>
      <c r="K15" s="729">
        <f t="shared" si="0"/>
        <v>0</v>
      </c>
      <c r="L15" s="728">
        <f t="shared" si="0"/>
        <v>0</v>
      </c>
      <c r="M15" s="730">
        <f t="shared" si="0"/>
        <v>0</v>
      </c>
    </row>
  </sheetData>
  <sheetProtection algorithmName="SHA-512" hashValue="eSxW9b1Z6xDkfv8vdqL0Kb59Q3TCMSKQ85R5Sn7/8pyu3LGAp3BDTnGuZjmD9ZEeIeqrHS/6ms6cJIvWIZCvIg==" saltValue="K6E9/NidStyv05Pms2Rj+w==" spinCount="100000" sheet="1" formatColumns="0" autoFilter="0"/>
  <protectedRanges>
    <protectedRange sqref="B11:G14" name="Range1"/>
  </protectedRanges>
  <mergeCells count="5">
    <mergeCell ref="B1:I2"/>
    <mergeCell ref="B3:I3"/>
    <mergeCell ref="B6:K6"/>
    <mergeCell ref="B7:K7"/>
    <mergeCell ref="B15:G15"/>
  </mergeCells>
  <dataValidations count="1">
    <dataValidation type="whole" allowBlank="1" showInputMessage="1" showErrorMessage="1" sqref="G11:G14" xr:uid="{77DB413B-C80B-493D-BF38-BEAF22BAE32E}">
      <formula1>0</formula1>
      <formula2>100</formula2>
    </dataValidation>
  </dataValidations>
  <hyperlinks>
    <hyperlink ref="D10" r:id="rId1" tooltip="Follow this link to view the Energy Star certified Commerical Ovens products page" xr:uid="{5891CC9F-D214-4EA6-9BBA-9C26A5CC6BA4}"/>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29D2C263-FE6B-472C-A83C-CE1373D9160F}">
          <x14:formula1>
            <xm:f>Calculations!$AD$47:$AD$82</xm:f>
          </x14:formula1>
          <xm:sqref>F11:F14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19C2B-76B7-461B-AB28-18B459792AB3}">
  <sheetPr codeName="Sheet15">
    <tabColor rgb="FFFFF8CA"/>
  </sheetPr>
  <dimension ref="B1:N11"/>
  <sheetViews>
    <sheetView topLeftCell="B1" zoomScale="80" zoomScaleNormal="80" workbookViewId="0">
      <selection activeCell="J11" sqref="J11"/>
    </sheetView>
  </sheetViews>
  <sheetFormatPr defaultColWidth="8.625" defaultRowHeight="14.25"/>
  <cols>
    <col min="1" max="1" width="3.625" style="1" customWidth="1"/>
    <col min="2" max="2" width="26.625" style="50" customWidth="1"/>
    <col min="3" max="3" width="19.625" style="47" bestFit="1" customWidth="1"/>
    <col min="4" max="6" width="18.125" style="47" customWidth="1"/>
    <col min="7" max="7" width="22.625" style="47" customWidth="1"/>
    <col min="8" max="8" width="17.75" style="47" customWidth="1"/>
    <col min="9" max="9" width="15.625" style="1" customWidth="1"/>
    <col min="10" max="10" width="28.125" style="1" customWidth="1"/>
    <col min="11" max="11" width="23.875" style="1" bestFit="1" customWidth="1"/>
    <col min="12" max="12" width="13.375" style="1" customWidth="1"/>
    <col min="13" max="13" width="18.125" style="1" hidden="1" customWidth="1"/>
    <col min="14" max="14" width="19.75" style="1" customWidth="1"/>
    <col min="15" max="15" width="19.125" style="1" customWidth="1"/>
    <col min="16" max="16" width="15.625" style="1" customWidth="1"/>
    <col min="17" max="16384" width="8.625" style="1"/>
  </cols>
  <sheetData>
    <row r="1" spans="2:14">
      <c r="B1" s="859" t="s">
        <v>981</v>
      </c>
      <c r="C1" s="859"/>
      <c r="D1" s="859"/>
      <c r="E1" s="859"/>
      <c r="F1" s="859"/>
      <c r="G1" s="859"/>
      <c r="H1" s="859"/>
      <c r="I1" s="859"/>
      <c r="L1" s="116"/>
      <c r="M1" s="162"/>
    </row>
    <row r="2" spans="2:14">
      <c r="B2" s="859"/>
      <c r="C2" s="859"/>
      <c r="D2" s="859"/>
      <c r="E2" s="859"/>
      <c r="F2" s="859"/>
      <c r="G2" s="859"/>
      <c r="H2" s="859"/>
      <c r="I2" s="859"/>
      <c r="L2" s="116"/>
      <c r="M2" s="164"/>
    </row>
    <row r="3" spans="2:14">
      <c r="B3" s="847" t="s">
        <v>970</v>
      </c>
      <c r="C3" s="847"/>
      <c r="D3" s="847"/>
      <c r="E3" s="847"/>
      <c r="F3" s="847"/>
      <c r="G3" s="847"/>
      <c r="H3" s="847"/>
      <c r="I3" s="847"/>
    </row>
    <row r="4" spans="2:14" ht="9" customHeight="1">
      <c r="B4" s="48"/>
      <c r="C4" s="45"/>
      <c r="D4" s="45"/>
      <c r="E4" s="45"/>
      <c r="F4" s="45"/>
      <c r="G4" s="45"/>
      <c r="H4" s="45"/>
    </row>
    <row r="5" spans="2:14" s="24" customFormat="1" ht="24.95" customHeight="1">
      <c r="B5" s="49" t="s">
        <v>981</v>
      </c>
      <c r="C5" s="46"/>
      <c r="D5" s="46"/>
      <c r="E5" s="46"/>
      <c r="F5" s="46"/>
      <c r="G5" s="46"/>
      <c r="H5" s="46"/>
    </row>
    <row r="6" spans="2:14" ht="47.45" customHeight="1">
      <c r="B6" s="309" t="s">
        <v>102</v>
      </c>
      <c r="C6" s="309" t="s">
        <v>104</v>
      </c>
      <c r="D6" s="310" t="s">
        <v>315</v>
      </c>
      <c r="E6" s="586" t="s">
        <v>884</v>
      </c>
      <c r="F6" s="309" t="s">
        <v>982</v>
      </c>
      <c r="G6" s="587" t="s">
        <v>983</v>
      </c>
      <c r="H6" s="307" t="s">
        <v>110</v>
      </c>
      <c r="I6" s="306" t="s">
        <v>440</v>
      </c>
      <c r="J6" s="307" t="s">
        <v>441</v>
      </c>
      <c r="K6" s="308" t="s">
        <v>896</v>
      </c>
      <c r="L6" s="309" t="s">
        <v>123</v>
      </c>
      <c r="M6" s="309" t="s">
        <v>254</v>
      </c>
      <c r="N6" s="309" t="s">
        <v>881</v>
      </c>
    </row>
    <row r="7" spans="2:14" ht="24.95" customHeight="1">
      <c r="B7" s="270"/>
      <c r="C7" s="270"/>
      <c r="D7" s="270"/>
      <c r="E7" s="581"/>
      <c r="F7" s="583"/>
      <c r="G7" s="588"/>
      <c r="H7" s="211"/>
      <c r="I7" s="183">
        <f>IFERROR(ROUND(Calculations!H411,4),0)</f>
        <v>0</v>
      </c>
      <c r="J7" s="184">
        <f>IFERROR(ROUND(Calculations!I411,4),0)</f>
        <v>0</v>
      </c>
      <c r="K7" s="182">
        <f>IFERROR(ROUND(Calculations!G411,4),0)</f>
        <v>0</v>
      </c>
      <c r="L7" s="269">
        <f>IFERROR(ROUND(Calculations!F411,2),0)</f>
        <v>0</v>
      </c>
      <c r="M7" s="269" t="str">
        <f>IFERROR(ROUND(L7*Incentives!$C$2+'ENERGY STAR Bath Fans'!K7*Incentives!$C$3,2),"")</f>
        <v/>
      </c>
      <c r="N7" s="273" t="str">
        <f>IFERROR(ROUND(M7*Summary!$G$36/Summary!$H$36,2),"")</f>
        <v/>
      </c>
    </row>
    <row r="8" spans="2:14" ht="24.95" customHeight="1">
      <c r="B8" s="270"/>
      <c r="C8" s="270"/>
      <c r="D8" s="270"/>
      <c r="E8" s="581"/>
      <c r="F8" s="583"/>
      <c r="G8" s="588"/>
      <c r="H8" s="211"/>
      <c r="I8" s="183">
        <f>IFERROR(ROUND(Calculations!H412,4),0)</f>
        <v>0</v>
      </c>
      <c r="J8" s="184">
        <f>IFERROR(ROUND(Calculations!I412,4),0)</f>
        <v>0</v>
      </c>
      <c r="K8" s="182">
        <f>IFERROR(ROUND(Calculations!G412,4),0)</f>
        <v>0</v>
      </c>
      <c r="L8" s="269">
        <f>IFERROR(ROUND(Calculations!F412,2),0)</f>
        <v>0</v>
      </c>
      <c r="M8" s="269" t="str">
        <f>IFERROR(ROUND(L8*Incentives!$C$2+'ENERGY STAR Bath Fans'!K8*Incentives!$C$3,2),"")</f>
        <v/>
      </c>
      <c r="N8" s="273" t="str">
        <f>IFERROR(ROUND(M8*Summary!$G$36/Summary!$H$36,2),"")</f>
        <v/>
      </c>
    </row>
    <row r="9" spans="2:14" ht="24.95" customHeight="1">
      <c r="B9" s="270"/>
      <c r="C9" s="270"/>
      <c r="D9" s="270"/>
      <c r="E9" s="581"/>
      <c r="F9" s="583"/>
      <c r="G9" s="588"/>
      <c r="H9" s="211"/>
      <c r="I9" s="183">
        <f>IFERROR(ROUND(Calculations!H413,4),0)</f>
        <v>0</v>
      </c>
      <c r="J9" s="184">
        <f>IFERROR(ROUND(Calculations!I413,4),0)</f>
        <v>0</v>
      </c>
      <c r="K9" s="182">
        <f>IFERROR(ROUND(Calculations!G413,4),0)</f>
        <v>0</v>
      </c>
      <c r="L9" s="269">
        <f>IFERROR(ROUND(Calculations!F413,2),0)</f>
        <v>0</v>
      </c>
      <c r="M9" s="269" t="str">
        <f>IFERROR(ROUND(L9*Incentives!$C$2+'ENERGY STAR Bath Fans'!K9*Incentives!$C$3,2),"")</f>
        <v/>
      </c>
      <c r="N9" s="273" t="str">
        <f>IFERROR(ROUND(M9*Summary!$G$36/Summary!$H$36,2),"")</f>
        <v/>
      </c>
    </row>
    <row r="10" spans="2:14" ht="24.95" customHeight="1">
      <c r="B10" s="304"/>
      <c r="C10" s="304"/>
      <c r="D10" s="304"/>
      <c r="E10" s="589"/>
      <c r="F10" s="590"/>
      <c r="G10" s="591"/>
      <c r="H10" s="305"/>
      <c r="I10" s="183">
        <f>IFERROR(ROUND(Calculations!H414,4),0)</f>
        <v>0</v>
      </c>
      <c r="J10" s="184">
        <f>IFERROR(ROUND(Calculations!I414,4),0)</f>
        <v>0</v>
      </c>
      <c r="K10" s="182">
        <f>IFERROR(ROUND(Calculations!G414,4),0)</f>
        <v>0</v>
      </c>
      <c r="L10" s="269">
        <f>IFERROR(ROUND(Calculations!F414,2),0)</f>
        <v>0</v>
      </c>
      <c r="M10" s="302" t="str">
        <f>IFERROR(ROUND(L10*Incentives!$C$2+'ENERGY STAR Bath Fans'!K10*Incentives!$C$3,2),"")</f>
        <v/>
      </c>
      <c r="N10" s="303" t="str">
        <f>IFERROR(ROUND(M10*Summary!$G$36/Summary!$H$36,2),"")</f>
        <v/>
      </c>
    </row>
    <row r="11" spans="2:14" s="25" customFormat="1" ht="24.95" customHeight="1" thickBot="1">
      <c r="B11" s="860" t="s">
        <v>194</v>
      </c>
      <c r="C11" s="860"/>
      <c r="D11" s="860"/>
      <c r="E11" s="860"/>
      <c r="F11" s="860"/>
      <c r="G11" s="860"/>
      <c r="H11" s="860"/>
      <c r="I11" s="186">
        <f>SUM(I7:I10)</f>
        <v>0</v>
      </c>
      <c r="J11" s="212">
        <f>SUM(J7:J10)</f>
        <v>0</v>
      </c>
      <c r="K11" s="145">
        <f>SUM(K7:K10)</f>
        <v>0</v>
      </c>
      <c r="L11" s="212">
        <f>SUM(L7:L10)</f>
        <v>0</v>
      </c>
      <c r="M11" s="427"/>
      <c r="N11" s="427">
        <f>SUM(N7:N10)</f>
        <v>0</v>
      </c>
    </row>
  </sheetData>
  <sheetProtection algorithmName="SHA-512" hashValue="S7Si0zVH4S/53dWP/dvDEK+YMAfvOWm7s6I9wdzbjDdE+s0Pa6TCGlb9PtTnSfwZqD+Es2t/xVoLpV333GEMlQ==" saltValue="GUfipKLyBoNhJ3IW9oNKZw==" spinCount="100000" sheet="1" formatColumns="0"/>
  <mergeCells count="3">
    <mergeCell ref="B1:I2"/>
    <mergeCell ref="B3:I3"/>
    <mergeCell ref="B11:H11"/>
  </mergeCells>
  <dataValidations count="1">
    <dataValidation type="whole" allowBlank="1" showInputMessage="1" showErrorMessage="1" sqref="H7:H10" xr:uid="{CCACF2BA-733F-42D3-89EC-0521512AB12B}">
      <formula1>0</formula1>
      <formula2>100</formula2>
    </dataValidation>
  </dataValidations>
  <hyperlinks>
    <hyperlink ref="D6" r:id="rId1" tooltip="Follow this link to view the Energy Star certified Ventilating Fans products page" xr:uid="{992372EC-79A4-42AF-BDB5-EAE8B6481904}"/>
  </hyperlinks>
  <pageMargins left="0.5" right="0.5" top="0.5" bottom="0.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934B-3C84-4491-8D70-ACEDCB835F67}">
  <sheetPr codeName="Sheet6">
    <tabColor rgb="FFFFF8CA"/>
  </sheetPr>
  <dimension ref="B1:Q11"/>
  <sheetViews>
    <sheetView zoomScale="85" zoomScaleNormal="85" workbookViewId="0">
      <selection activeCell="D15" sqref="D15"/>
    </sheetView>
  </sheetViews>
  <sheetFormatPr defaultColWidth="8.625" defaultRowHeight="14.25"/>
  <cols>
    <col min="1" max="1" width="3.625" style="1" customWidth="1"/>
    <col min="2" max="2" width="26.625" style="50" customWidth="1"/>
    <col min="3" max="3" width="18.125" style="47" customWidth="1"/>
    <col min="4" max="4" width="27.625" style="47" customWidth="1"/>
    <col min="5" max="5" width="27.125" style="47" customWidth="1"/>
    <col min="6" max="7" width="24.625" style="47" customWidth="1"/>
    <col min="8" max="8" width="37.875" style="1" customWidth="1"/>
    <col min="9" max="9" width="28.125" style="1" customWidth="1"/>
    <col min="10" max="10" width="27.5" style="1" bestFit="1" customWidth="1"/>
    <col min="11" max="11" width="13.375" style="1" customWidth="1"/>
    <col min="12" max="12" width="32.5" style="1" customWidth="1"/>
    <col min="13" max="13" width="18.625" style="1" customWidth="1"/>
    <col min="14" max="14" width="21.5" style="1" hidden="1" customWidth="1"/>
    <col min="15" max="15" width="19.375" style="1" customWidth="1"/>
    <col min="16" max="16384" width="8.625" style="1"/>
  </cols>
  <sheetData>
    <row r="1" spans="2:17" ht="14.25" customHeight="1">
      <c r="B1" s="846" t="s">
        <v>984</v>
      </c>
      <c r="C1" s="846"/>
      <c r="D1" s="846"/>
      <c r="E1" s="846"/>
      <c r="F1" s="846"/>
      <c r="G1" s="846"/>
      <c r="H1" s="846"/>
      <c r="K1" s="116"/>
      <c r="L1" s="162"/>
    </row>
    <row r="2" spans="2:17" ht="14.25" customHeight="1">
      <c r="B2" s="846"/>
      <c r="C2" s="846"/>
      <c r="D2" s="846"/>
      <c r="E2" s="846"/>
      <c r="F2" s="846"/>
      <c r="G2" s="846"/>
      <c r="H2" s="846"/>
      <c r="K2" s="116"/>
      <c r="L2" s="164"/>
    </row>
    <row r="3" spans="2:17">
      <c r="B3" s="847" t="s">
        <v>970</v>
      </c>
      <c r="C3" s="847"/>
      <c r="D3" s="847"/>
      <c r="E3" s="847"/>
      <c r="F3" s="847"/>
      <c r="G3" s="847"/>
      <c r="H3" s="847"/>
    </row>
    <row r="4" spans="2:17" ht="9" customHeight="1">
      <c r="B4" s="48"/>
      <c r="C4" s="45"/>
      <c r="D4" s="45"/>
      <c r="E4" s="45"/>
      <c r="F4" s="45"/>
      <c r="G4" s="45"/>
    </row>
    <row r="5" spans="2:17" s="24" customFormat="1" ht="24.95" customHeight="1">
      <c r="B5" s="49" t="str">
        <f>Calculations!B75</f>
        <v>ENERGY STAR Electric Steam Cookers</v>
      </c>
      <c r="C5" s="46"/>
      <c r="D5" s="46"/>
      <c r="E5" s="46"/>
      <c r="F5" s="46"/>
      <c r="G5" s="46"/>
      <c r="J5" s="426"/>
    </row>
    <row r="6" spans="2:17" ht="54" customHeight="1">
      <c r="B6" s="416" t="s">
        <v>102</v>
      </c>
      <c r="C6" s="309" t="s">
        <v>104</v>
      </c>
      <c r="D6" s="326" t="s">
        <v>985</v>
      </c>
      <c r="E6" s="326" t="s">
        <v>986</v>
      </c>
      <c r="F6" s="326" t="s">
        <v>987</v>
      </c>
      <c r="G6" s="436" t="s">
        <v>315</v>
      </c>
      <c r="H6" s="317" t="s">
        <v>988</v>
      </c>
      <c r="I6" s="438" t="s">
        <v>989</v>
      </c>
      <c r="J6" s="434" t="s">
        <v>440</v>
      </c>
      <c r="K6" s="317" t="s">
        <v>441</v>
      </c>
      <c r="L6" s="308" t="s">
        <v>896</v>
      </c>
      <c r="M6" s="309" t="s">
        <v>123</v>
      </c>
      <c r="N6" s="309" t="s">
        <v>254</v>
      </c>
      <c r="O6" s="309" t="s">
        <v>881</v>
      </c>
      <c r="Q6" s="52"/>
    </row>
    <row r="7" spans="2:17" ht="24.95" customHeight="1">
      <c r="B7" s="210"/>
      <c r="C7" s="270"/>
      <c r="D7" s="592"/>
      <c r="E7" s="581"/>
      <c r="F7" s="581"/>
      <c r="G7" s="437"/>
      <c r="H7" s="440"/>
      <c r="I7" s="439"/>
      <c r="J7" s="281" t="str">
        <f>IFERROR(IF(Calculations!M95&lt;0,0,IFERROR(ROUND(Calculations!M95,2),0)),"")</f>
        <v/>
      </c>
      <c r="K7" s="319" t="str">
        <f>IFERROR(IF(Calculations!N95&lt;0,0,IFERROR(ROUND(Calculations!N95,2),0)),"")</f>
        <v/>
      </c>
      <c r="L7" s="448" t="str">
        <f>IFERROR(IF(Calculations!O95&lt;0,0,IFERROR(ROUND(Calculations!O95,2),0)),"")</f>
        <v/>
      </c>
      <c r="M7" s="276" t="str">
        <f>IFERROR(IF(Calculations!L95&lt;0,0,IFERROR(ROUND(Calculations!L95,2),0)),"")</f>
        <v/>
      </c>
      <c r="N7" s="269" t="str">
        <f>IFERROR(ROUND(M7*Incentives!$C$2+L7*Incentives!$C$3,2),"")</f>
        <v/>
      </c>
      <c r="O7" s="273" t="str">
        <f>IFERROR(ROUND(N7*Summary!$G$36/Summary!$H$36,2),"")</f>
        <v/>
      </c>
    </row>
    <row r="8" spans="2:17" ht="24.95" customHeight="1">
      <c r="B8" s="210"/>
      <c r="C8" s="270"/>
      <c r="D8" s="592"/>
      <c r="E8" s="581"/>
      <c r="F8" s="581"/>
      <c r="G8" s="437"/>
      <c r="H8" s="417"/>
      <c r="I8" s="439"/>
      <c r="J8" s="281" t="str">
        <f>IFERROR(IF(Calculations!M96&lt;0,0,IFERROR(ROUND(Calculations!M96,2),0)),"")</f>
        <v/>
      </c>
      <c r="K8" s="319" t="str">
        <f>IFERROR(IF(Calculations!N96&lt;0,0,IFERROR(ROUND(Calculations!N96,2),0)),"")</f>
        <v/>
      </c>
      <c r="L8" s="448" t="str">
        <f>IFERROR(IF(Calculations!O96&lt;0,0,IFERROR(ROUND(Calculations!O96,2),0)),"")</f>
        <v/>
      </c>
      <c r="M8" s="276" t="str">
        <f>IFERROR(IF(Calculations!L96&lt;0,0,IFERROR(ROUND(Calculations!L96,2),0)),"")</f>
        <v/>
      </c>
      <c r="N8" s="269" t="str">
        <f>IFERROR(ROUND(M8*Incentives!$C$2+L8*Incentives!$C$3,2),"")</f>
        <v/>
      </c>
      <c r="O8" s="273" t="str">
        <f>IFERROR(ROUND(N8*Summary!$G$36/Summary!$H$36,2),"")</f>
        <v/>
      </c>
    </row>
    <row r="9" spans="2:17" ht="24.95" customHeight="1">
      <c r="B9" s="210"/>
      <c r="C9" s="270"/>
      <c r="D9" s="592"/>
      <c r="E9" s="581"/>
      <c r="F9" s="581"/>
      <c r="G9" s="437"/>
      <c r="H9" s="417"/>
      <c r="I9" s="439"/>
      <c r="J9" s="281" t="str">
        <f>IFERROR(IF(Calculations!M97&lt;0,0,IFERROR(ROUND(Calculations!M97,2),0)),"")</f>
        <v/>
      </c>
      <c r="K9" s="319" t="str">
        <f>IFERROR(IF(Calculations!N97&lt;0,0,IFERROR(ROUND(Calculations!N97,2),0)),"")</f>
        <v/>
      </c>
      <c r="L9" s="448" t="str">
        <f>IFERROR(IF(Calculations!O97&lt;0,0,IFERROR(ROUND(Calculations!O97,2),0)),"")</f>
        <v/>
      </c>
      <c r="M9" s="276" t="str">
        <f>IFERROR(IF(Calculations!L97&lt;0,0,IFERROR(ROUND(Calculations!L97,2),0)),"")</f>
        <v/>
      </c>
      <c r="N9" s="269" t="str">
        <f>IFERROR(ROUND(M9*Incentives!$C$2+L9*Incentives!$C$3,2),"")</f>
        <v/>
      </c>
      <c r="O9" s="273" t="str">
        <f>IFERROR(ROUND(N9*Summary!$G$36/Summary!$H$36,2),"")</f>
        <v/>
      </c>
    </row>
    <row r="10" spans="2:17" ht="24.95" customHeight="1">
      <c r="B10" s="210"/>
      <c r="C10" s="270"/>
      <c r="D10" s="592"/>
      <c r="E10" s="581"/>
      <c r="F10" s="581"/>
      <c r="G10" s="437"/>
      <c r="H10" s="417"/>
      <c r="I10" s="439"/>
      <c r="J10" s="281" t="str">
        <f>IFERROR(IF(Calculations!M98&lt;0,0,IFERROR(ROUND(Calculations!M98,2),0)),"")</f>
        <v/>
      </c>
      <c r="K10" s="319" t="str">
        <f>IFERROR(IF(Calculations!N98&lt;0,0,IFERROR(ROUND(Calculations!N98,2),0)),"")</f>
        <v/>
      </c>
      <c r="L10" s="448" t="str">
        <f>IFERROR(IF(Calculations!O98&lt;0,0,IFERROR(ROUND(Calculations!O98,2),0)),"")</f>
        <v/>
      </c>
      <c r="M10" s="276" t="str">
        <f>IFERROR(IF(Calculations!L98&lt;0,0,IFERROR(ROUND(Calculations!L98,2),0)),"")</f>
        <v/>
      </c>
      <c r="N10" s="269" t="str">
        <f>IFERROR(ROUND(M10*Incentives!$C$2+L10*Incentives!$C$3,2),"")</f>
        <v/>
      </c>
      <c r="O10" s="273" t="str">
        <f>IFERROR(ROUND(N10*Summary!$G$36/Summary!$H$36,2),"")</f>
        <v/>
      </c>
    </row>
    <row r="11" spans="2:17" s="25" customFormat="1" ht="24.95" customHeight="1" thickBot="1">
      <c r="B11" s="861" t="s">
        <v>194</v>
      </c>
      <c r="C11" s="862"/>
      <c r="D11" s="862"/>
      <c r="E11" s="862"/>
      <c r="F11" s="862"/>
      <c r="G11" s="862"/>
      <c r="H11" s="863"/>
      <c r="I11" s="864"/>
      <c r="J11" s="435">
        <f t="shared" ref="J11:O11" si="0">SUM(J7:J10)</f>
        <v>0</v>
      </c>
      <c r="K11" s="212">
        <f t="shared" si="0"/>
        <v>0</v>
      </c>
      <c r="L11" s="186">
        <f t="shared" si="0"/>
        <v>0</v>
      </c>
      <c r="M11" s="145">
        <f t="shared" si="0"/>
        <v>0</v>
      </c>
      <c r="N11" s="121">
        <f t="shared" si="0"/>
        <v>0</v>
      </c>
      <c r="O11" s="311">
        <f t="shared" si="0"/>
        <v>0</v>
      </c>
    </row>
  </sheetData>
  <sheetProtection algorithmName="SHA-512" hashValue="QIrU9biGmJHX9OIgCcaqsZNEI+1KFvSrpr5P0wQv13vaVPoBVD6wFIde0gxGAnGKr+D2cWGgITgrjc7/xVKp9A==" saltValue="3l5mT2OXP7cSFpIl4vxvHg==" spinCount="100000" sheet="1" formatColumns="0"/>
  <mergeCells count="3">
    <mergeCell ref="B1:H2"/>
    <mergeCell ref="B3:H3"/>
    <mergeCell ref="B11:I11"/>
  </mergeCells>
  <dataValidations count="3">
    <dataValidation type="decimal" allowBlank="1" showInputMessage="1" showErrorMessage="1" sqref="E7:F10" xr:uid="{2DF273B7-F3F9-4FA1-BBA1-7A63F5AD23D8}">
      <formula1>0</formula1>
      <formula2>999</formula2>
    </dataValidation>
    <dataValidation type="decimal" allowBlank="1" showInputMessage="1" showErrorMessage="1" sqref="I7:I10" xr:uid="{85E23A84-8BE1-4877-AE08-C89D94615F31}">
      <formula1>0</formula1>
      <formula2>9999999999999990</formula2>
    </dataValidation>
    <dataValidation type="decimal" allowBlank="1" showInputMessage="1" showErrorMessage="1" sqref="D7:D10" xr:uid="{1DC74E79-9E32-4429-8F56-8245D1E559B5}">
      <formula1>0.51</formula1>
      <formula2>1</formula2>
    </dataValidation>
  </dataValidations>
  <hyperlinks>
    <hyperlink ref="G6" r:id="rId1" tooltip="Follow this link to view the Energy Star certified Commercial Steam Cookers products page" xr:uid="{E6F1CF41-978C-4F86-AA74-B37D67ED18E8}"/>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26543C95-28EE-41F7-A457-3E0470918E80}">
          <x14:formula1>
            <xm:f>Calculations!$B$80:$B$83</xm:f>
          </x14:formula1>
          <xm:sqref>H7:H10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74AF6-C1B3-4FFF-B53E-9C383D3A1521}">
  <sheetPr codeName="Sheet9">
    <tabColor rgb="FFFFF8CA"/>
  </sheetPr>
  <dimension ref="B1:O11"/>
  <sheetViews>
    <sheetView zoomScaleNormal="100" workbookViewId="0">
      <selection activeCell="F8" sqref="F8"/>
    </sheetView>
  </sheetViews>
  <sheetFormatPr defaultColWidth="8.625" defaultRowHeight="14.25"/>
  <cols>
    <col min="1" max="1" width="3.625" style="1" customWidth="1"/>
    <col min="2" max="4" width="26.625" style="50" customWidth="1"/>
    <col min="5" max="8" width="18.125" style="47" customWidth="1"/>
    <col min="9" max="9" width="20.625" style="47" bestFit="1" customWidth="1"/>
    <col min="10" max="10" width="22.5" style="1" customWidth="1"/>
    <col min="11" max="11" width="18.125" style="47" hidden="1" customWidth="1"/>
    <col min="12" max="12" width="28.125" style="1" customWidth="1"/>
    <col min="13" max="13" width="23.875" style="1" bestFit="1" customWidth="1"/>
    <col min="14" max="14" width="13.375" style="1" customWidth="1"/>
    <col min="15" max="15" width="18.125" style="1" bestFit="1" customWidth="1"/>
    <col min="16" max="16" width="13.625" style="1" customWidth="1"/>
    <col min="17" max="17" width="19.125" style="1" customWidth="1"/>
    <col min="18" max="18" width="15.625" style="1" customWidth="1"/>
    <col min="19" max="16384" width="8.625" style="1"/>
  </cols>
  <sheetData>
    <row r="1" spans="2:15" ht="14.25" customHeight="1">
      <c r="B1" s="867" t="s">
        <v>338</v>
      </c>
      <c r="C1" s="867"/>
      <c r="D1" s="867"/>
      <c r="E1" s="867"/>
      <c r="F1" s="867"/>
      <c r="G1" s="867"/>
      <c r="H1" s="125"/>
      <c r="I1" s="125"/>
      <c r="J1" s="125"/>
      <c r="K1" s="125"/>
      <c r="N1" s="116"/>
      <c r="O1" s="162"/>
    </row>
    <row r="2" spans="2:15" ht="14.25" customHeight="1">
      <c r="B2" s="867"/>
      <c r="C2" s="867"/>
      <c r="D2" s="867"/>
      <c r="E2" s="867"/>
      <c r="F2" s="867"/>
      <c r="G2" s="867"/>
      <c r="H2" s="125"/>
      <c r="I2" s="125"/>
      <c r="J2" s="125"/>
      <c r="K2" s="125"/>
      <c r="N2" s="116"/>
      <c r="O2" s="164"/>
    </row>
    <row r="3" spans="2:15" ht="14.25" customHeight="1">
      <c r="B3" s="787" t="s">
        <v>970</v>
      </c>
      <c r="C3" s="787"/>
      <c r="D3" s="787"/>
      <c r="E3" s="787"/>
      <c r="F3" s="787"/>
      <c r="G3" s="787"/>
      <c r="H3" s="124"/>
      <c r="I3" s="124"/>
      <c r="J3" s="124"/>
      <c r="K3" s="124"/>
    </row>
    <row r="4" spans="2:15" ht="9" customHeight="1">
      <c r="B4" s="739"/>
      <c r="C4" s="739"/>
      <c r="D4" s="739"/>
      <c r="E4" s="740"/>
      <c r="F4" s="740"/>
      <c r="G4" s="740"/>
      <c r="H4" s="45"/>
      <c r="I4" s="45"/>
      <c r="K4" s="45"/>
    </row>
    <row r="5" spans="2:15" s="24" customFormat="1" ht="24.95" customHeight="1" thickBot="1">
      <c r="B5" s="731" t="s">
        <v>990</v>
      </c>
      <c r="C5" s="731"/>
      <c r="D5" s="731"/>
      <c r="E5" s="741"/>
      <c r="F5" s="741"/>
      <c r="G5" s="741"/>
      <c r="H5" s="46"/>
      <c r="I5" s="46"/>
      <c r="K5" s="46"/>
    </row>
    <row r="6" spans="2:15" ht="24.95" customHeight="1">
      <c r="B6" s="718" t="s">
        <v>102</v>
      </c>
      <c r="C6" s="719" t="s">
        <v>104</v>
      </c>
      <c r="D6" s="720" t="s">
        <v>315</v>
      </c>
      <c r="E6" s="723" t="s">
        <v>110</v>
      </c>
      <c r="F6" s="719" t="s">
        <v>405</v>
      </c>
      <c r="G6" s="734" t="s">
        <v>1015</v>
      </c>
      <c r="H6" s="734" t="s">
        <v>1016</v>
      </c>
      <c r="I6" s="734" t="s">
        <v>896</v>
      </c>
      <c r="J6" s="719" t="s">
        <v>123</v>
      </c>
      <c r="K6" s="719" t="s">
        <v>254</v>
      </c>
      <c r="L6" s="735" t="s">
        <v>881</v>
      </c>
    </row>
    <row r="7" spans="2:15" ht="24.95" customHeight="1">
      <c r="B7" s="210"/>
      <c r="C7" s="270"/>
      <c r="D7" s="270"/>
      <c r="E7" s="271"/>
      <c r="F7" s="277"/>
      <c r="G7" s="269">
        <f>IFERROR(ROUND(Calculations!P40,2),0)</f>
        <v>0</v>
      </c>
      <c r="H7" s="269">
        <f>IFERROR(ROUND(Calculations!Q40,2),0)</f>
        <v>0</v>
      </c>
      <c r="I7" s="269">
        <f>IFERROR(ROUND(Calculations!R40,2),0)</f>
        <v>0</v>
      </c>
      <c r="J7" s="275">
        <f>IFERROR(ROUND(Calculations!S40,2),0)</f>
        <v>0</v>
      </c>
      <c r="K7" s="272" t="str">
        <f>IFERROR(ROUND(J7*Incentives!$C$2+'Convection Oven'!I7*Incentives!$C$3,2),"")</f>
        <v/>
      </c>
      <c r="L7" s="180" t="str">
        <f>IFERROR(ROUND(K7*Summary!$G$36/Summary!$H$36,2),"")</f>
        <v/>
      </c>
    </row>
    <row r="8" spans="2:15" ht="24.95" customHeight="1">
      <c r="B8" s="210"/>
      <c r="C8" s="270"/>
      <c r="D8" s="270"/>
      <c r="E8" s="271"/>
      <c r="F8" s="277"/>
      <c r="G8" s="269">
        <f>IFERROR(ROUND(Calculations!P41,2),0)</f>
        <v>0</v>
      </c>
      <c r="H8" s="269">
        <f>IFERROR(ROUND(Calculations!Q41,2),0)</f>
        <v>0</v>
      </c>
      <c r="I8" s="269">
        <f>IFERROR(ROUND(Calculations!R41,2),0)</f>
        <v>0</v>
      </c>
      <c r="J8" s="275">
        <f>IFERROR(ROUND(Calculations!S41,2),0)</f>
        <v>0</v>
      </c>
      <c r="K8" s="272" t="str">
        <f>IFERROR(ROUND(J8*Incentives!$C$2+'Convection Oven'!I8*Incentives!$C$3,2),"")</f>
        <v/>
      </c>
      <c r="L8" s="180" t="str">
        <f>IFERROR(ROUND(K8*Summary!$G$36/Summary!$H$36,2),"")</f>
        <v/>
      </c>
    </row>
    <row r="9" spans="2:15" ht="24.95" customHeight="1">
      <c r="B9" s="210"/>
      <c r="C9" s="270"/>
      <c r="D9" s="270"/>
      <c r="E9" s="271"/>
      <c r="F9" s="277"/>
      <c r="G9" s="269">
        <f>IFERROR(ROUND(Calculations!P42,2),0)</f>
        <v>0</v>
      </c>
      <c r="H9" s="269">
        <f>IFERROR(ROUND(Calculations!Q42,2),0)</f>
        <v>0</v>
      </c>
      <c r="I9" s="269">
        <f>IFERROR(ROUND(Calculations!R42,2),0)</f>
        <v>0</v>
      </c>
      <c r="J9" s="275">
        <f>IFERROR(ROUND(Calculations!S42,2),0)</f>
        <v>0</v>
      </c>
      <c r="K9" s="272" t="str">
        <f>IFERROR(ROUND(J9*Incentives!$C$2+'Convection Oven'!I9*Incentives!$C$3,2),"")</f>
        <v/>
      </c>
      <c r="L9" s="180" t="str">
        <f>IFERROR(ROUND(K9*Summary!$G$36/Summary!$H$36,2),"")</f>
        <v/>
      </c>
    </row>
    <row r="10" spans="2:15" ht="24.95" customHeight="1">
      <c r="B10" s="210"/>
      <c r="C10" s="270"/>
      <c r="D10" s="270"/>
      <c r="E10" s="271"/>
      <c r="F10" s="277"/>
      <c r="G10" s="269">
        <f>IFERROR(ROUND(Calculations!P43,2),0)</f>
        <v>0</v>
      </c>
      <c r="H10" s="269">
        <f>IFERROR(ROUND(Calculations!Q43,2),0)</f>
        <v>0</v>
      </c>
      <c r="I10" s="269">
        <f>IFERROR(ROUND(Calculations!R43,2),0)</f>
        <v>0</v>
      </c>
      <c r="J10" s="275">
        <f>IFERROR(ROUND(Calculations!S43,2),0)</f>
        <v>0</v>
      </c>
      <c r="K10" s="272" t="str">
        <f>IFERROR(ROUND(J10*Incentives!$C$2+'Convection Oven'!I10*Incentives!$C$3,2),"")</f>
        <v/>
      </c>
      <c r="L10" s="180" t="str">
        <f>IFERROR(ROUND(K10*Summary!$G$36/Summary!$H$36,2),"")</f>
        <v/>
      </c>
    </row>
    <row r="11" spans="2:15" s="25" customFormat="1" ht="24.95" customHeight="1" thickBot="1">
      <c r="B11" s="865" t="s">
        <v>194</v>
      </c>
      <c r="C11" s="866"/>
      <c r="D11" s="866"/>
      <c r="E11" s="866"/>
      <c r="F11" s="866"/>
      <c r="G11" s="736">
        <f t="shared" ref="G11:H11" si="0">SUM(G7:G10)</f>
        <v>0</v>
      </c>
      <c r="H11" s="736">
        <f t="shared" si="0"/>
        <v>0</v>
      </c>
      <c r="I11" s="736">
        <f>SUM(I7:I10)</f>
        <v>0</v>
      </c>
      <c r="J11" s="736">
        <f>SUM(J7:J10)</f>
        <v>0</v>
      </c>
      <c r="K11" s="737"/>
      <c r="L11" s="738">
        <f>SUM(L7:L10)</f>
        <v>0</v>
      </c>
    </row>
  </sheetData>
  <sheetProtection algorithmName="SHA-512" hashValue="BRKkgjYHkqoYBRXdMgzax9L94O7qD+Z6q26t72v4gXCcnmvzlnqoZjJAKW1V3x0lztvPM0Y/7PeiEZ/C0/8b0A==" saltValue="Ncdmo47wkaoaEX+XjU9IBA==" spinCount="100000" sheet="1" formatColumns="0"/>
  <mergeCells count="3">
    <mergeCell ref="B11:F11"/>
    <mergeCell ref="B1:G2"/>
    <mergeCell ref="B3:G3"/>
  </mergeCells>
  <dataValidations count="1">
    <dataValidation type="whole" allowBlank="1" showInputMessage="1" showErrorMessage="1" sqref="E7:E10" xr:uid="{EBD5DDD6-E15D-41A6-9079-1E5197138638}">
      <formula1>0</formula1>
      <formula2>100</formula2>
    </dataValidation>
  </dataValidations>
  <hyperlinks>
    <hyperlink ref="D6" r:id="rId1" tooltip="Follow this link to view the Energy Star certified Commercial Ovens products page" xr:uid="{B3C93CE3-5CC8-4D70-883A-36CECE4C8567}"/>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6200351B-13FD-4336-85E2-636FC20C087C}">
          <x14:formula1>
            <xm:f>Calculations!$B$26:$B$28</xm:f>
          </x14:formula1>
          <xm:sqref>F7:F10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E245C-F07F-4638-807B-3B2E68AD8FA6}">
  <sheetPr codeName="Sheet8">
    <tabColor rgb="FFFFF8CA"/>
  </sheetPr>
  <dimension ref="B1:K11"/>
  <sheetViews>
    <sheetView zoomScale="80" zoomScaleNormal="80" workbookViewId="0">
      <selection activeCell="D23" sqref="D23"/>
    </sheetView>
  </sheetViews>
  <sheetFormatPr defaultColWidth="8.625" defaultRowHeight="14.25"/>
  <cols>
    <col min="1" max="1" width="3.625" style="1" customWidth="1"/>
    <col min="2" max="2" width="26.625" style="50" customWidth="1"/>
    <col min="3" max="5" width="18.125" style="47" customWidth="1"/>
    <col min="6" max="6" width="15.625" style="1" customWidth="1"/>
    <col min="7" max="7" width="20.125" style="1" bestFit="1" customWidth="1"/>
    <col min="8" max="8" width="20.125" style="1" customWidth="1"/>
    <col min="9" max="9" width="23.875" style="1" bestFit="1" customWidth="1"/>
    <col min="10" max="10" width="13.375" style="1" customWidth="1"/>
    <col min="11" max="11" width="18.125" style="1" bestFit="1" customWidth="1"/>
    <col min="12" max="12" width="13.625" style="1" customWidth="1"/>
    <col min="13" max="13" width="19.125" style="1" customWidth="1"/>
    <col min="14" max="14" width="15.625" style="1" customWidth="1"/>
    <col min="15" max="16384" width="8.625" style="1"/>
  </cols>
  <sheetData>
    <row r="1" spans="2:11">
      <c r="B1" s="846" t="s">
        <v>991</v>
      </c>
      <c r="C1" s="859"/>
      <c r="D1" s="859"/>
      <c r="E1" s="859"/>
      <c r="F1" s="859"/>
      <c r="J1" s="65"/>
      <c r="K1" s="66"/>
    </row>
    <row r="2" spans="2:11">
      <c r="B2" s="859"/>
      <c r="C2" s="859"/>
      <c r="D2" s="859"/>
      <c r="E2" s="859"/>
      <c r="F2" s="859"/>
      <c r="J2" s="65"/>
      <c r="K2" s="67"/>
    </row>
    <row r="3" spans="2:11">
      <c r="B3" s="847" t="s">
        <v>970</v>
      </c>
      <c r="C3" s="847"/>
      <c r="D3" s="847"/>
      <c r="E3" s="847"/>
      <c r="F3" s="847"/>
    </row>
    <row r="4" spans="2:11" ht="9" customHeight="1">
      <c r="B4" s="48"/>
      <c r="C4" s="45"/>
      <c r="D4" s="45"/>
      <c r="E4" s="45"/>
    </row>
    <row r="5" spans="2:11" s="24" customFormat="1" ht="24.95" customHeight="1" thickBot="1">
      <c r="B5" s="49" t="str">
        <f>Calculations!B101</f>
        <v>Beverage &amp; Snack Vending Machine</v>
      </c>
      <c r="C5" s="46"/>
      <c r="D5" s="46"/>
      <c r="E5" s="46"/>
    </row>
    <row r="6" spans="2:11" ht="24.95" customHeight="1">
      <c r="B6" s="77" t="s">
        <v>121</v>
      </c>
      <c r="C6" s="78" t="s">
        <v>123</v>
      </c>
      <c r="D6" s="78" t="s">
        <v>102</v>
      </c>
      <c r="E6" s="78" t="s">
        <v>104</v>
      </c>
      <c r="F6" s="79" t="s">
        <v>70</v>
      </c>
      <c r="G6" s="89" t="s">
        <v>84</v>
      </c>
      <c r="H6" s="80" t="s">
        <v>992</v>
      </c>
    </row>
    <row r="7" spans="2:11" ht="24.95" customHeight="1">
      <c r="B7" s="215">
        <v>0</v>
      </c>
      <c r="C7" s="272">
        <f>IFERROR(Calculations!I120*'Beverage Vending Machine'!F7,0)</f>
        <v>0</v>
      </c>
      <c r="D7" s="277"/>
      <c r="E7" s="277"/>
      <c r="F7" s="271">
        <v>1</v>
      </c>
      <c r="G7" s="158" t="s">
        <v>497</v>
      </c>
      <c r="H7" s="216"/>
    </row>
    <row r="8" spans="2:11" ht="24.95" customHeight="1">
      <c r="B8" s="215">
        <v>0</v>
      </c>
      <c r="C8" s="272">
        <f>IFERROR(Calculations!I121*'Beverage Vending Machine'!F8,0)</f>
        <v>0</v>
      </c>
      <c r="D8" s="277"/>
      <c r="E8" s="277"/>
      <c r="F8" s="271"/>
      <c r="G8" s="158"/>
      <c r="H8" s="216"/>
    </row>
    <row r="9" spans="2:11" s="25" customFormat="1" ht="24.95" customHeight="1">
      <c r="B9" s="215">
        <v>0</v>
      </c>
      <c r="C9" s="272">
        <f>IFERROR(Calculations!I122*'Beverage Vending Machine'!F9,0)</f>
        <v>0</v>
      </c>
      <c r="D9" s="277"/>
      <c r="E9" s="277"/>
      <c r="F9" s="271"/>
      <c r="G9" s="158"/>
      <c r="H9" s="216"/>
    </row>
    <row r="10" spans="2:11" ht="24.95" customHeight="1">
      <c r="B10" s="215">
        <v>0</v>
      </c>
      <c r="C10" s="272">
        <f>IFERROR(Calculations!I123*'Beverage Vending Machine'!F10,0)</f>
        <v>0</v>
      </c>
      <c r="D10" s="277"/>
      <c r="E10" s="277"/>
      <c r="F10" s="271"/>
      <c r="G10" s="158"/>
      <c r="H10" s="216"/>
    </row>
    <row r="11" spans="2:11" ht="16.5" thickBot="1">
      <c r="B11" s="217">
        <f>SUM(B7:B10)</f>
        <v>0</v>
      </c>
      <c r="C11" s="212">
        <f>SUM(C7:C10)</f>
        <v>0</v>
      </c>
      <c r="D11" s="868" t="s">
        <v>194</v>
      </c>
      <c r="E11" s="869"/>
      <c r="F11" s="869"/>
      <c r="G11" s="869"/>
      <c r="H11" s="870"/>
    </row>
  </sheetData>
  <sheetProtection formatColumns="0"/>
  <mergeCells count="3">
    <mergeCell ref="B1:F2"/>
    <mergeCell ref="B3:F3"/>
    <mergeCell ref="D11:H11"/>
  </mergeCells>
  <dataValidations count="1">
    <dataValidation type="whole" allowBlank="1" showInputMessage="1" showErrorMessage="1" sqref="F7:F10" xr:uid="{0FBC83C1-F5DA-42DF-A857-BAB95ED6D375}">
      <formula1>0</formula1>
      <formula2>1000</formula2>
    </dataValidation>
  </dataValidations>
  <pageMargins left="0.5" right="0.5" top="0.5" bottom="0.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3D5BA7-167E-455B-B0BC-7F45BCA2C8FE}">
          <x14:formula1>
            <xm:f>Calculations!#REF!</xm:f>
          </x14:formula1>
          <xm:sqref>G7:G10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D8FC-5743-435B-A966-2CB6AC542510}">
  <sheetPr codeName="Sheet12">
    <tabColor rgb="FFFFF8CA"/>
  </sheetPr>
  <dimension ref="B1:Q11"/>
  <sheetViews>
    <sheetView zoomScaleNormal="100" workbookViewId="0">
      <selection activeCell="G8" sqref="G8"/>
    </sheetView>
  </sheetViews>
  <sheetFormatPr defaultColWidth="8.625" defaultRowHeight="14.25"/>
  <cols>
    <col min="1" max="1" width="3.625" style="1" customWidth="1"/>
    <col min="2" max="4" width="26.625" style="50" customWidth="1"/>
    <col min="5" max="8" width="18.125" style="47" customWidth="1"/>
    <col min="9" max="9" width="21" style="47" customWidth="1"/>
    <col min="10" max="12" width="20.5" style="47" customWidth="1"/>
    <col min="13" max="13" width="22.875" style="1" hidden="1" customWidth="1"/>
    <col min="14" max="14" width="28.125" style="1" customWidth="1"/>
    <col min="15" max="15" width="23.875" style="1" bestFit="1" customWidth="1"/>
    <col min="16" max="16" width="13.375" style="1" customWidth="1"/>
    <col min="17" max="17" width="18.125" style="1" bestFit="1" customWidth="1"/>
    <col min="18" max="18" width="13.625" style="1" customWidth="1"/>
    <col min="19" max="19" width="19.125" style="1" customWidth="1"/>
    <col min="20" max="20" width="15.625" style="1" customWidth="1"/>
    <col min="21" max="16384" width="8.625" style="1"/>
  </cols>
  <sheetData>
    <row r="1" spans="2:17">
      <c r="B1" s="867" t="s">
        <v>339</v>
      </c>
      <c r="C1" s="867"/>
      <c r="D1" s="867"/>
      <c r="E1" s="867"/>
      <c r="F1" s="867"/>
      <c r="G1" s="867"/>
      <c r="H1" s="867"/>
      <c r="I1" s="867"/>
      <c r="J1" s="867"/>
      <c r="K1" s="867"/>
      <c r="L1" s="867"/>
      <c r="M1" s="867"/>
      <c r="P1" s="116"/>
      <c r="Q1" s="162"/>
    </row>
    <row r="2" spans="2:17">
      <c r="B2" s="867"/>
      <c r="C2" s="867"/>
      <c r="D2" s="867"/>
      <c r="E2" s="867"/>
      <c r="F2" s="867"/>
      <c r="G2" s="867"/>
      <c r="H2" s="867"/>
      <c r="I2" s="867"/>
      <c r="J2" s="867"/>
      <c r="K2" s="867"/>
      <c r="L2" s="867"/>
      <c r="M2" s="867"/>
      <c r="P2" s="116"/>
      <c r="Q2" s="164"/>
    </row>
    <row r="3" spans="2:17">
      <c r="B3" s="787" t="s">
        <v>970</v>
      </c>
      <c r="C3" s="787"/>
      <c r="D3" s="787"/>
      <c r="E3" s="787"/>
      <c r="F3" s="787"/>
      <c r="G3" s="787"/>
      <c r="H3" s="787"/>
      <c r="I3" s="787"/>
      <c r="J3" s="787"/>
      <c r="K3" s="787"/>
      <c r="L3" s="787"/>
      <c r="M3" s="787"/>
    </row>
    <row r="4" spans="2:17" ht="9" customHeight="1">
      <c r="B4" s="739"/>
      <c r="C4" s="739"/>
      <c r="D4" s="739"/>
      <c r="E4" s="740"/>
      <c r="F4" s="740"/>
      <c r="G4" s="740"/>
      <c r="H4" s="740"/>
      <c r="I4" s="740"/>
      <c r="J4" s="740"/>
      <c r="K4" s="740"/>
      <c r="L4" s="740"/>
      <c r="M4" s="732"/>
    </row>
    <row r="5" spans="2:17" s="24" customFormat="1" ht="24.95" customHeight="1" thickBot="1">
      <c r="B5" s="731" t="s">
        <v>993</v>
      </c>
      <c r="C5" s="731"/>
      <c r="D5" s="731"/>
      <c r="E5" s="741"/>
      <c r="F5" s="741"/>
      <c r="G5" s="741"/>
      <c r="H5" s="741"/>
      <c r="I5" s="741"/>
      <c r="J5" s="741"/>
      <c r="K5" s="741"/>
      <c r="L5" s="741"/>
      <c r="M5" s="742"/>
    </row>
    <row r="6" spans="2:17" ht="50.45" customHeight="1">
      <c r="B6" s="718" t="s">
        <v>102</v>
      </c>
      <c r="C6" s="719" t="s">
        <v>104</v>
      </c>
      <c r="D6" s="720" t="s">
        <v>315</v>
      </c>
      <c r="E6" s="743" t="s">
        <v>1017</v>
      </c>
      <c r="F6" s="743" t="s">
        <v>1018</v>
      </c>
      <c r="G6" s="719" t="s">
        <v>384</v>
      </c>
      <c r="H6" s="723" t="s">
        <v>110</v>
      </c>
      <c r="I6" s="734" t="s">
        <v>1015</v>
      </c>
      <c r="J6" s="734" t="s">
        <v>1016</v>
      </c>
      <c r="K6" s="734" t="s">
        <v>994</v>
      </c>
      <c r="L6" s="719" t="s">
        <v>123</v>
      </c>
      <c r="M6" s="719" t="s">
        <v>254</v>
      </c>
      <c r="N6" s="735" t="s">
        <v>881</v>
      </c>
    </row>
    <row r="7" spans="2:17" ht="24.95" customHeight="1">
      <c r="B7" s="210"/>
      <c r="C7" s="270"/>
      <c r="D7" s="270"/>
      <c r="E7" s="581"/>
      <c r="F7" s="582"/>
      <c r="G7" s="583"/>
      <c r="H7" s="274"/>
      <c r="I7" s="269">
        <f>IF(Calculations!P15&lt;0,0,IFERROR(ROUND(Calculations!P15,4),0))</f>
        <v>0</v>
      </c>
      <c r="J7" s="269">
        <f>IF(Calculations!Q15&lt;0,0,IFERROR(ROUND(Calculations!Q15,4),0))</f>
        <v>0</v>
      </c>
      <c r="K7" s="269">
        <f>IF(Calculations!R15&lt;0,0,IFERROR(ROUND(Calculations!R15,4),0))</f>
        <v>0</v>
      </c>
      <c r="L7" s="269">
        <f>IF(Calculations!S15&lt;0,0,IFERROR(ROUND(Calculations!S15,4),0))</f>
        <v>0</v>
      </c>
      <c r="M7" s="272" t="str">
        <f>IFERROR(ROUND(L7*Incentives!$C$2+'Commercial Fryer'!K7*Incentives!$C$3,2),"")</f>
        <v/>
      </c>
      <c r="N7" s="180" t="str">
        <f>IFERROR(ROUND(M7*Summary!$G$36/Summary!$H$36,2),"")</f>
        <v/>
      </c>
    </row>
    <row r="8" spans="2:17" ht="24.95" customHeight="1">
      <c r="B8" s="210"/>
      <c r="C8" s="270"/>
      <c r="D8" s="270"/>
      <c r="E8" s="581"/>
      <c r="F8" s="582"/>
      <c r="G8" s="583"/>
      <c r="H8" s="274"/>
      <c r="I8" s="269">
        <f>IF(Calculations!P16&lt;0,0,IFERROR(ROUND(Calculations!P16,4),0))</f>
        <v>0</v>
      </c>
      <c r="J8" s="269">
        <f>IF(Calculations!Q16&lt;0,0,IFERROR(ROUND(Calculations!Q16,4),0))</f>
        <v>0</v>
      </c>
      <c r="K8" s="269">
        <f>IF(Calculations!R16&lt;0,0,IFERROR(ROUND(Calculations!R16,4),0))</f>
        <v>0</v>
      </c>
      <c r="L8" s="269">
        <f>IF(Calculations!S16&lt;0,0,IFERROR(ROUND(Calculations!S16,4),0))</f>
        <v>0</v>
      </c>
      <c r="M8" s="272" t="str">
        <f>IFERROR(ROUND(L8*Incentives!$C$2+'Commercial Fryer'!K8*Incentives!$C$3,2),"")</f>
        <v/>
      </c>
      <c r="N8" s="180" t="str">
        <f>IFERROR(ROUND(M8*Summary!$G$36/Summary!$H$36,2),"")</f>
        <v/>
      </c>
    </row>
    <row r="9" spans="2:17" ht="24.95" customHeight="1">
      <c r="B9" s="210"/>
      <c r="C9" s="270"/>
      <c r="D9" s="270"/>
      <c r="E9" s="581"/>
      <c r="F9" s="582"/>
      <c r="G9" s="583"/>
      <c r="H9" s="274"/>
      <c r="I9" s="269">
        <f>IF(Calculations!P17&lt;0,0,IFERROR(ROUND(Calculations!P17,4),0))</f>
        <v>0</v>
      </c>
      <c r="J9" s="269">
        <f>IF(Calculations!Q17&lt;0,0,IFERROR(ROUND(Calculations!Q17,4),0))</f>
        <v>0</v>
      </c>
      <c r="K9" s="269">
        <f>IF(Calculations!R17&lt;0,0,IFERROR(ROUND(Calculations!R17,4),0))</f>
        <v>0</v>
      </c>
      <c r="L9" s="269">
        <f>IF(Calculations!S17&lt;0,0,IFERROR(ROUND(Calculations!S17,4),0))</f>
        <v>0</v>
      </c>
      <c r="M9" s="272" t="str">
        <f>IFERROR(ROUND(L9*Incentives!$C$2+'Commercial Fryer'!K9*Incentives!$C$3,2),"")</f>
        <v/>
      </c>
      <c r="N9" s="180" t="str">
        <f>IFERROR(ROUND(M9*Summary!$G$36/Summary!$H$36,2),"")</f>
        <v/>
      </c>
    </row>
    <row r="10" spans="2:17" ht="24.95" customHeight="1">
      <c r="B10" s="210"/>
      <c r="C10" s="270"/>
      <c r="D10" s="270"/>
      <c r="E10" s="581"/>
      <c r="F10" s="582"/>
      <c r="G10" s="583"/>
      <c r="H10" s="274"/>
      <c r="I10" s="269">
        <f>IF(Calculations!P18&lt;0,0,IFERROR(ROUND(Calculations!P18,4),0))</f>
        <v>0</v>
      </c>
      <c r="J10" s="269">
        <f>IF(Calculations!Q18&lt;0,0,IFERROR(ROUND(Calculations!Q18,4),0))</f>
        <v>0</v>
      </c>
      <c r="K10" s="269">
        <f>IF(Calculations!R18&lt;0,0,IFERROR(ROUND(Calculations!R18,4),0))</f>
        <v>0</v>
      </c>
      <c r="L10" s="269">
        <f>IF(Calculations!S18&lt;0,0,IFERROR(ROUND(Calculations!S18,4),0))</f>
        <v>0</v>
      </c>
      <c r="M10" s="272" t="str">
        <f>IFERROR(ROUND(L10*Incentives!$C$2+'Commercial Fryer'!K10*Incentives!$C$3,2),"")</f>
        <v/>
      </c>
      <c r="N10" s="180" t="str">
        <f>IFERROR(ROUND(M10*Summary!$G$36/Summary!$H$36,2),"")</f>
        <v/>
      </c>
    </row>
    <row r="11" spans="2:17" s="25" customFormat="1" ht="24.95" customHeight="1" thickBot="1">
      <c r="B11" s="865" t="s">
        <v>194</v>
      </c>
      <c r="C11" s="866"/>
      <c r="D11" s="866"/>
      <c r="E11" s="866"/>
      <c r="F11" s="866"/>
      <c r="G11" s="866"/>
      <c r="H11" s="866"/>
      <c r="I11" s="736">
        <f t="shared" ref="I11:N11" si="0">SUM(I7:I10)</f>
        <v>0</v>
      </c>
      <c r="J11" s="736">
        <f t="shared" si="0"/>
        <v>0</v>
      </c>
      <c r="K11" s="736">
        <f t="shared" si="0"/>
        <v>0</v>
      </c>
      <c r="L11" s="736">
        <f t="shared" si="0"/>
        <v>0</v>
      </c>
      <c r="M11" s="736">
        <f t="shared" si="0"/>
        <v>0</v>
      </c>
      <c r="N11" s="738">
        <f t="shared" si="0"/>
        <v>0</v>
      </c>
    </row>
  </sheetData>
  <sheetProtection algorithmName="SHA-512" hashValue="NDgpTihhl2Px5ouktn2TZrNYYT9EI6tVPxSmfyGkj0HtrWJ5SBgkCriDH5I09GylS02gjCpF95WrY86/FlCOxQ==" saltValue="CfEfKIW46ZvRqaDcwC4gSQ==" spinCount="100000" sheet="1" formatColumns="0"/>
  <mergeCells count="3">
    <mergeCell ref="B1:M2"/>
    <mergeCell ref="B3:M3"/>
    <mergeCell ref="B11:H11"/>
  </mergeCells>
  <dataValidations count="1">
    <dataValidation type="whole" allowBlank="1" showInputMessage="1" showErrorMessage="1" sqref="H7:H10" xr:uid="{95C00FB1-4768-4630-990F-E14D2370CA8D}">
      <formula1>0</formula1>
      <formula2>100</formula2>
    </dataValidation>
  </dataValidations>
  <hyperlinks>
    <hyperlink ref="D6" r:id="rId1" tooltip="Follow this link to view the Energy Star certified Commercial Fryers products page" xr:uid="{7AA8D390-4AC9-4313-9143-98E6261EDCAB}"/>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7BA99A91-271C-49F0-AF15-439EF669E13E}">
          <x14:formula1>
            <xm:f>Calculations!$F$5:$F$6</xm:f>
          </x14:formula1>
          <xm:sqref>G7:G10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1384E-8F2E-405A-A34C-DCD16E826FEB}">
  <sheetPr codeName="Sheet13">
    <tabColor rgb="FFFFF8CA"/>
  </sheetPr>
  <dimension ref="B1:O11"/>
  <sheetViews>
    <sheetView zoomScaleNormal="100" workbookViewId="0">
      <selection activeCell="D8" sqref="D8"/>
    </sheetView>
  </sheetViews>
  <sheetFormatPr defaultColWidth="8.625" defaultRowHeight="14.25"/>
  <cols>
    <col min="1" max="1" width="3.625" style="1" customWidth="1"/>
    <col min="2" max="2" width="26.625" style="50" customWidth="1"/>
    <col min="3" max="3" width="18.125" style="47" customWidth="1"/>
    <col min="4" max="4" width="23" style="47" customWidth="1"/>
    <col min="5" max="7" width="18.125" style="47" customWidth="1"/>
    <col min="8" max="8" width="20.625" style="47" customWidth="1"/>
    <col min="9" max="9" width="20.5" style="47" customWidth="1"/>
    <col min="10" max="10" width="18.125" style="47" customWidth="1"/>
    <col min="11" max="11" width="22.25" style="1" hidden="1" customWidth="1"/>
    <col min="12" max="12" width="28.125" style="1" customWidth="1"/>
    <col min="13" max="13" width="23.875" style="1" bestFit="1" customWidth="1"/>
    <col min="14" max="14" width="13.375" style="1" customWidth="1"/>
    <col min="15" max="15" width="18.125" style="1" bestFit="1" customWidth="1"/>
    <col min="16" max="16" width="13.625" style="1" customWidth="1"/>
    <col min="17" max="17" width="19.125" style="1" customWidth="1"/>
    <col min="18" max="18" width="15.625" style="1" customWidth="1"/>
    <col min="19" max="16384" width="8.625" style="1"/>
  </cols>
  <sheetData>
    <row r="1" spans="2:15">
      <c r="B1" s="867" t="s">
        <v>340</v>
      </c>
      <c r="C1" s="867"/>
      <c r="D1" s="867"/>
      <c r="E1" s="867"/>
      <c r="F1" s="867"/>
      <c r="G1" s="867"/>
      <c r="H1" s="867"/>
      <c r="I1" s="867"/>
      <c r="J1" s="867"/>
      <c r="K1" s="867"/>
      <c r="N1" s="116"/>
      <c r="O1" s="162"/>
    </row>
    <row r="2" spans="2:15">
      <c r="B2" s="867"/>
      <c r="C2" s="867"/>
      <c r="D2" s="867"/>
      <c r="E2" s="867"/>
      <c r="F2" s="867"/>
      <c r="G2" s="867"/>
      <c r="H2" s="867"/>
      <c r="I2" s="867"/>
      <c r="J2" s="867"/>
      <c r="K2" s="867"/>
      <c r="N2" s="116"/>
      <c r="O2" s="164"/>
    </row>
    <row r="3" spans="2:15">
      <c r="B3" s="787" t="s">
        <v>970</v>
      </c>
      <c r="C3" s="787"/>
      <c r="D3" s="787"/>
      <c r="E3" s="787"/>
      <c r="F3" s="787"/>
      <c r="G3" s="787"/>
      <c r="H3" s="787"/>
      <c r="I3" s="787"/>
      <c r="J3" s="787"/>
      <c r="K3" s="787"/>
    </row>
    <row r="4" spans="2:15" ht="9" customHeight="1">
      <c r="B4" s="739"/>
      <c r="C4" s="740"/>
      <c r="D4" s="740"/>
      <c r="E4" s="740"/>
      <c r="F4" s="740"/>
      <c r="G4" s="740"/>
      <c r="H4" s="740"/>
      <c r="I4" s="740"/>
      <c r="J4" s="740"/>
      <c r="K4" s="732"/>
    </row>
    <row r="5" spans="2:15" s="24" customFormat="1" ht="24.95" customHeight="1" thickBot="1">
      <c r="B5" s="731" t="s">
        <v>995</v>
      </c>
      <c r="C5" s="741"/>
      <c r="D5" s="741"/>
      <c r="E5" s="741"/>
      <c r="F5" s="741"/>
      <c r="G5" s="741"/>
      <c r="H5" s="741"/>
      <c r="I5" s="741"/>
      <c r="J5" s="741"/>
      <c r="K5" s="742"/>
    </row>
    <row r="6" spans="2:15" ht="24.95" customHeight="1">
      <c r="B6" s="718" t="s">
        <v>102</v>
      </c>
      <c r="C6" s="719" t="s">
        <v>104</v>
      </c>
      <c r="D6" s="720" t="s">
        <v>315</v>
      </c>
      <c r="E6" s="719" t="s">
        <v>996</v>
      </c>
      <c r="F6" s="723" t="s">
        <v>110</v>
      </c>
      <c r="G6" s="734" t="s">
        <v>1015</v>
      </c>
      <c r="H6" s="734" t="s">
        <v>1016</v>
      </c>
      <c r="I6" s="734" t="s">
        <v>896</v>
      </c>
      <c r="J6" s="719" t="s">
        <v>123</v>
      </c>
      <c r="K6" s="719" t="s">
        <v>254</v>
      </c>
      <c r="L6" s="735" t="s">
        <v>881</v>
      </c>
    </row>
    <row r="7" spans="2:15" ht="24.95" customHeight="1">
      <c r="B7" s="210"/>
      <c r="C7" s="270"/>
      <c r="D7" s="270"/>
      <c r="E7" s="277"/>
      <c r="F7" s="271"/>
      <c r="G7" s="269">
        <f>IF(Calculations!G262&lt;0,0,IFERROR(ROUND(Calculations!G262,4),0))</f>
        <v>0</v>
      </c>
      <c r="H7" s="269">
        <f>IF(Calculations!H262&lt;0,0,IFERROR(ROUND(Calculations!H262,4),0))</f>
        <v>0</v>
      </c>
      <c r="I7" s="584">
        <f>IF(Calculations!I262&lt;0,0,IFERROR(ROUND(Calculations!I262,4),0))</f>
        <v>0</v>
      </c>
      <c r="J7" s="276">
        <f>IF(Calculations!J262&lt;0,0,IFERROR(ROUND(Calculations!J262,4),0))</f>
        <v>0</v>
      </c>
      <c r="K7" s="272" t="str">
        <f>IFERROR(ROUND(J7*Incentives!$C$2+'Hot Food Holding Cabinet'!I7*Incentives!$C$3,2),"")</f>
        <v/>
      </c>
      <c r="L7" s="180" t="str">
        <f>IFERROR(ROUND(K7*Summary!$G$36/Summary!$H$36,2),"")</f>
        <v/>
      </c>
    </row>
    <row r="8" spans="2:15" ht="24.95" customHeight="1">
      <c r="B8" s="210"/>
      <c r="C8" s="270"/>
      <c r="D8" s="270"/>
      <c r="E8" s="277"/>
      <c r="F8" s="271"/>
      <c r="G8" s="269">
        <f>IF(Calculations!G263&lt;0,0,IFERROR(ROUND(Calculations!G263,4),0))</f>
        <v>0</v>
      </c>
      <c r="H8" s="269">
        <f>IF(Calculations!H263&lt;0,0,IFERROR(ROUND(Calculations!H263,4),0))</f>
        <v>0</v>
      </c>
      <c r="I8" s="584">
        <f>IF(Calculations!I263&lt;0,0,IFERROR(ROUND(Calculations!I263,4),0))</f>
        <v>0</v>
      </c>
      <c r="J8" s="276">
        <f>IF(Calculations!J263&lt;0,0,IFERROR(ROUND(Calculations!J263,4),0))</f>
        <v>0</v>
      </c>
      <c r="K8" s="272" t="str">
        <f>IFERROR(ROUND(J8*Incentives!$C$2+'Hot Food Holding Cabinet'!I8*Incentives!$C$3,2),"")</f>
        <v/>
      </c>
      <c r="L8" s="180" t="str">
        <f>IFERROR(ROUND(K8*Summary!$G$36/Summary!$H$36,2),"")</f>
        <v/>
      </c>
    </row>
    <row r="9" spans="2:15" ht="24.95" customHeight="1">
      <c r="B9" s="210"/>
      <c r="C9" s="270"/>
      <c r="D9" s="270"/>
      <c r="E9" s="277"/>
      <c r="F9" s="271"/>
      <c r="G9" s="269">
        <f>IF(Calculations!G264&lt;0,0,IFERROR(ROUND(Calculations!G264,4),0))</f>
        <v>0</v>
      </c>
      <c r="H9" s="269">
        <f>IF(Calculations!H264&lt;0,0,IFERROR(ROUND(Calculations!H264,4),0))</f>
        <v>0</v>
      </c>
      <c r="I9" s="584">
        <f>IF(Calculations!I264&lt;0,0,IFERROR(ROUND(Calculations!I264,4),0))</f>
        <v>0</v>
      </c>
      <c r="J9" s="276">
        <f>IF(Calculations!J264&lt;0,0,IFERROR(ROUND(Calculations!J264,4),0))</f>
        <v>0</v>
      </c>
      <c r="K9" s="272" t="str">
        <f>IFERROR(ROUND(J9*Incentives!$C$2+'Hot Food Holding Cabinet'!I9*Incentives!$C$3,2),"")</f>
        <v/>
      </c>
      <c r="L9" s="180" t="str">
        <f>IFERROR(ROUND(K9*Summary!$G$36/Summary!$H$36,2),"")</f>
        <v/>
      </c>
    </row>
    <row r="10" spans="2:15" ht="24.95" customHeight="1">
      <c r="B10" s="210"/>
      <c r="C10" s="270"/>
      <c r="D10" s="270"/>
      <c r="E10" s="277"/>
      <c r="F10" s="271"/>
      <c r="G10" s="269">
        <f>IF(Calculations!G265&lt;0,0,IFERROR(ROUND(Calculations!G265,4),0))</f>
        <v>0</v>
      </c>
      <c r="H10" s="269">
        <f>IF(Calculations!H265&lt;0,0,IFERROR(ROUND(Calculations!H265,4),0))</f>
        <v>0</v>
      </c>
      <c r="I10" s="584">
        <f>IF(Calculations!I265&lt;0,0,IFERROR(ROUND(Calculations!I265,4),0))</f>
        <v>0</v>
      </c>
      <c r="J10" s="276">
        <f>IF(Calculations!J265&lt;0,0,IFERROR(ROUND(Calculations!J265,4),0))</f>
        <v>0</v>
      </c>
      <c r="K10" s="272" t="str">
        <f>IFERROR(ROUND(J10*Incentives!$C$2+'Hot Food Holding Cabinet'!I10*Incentives!$C$3,2),"")</f>
        <v/>
      </c>
      <c r="L10" s="180" t="str">
        <f>IFERROR(ROUND(K10*Summary!$G$36/Summary!$H$36,2),"")</f>
        <v/>
      </c>
    </row>
    <row r="11" spans="2:15" s="25" customFormat="1" ht="24.95" customHeight="1" thickBot="1">
      <c r="B11" s="865" t="s">
        <v>194</v>
      </c>
      <c r="C11" s="865"/>
      <c r="D11" s="865"/>
      <c r="E11" s="865"/>
      <c r="F11" s="865"/>
      <c r="G11" s="726">
        <f>SUM(G7:G10)</f>
        <v>0</v>
      </c>
      <c r="H11" s="726">
        <f>SUM(H7:H10)</f>
        <v>0</v>
      </c>
      <c r="I11" s="736">
        <f>SUM(I7:I10)</f>
        <v>0</v>
      </c>
      <c r="J11" s="744">
        <f>SUM(J7:J10)</f>
        <v>0</v>
      </c>
      <c r="K11" s="737"/>
      <c r="L11" s="738">
        <f>SUM(L7:L10)</f>
        <v>0</v>
      </c>
    </row>
  </sheetData>
  <sheetProtection algorithmName="SHA-512" hashValue="hKI8DT/UvhOBW3udB9P83+l+30O1FrX34RoUwZJ5hxqnIdUvtlvYh4aquq1RO0vsQXlnM/k67XUaK54UgDuIDA==" saltValue="JHHZ1wXayFlhKX6rvevzRg==" spinCount="100000" sheet="1" formatColumns="0"/>
  <mergeCells count="3">
    <mergeCell ref="B1:K2"/>
    <mergeCell ref="B3:K3"/>
    <mergeCell ref="B11:F11"/>
  </mergeCells>
  <dataValidations count="1">
    <dataValidation type="whole" allowBlank="1" showInputMessage="1" showErrorMessage="1" sqref="F7:F10" xr:uid="{8DA0F0B5-5C13-4890-9E93-0DFBFB37C42A}">
      <formula1>0</formula1>
      <formula2>100</formula2>
    </dataValidation>
  </dataValidations>
  <hyperlinks>
    <hyperlink ref="D6" r:id="rId1" tooltip="Follow this link to view the Energy Star certified Hot Food Holding Cabinets products page" xr:uid="{843BB69E-1C11-40B7-9D59-CD7DC1CFCE5C}"/>
  </hyperlinks>
  <pageMargins left="0.5" right="0.5" top="0.5" bottom="0.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504F-D837-491D-81A7-D151969E1222}">
  <sheetPr codeName="Sheet14">
    <tabColor rgb="FFFFF8CA"/>
  </sheetPr>
  <dimension ref="B1:P11"/>
  <sheetViews>
    <sheetView zoomScaleNormal="100" workbookViewId="0">
      <selection activeCell="F8" sqref="F8"/>
    </sheetView>
  </sheetViews>
  <sheetFormatPr defaultColWidth="8.625" defaultRowHeight="14.25"/>
  <cols>
    <col min="1" max="1" width="3.625" style="1" customWidth="1"/>
    <col min="2" max="4" width="26.625" style="50" customWidth="1"/>
    <col min="5" max="5" width="24.5" style="47" customWidth="1"/>
    <col min="6" max="6" width="25.625" style="47" customWidth="1"/>
    <col min="7" max="8" width="18.125" style="47" customWidth="1"/>
    <col min="9" max="9" width="20.875" style="47" customWidth="1"/>
    <col min="10" max="10" width="24.875" style="47" customWidth="1"/>
    <col min="11" max="11" width="25" style="1" customWidth="1"/>
    <col min="12" max="12" width="25" style="1" hidden="1" customWidth="1"/>
    <col min="13" max="13" width="28.125" style="1" customWidth="1"/>
    <col min="14" max="14" width="23.875" style="1" bestFit="1" customWidth="1"/>
    <col min="15" max="15" width="13.375" style="1" customWidth="1"/>
    <col min="16" max="16" width="18.125" style="1" bestFit="1" customWidth="1"/>
    <col min="17" max="17" width="13.625" style="1" customWidth="1"/>
    <col min="18" max="18" width="19.125" style="1" customWidth="1"/>
    <col min="19" max="19" width="15.625" style="1" customWidth="1"/>
    <col min="20" max="16384" width="8.625" style="1"/>
  </cols>
  <sheetData>
    <row r="1" spans="2:16" ht="34.5">
      <c r="B1" s="867" t="s">
        <v>341</v>
      </c>
      <c r="C1" s="867"/>
      <c r="D1" s="867"/>
      <c r="E1" s="867"/>
      <c r="F1" s="867"/>
      <c r="G1" s="867"/>
      <c r="H1" s="867"/>
      <c r="I1" s="867"/>
      <c r="J1" s="867"/>
      <c r="K1" s="867"/>
      <c r="L1" s="106"/>
      <c r="O1" s="116"/>
      <c r="P1" s="162"/>
    </row>
    <row r="2" spans="2:16" ht="34.5">
      <c r="B2" s="867"/>
      <c r="C2" s="867"/>
      <c r="D2" s="867"/>
      <c r="E2" s="867"/>
      <c r="F2" s="867"/>
      <c r="G2" s="867"/>
      <c r="H2" s="867"/>
      <c r="I2" s="867"/>
      <c r="J2" s="867"/>
      <c r="K2" s="867"/>
      <c r="L2" s="106"/>
      <c r="O2" s="116"/>
      <c r="P2" s="164"/>
    </row>
    <row r="3" spans="2:16">
      <c r="B3" s="787" t="s">
        <v>970</v>
      </c>
      <c r="C3" s="787"/>
      <c r="D3" s="787"/>
      <c r="E3" s="787"/>
      <c r="F3" s="787"/>
      <c r="G3" s="787"/>
      <c r="H3" s="787"/>
      <c r="I3" s="787"/>
      <c r="J3" s="787"/>
      <c r="K3" s="787"/>
      <c r="L3" s="82"/>
    </row>
    <row r="4" spans="2:16" ht="9" customHeight="1">
      <c r="B4" s="739"/>
      <c r="C4" s="739"/>
      <c r="D4" s="739"/>
      <c r="E4" s="740"/>
      <c r="F4" s="740"/>
      <c r="G4" s="740"/>
      <c r="H4" s="740"/>
      <c r="I4" s="740"/>
      <c r="J4" s="740"/>
      <c r="K4" s="732"/>
    </row>
    <row r="5" spans="2:16" s="24" customFormat="1" ht="24.95" customHeight="1" thickBot="1">
      <c r="B5" s="731" t="s">
        <v>997</v>
      </c>
      <c r="C5" s="731"/>
      <c r="D5" s="731"/>
      <c r="E5" s="741"/>
      <c r="F5" s="741"/>
      <c r="G5" s="741"/>
      <c r="H5" s="741"/>
      <c r="I5" s="741"/>
      <c r="J5" s="741"/>
      <c r="K5" s="742"/>
    </row>
    <row r="6" spans="2:16" ht="24.95" customHeight="1">
      <c r="B6" s="718" t="s">
        <v>102</v>
      </c>
      <c r="C6" s="719" t="s">
        <v>104</v>
      </c>
      <c r="D6" s="720" t="s">
        <v>315</v>
      </c>
      <c r="E6" s="719" t="s">
        <v>998</v>
      </c>
      <c r="F6" s="723" t="s">
        <v>781</v>
      </c>
      <c r="G6" s="723" t="s">
        <v>110</v>
      </c>
      <c r="H6" s="734" t="s">
        <v>1015</v>
      </c>
      <c r="I6" s="734" t="s">
        <v>1016</v>
      </c>
      <c r="J6" s="734" t="s">
        <v>896</v>
      </c>
      <c r="K6" s="719" t="s">
        <v>123</v>
      </c>
      <c r="L6" s="719" t="s">
        <v>254</v>
      </c>
      <c r="M6" s="735" t="s">
        <v>881</v>
      </c>
    </row>
    <row r="7" spans="2:16" ht="24.95" customHeight="1">
      <c r="B7" s="210"/>
      <c r="C7" s="270"/>
      <c r="D7" s="270"/>
      <c r="E7" s="277"/>
      <c r="F7" s="271"/>
      <c r="G7" s="271"/>
      <c r="H7" s="269">
        <f>IF(Calculations!P375&lt;0,0,IF(G7="",0,ROUND(Calculations!P375,4)))</f>
        <v>0</v>
      </c>
      <c r="I7" s="269">
        <f>IF(Calculations!Q375&lt;0,0,IF(G7="",0,ROUND(Calculations!Q375,4)))</f>
        <v>0</v>
      </c>
      <c r="J7" s="269">
        <f>IF(Calculations!R375&lt;0,0,IFERROR(ROUND(Calculations!R375,4),0))</f>
        <v>0</v>
      </c>
      <c r="K7" s="276">
        <f>IF(Calculations!O375&lt;0,0,IFERROR(ROUND(Calculations!O375,2),"0.00"))</f>
        <v>0</v>
      </c>
      <c r="L7" s="272" t="str">
        <f>IFERROR(ROUND(K7*Incentives!$C$2+'Commercial Dishwasher'!J7*Incentives!$C$3,2),"")</f>
        <v/>
      </c>
      <c r="M7" s="180" t="str">
        <f>IFERROR(ROUND(L7*Summary!$G$36/Summary!$H$36,2),"")</f>
        <v/>
      </c>
    </row>
    <row r="8" spans="2:16" ht="24.95" customHeight="1">
      <c r="B8" s="210"/>
      <c r="C8" s="270"/>
      <c r="D8" s="270"/>
      <c r="E8" s="277"/>
      <c r="F8" s="271"/>
      <c r="G8" s="271"/>
      <c r="H8" s="269">
        <f>IF(Calculations!P376&lt;0,0,IF(G8="",0,ROUND(Calculations!P376,4)))</f>
        <v>0</v>
      </c>
      <c r="I8" s="269">
        <f>IF(Calculations!Q376&lt;0,0,IF(G8="",0,ROUND(Calculations!Q376,4)))</f>
        <v>0</v>
      </c>
      <c r="J8" s="269">
        <f>IF(Calculations!R376&lt;0,0,IFERROR(ROUND(Calculations!R376,4),0))</f>
        <v>0</v>
      </c>
      <c r="K8" s="276">
        <f>IF(Calculations!O376&lt;0,0,IFERROR(ROUND(Calculations!O376,2),"0.00"))</f>
        <v>0</v>
      </c>
      <c r="L8" s="272" t="str">
        <f>IFERROR(ROUND(K8*Incentives!$C$2+'Commercial Dishwasher'!J8*Incentives!$C$3,2),"")</f>
        <v/>
      </c>
      <c r="M8" s="180" t="str">
        <f>IFERROR(ROUND(L8*Summary!$G$36/Summary!$H$36,2),"")</f>
        <v/>
      </c>
    </row>
    <row r="9" spans="2:16" ht="24.95" customHeight="1">
      <c r="B9" s="210"/>
      <c r="C9" s="270"/>
      <c r="D9" s="270"/>
      <c r="E9" s="277"/>
      <c r="F9" s="271"/>
      <c r="G9" s="271"/>
      <c r="H9" s="269">
        <f>IF(Calculations!P377&lt;0,0,IF(G9="",0,ROUND(Calculations!P377,4)))</f>
        <v>0</v>
      </c>
      <c r="I9" s="269">
        <f>IF(Calculations!Q377&lt;0,0,IF(G9="",0,ROUND(Calculations!Q377,4)))</f>
        <v>0</v>
      </c>
      <c r="J9" s="269">
        <f>IF(Calculations!R377&lt;0,0,IFERROR(ROUND(Calculations!R377,4),0))</f>
        <v>0</v>
      </c>
      <c r="K9" s="276">
        <f>IF(Calculations!O377&lt;0,0,IFERROR(ROUND(Calculations!O377,2),"0.00"))</f>
        <v>0</v>
      </c>
      <c r="L9" s="272" t="str">
        <f>IFERROR(ROUND(K9*Incentives!$C$2+'Commercial Dishwasher'!J9*Incentives!$C$3,2),"")</f>
        <v/>
      </c>
      <c r="M9" s="180" t="str">
        <f>IFERROR(ROUND(L9*Summary!$G$36/Summary!$H$36,2),"")</f>
        <v/>
      </c>
    </row>
    <row r="10" spans="2:16" ht="24.95" customHeight="1">
      <c r="B10" s="210"/>
      <c r="C10" s="270"/>
      <c r="D10" s="270"/>
      <c r="E10" s="277"/>
      <c r="F10" s="271"/>
      <c r="G10" s="271"/>
      <c r="H10" s="269">
        <f>IF(Calculations!P378&lt;0,0,IF(G10="",0,ROUND(Calculations!P378,4)))</f>
        <v>0</v>
      </c>
      <c r="I10" s="269">
        <f>IF(Calculations!Q378&lt;0,0,IF(G10="",0,ROUND(Calculations!Q378,4)))</f>
        <v>0</v>
      </c>
      <c r="J10" s="269">
        <f>IF(Calculations!R378&lt;0,0,IFERROR(ROUND(Calculations!R378,4),0))</f>
        <v>0</v>
      </c>
      <c r="K10" s="276">
        <f>IF(Calculations!O378&lt;0,0,IFERROR(ROUND(Calculations!O378,2),"0.00"))</f>
        <v>0</v>
      </c>
      <c r="L10" s="272" t="str">
        <f>IFERROR(ROUND(K10*Incentives!$C$2+'Commercial Dishwasher'!J10*Incentives!$C$3,2),"")</f>
        <v/>
      </c>
      <c r="M10" s="180" t="str">
        <f>IFERROR(ROUND(L10*Summary!$G$36/Summary!$H$36,2),"")</f>
        <v/>
      </c>
    </row>
    <row r="11" spans="2:16" s="25" customFormat="1" ht="24.95" customHeight="1" thickBot="1">
      <c r="B11" s="865" t="s">
        <v>194</v>
      </c>
      <c r="C11" s="866"/>
      <c r="D11" s="866"/>
      <c r="E11" s="866"/>
      <c r="F11" s="866"/>
      <c r="G11" s="866"/>
      <c r="H11" s="726">
        <f>SUM(H7:H10)</f>
        <v>0</v>
      </c>
      <c r="I11" s="726">
        <f>SUM(I7:I10)</f>
        <v>0</v>
      </c>
      <c r="J11" s="726">
        <f>SUM(J7:J10)</f>
        <v>0</v>
      </c>
      <c r="K11" s="744">
        <f t="shared" ref="K11:M11" si="0">SUM(K7:K10)</f>
        <v>0</v>
      </c>
      <c r="L11" s="736">
        <f t="shared" si="0"/>
        <v>0</v>
      </c>
      <c r="M11" s="738">
        <f t="shared" si="0"/>
        <v>0</v>
      </c>
    </row>
  </sheetData>
  <sheetProtection algorithmName="SHA-512" hashValue="zZHwIOHSWuSVkI7Mw/gBgyQi3VlI+otg/EsbSXyPJq2WhnOx3epAnpWlATXSYgDzh9jkdoN85wPdCMUE2FiMYQ==" saltValue="bHV5sHACFuFxt0NqFnq47Q==" spinCount="100000" sheet="1" formatColumns="0"/>
  <mergeCells count="3">
    <mergeCell ref="B1:K2"/>
    <mergeCell ref="B3:K3"/>
    <mergeCell ref="B11:G11"/>
  </mergeCells>
  <hyperlinks>
    <hyperlink ref="D6" r:id="rId1" tooltip="Follow this link to view the Energy Star certified Commercial Dishwashers products page" xr:uid="{1A45403B-6647-461C-A7B8-03694703B90E}"/>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r:uid="{8F64E59D-054C-44CD-A72B-8D9CC342B1AA}">
          <x14:formula1>
            <xm:f>Calculations!$M$359:$M$360</xm:f>
          </x14:formula1>
          <xm:sqref>E7:E10</xm:sqref>
        </x14:dataValidation>
        <x14:dataValidation type="list" allowBlank="1" showInputMessage="1" showErrorMessage="1" xr:uid="{338B49A5-FE1F-4EE4-8C7A-A490933232C7}">
          <x14:formula1>
            <xm:f>Calculations!$C$367:$C$371</xm:f>
          </x14:formula1>
          <xm:sqref>F7:F10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4140A-FD56-4894-9D40-49F0C9CD15B4}">
  <sheetPr>
    <tabColor rgb="FFC00000"/>
  </sheetPr>
  <dimension ref="A1:Z37"/>
  <sheetViews>
    <sheetView showGridLines="0" zoomScale="85" zoomScaleNormal="85" workbookViewId="0">
      <selection activeCell="E8" sqref="E8"/>
    </sheetView>
  </sheetViews>
  <sheetFormatPr defaultRowHeight="14.25"/>
  <cols>
    <col min="1" max="1" width="3.375" customWidth="1"/>
    <col min="2" max="2" width="15.125" customWidth="1"/>
    <col min="4" max="4" width="16.875" customWidth="1"/>
    <col min="5" max="5" width="12.625" customWidth="1"/>
    <col min="6" max="6" width="4.375" customWidth="1"/>
    <col min="7" max="7" width="3.5" customWidth="1"/>
    <col min="13" max="13" width="2.5" customWidth="1"/>
    <col min="14" max="14" width="2.75" customWidth="1"/>
    <col min="20" max="20" width="3.125" customWidth="1"/>
  </cols>
  <sheetData>
    <row r="1" spans="1:26" ht="46.5" customHeight="1">
      <c r="A1" s="803"/>
      <c r="B1" s="803"/>
      <c r="C1" s="803"/>
      <c r="D1" s="803"/>
      <c r="E1" s="803"/>
      <c r="F1" s="803"/>
      <c r="G1" s="803"/>
      <c r="H1" s="803"/>
      <c r="I1" s="803"/>
      <c r="J1" s="803"/>
      <c r="K1" s="803"/>
      <c r="L1" s="803"/>
      <c r="M1" s="803"/>
      <c r="N1" s="803"/>
      <c r="O1" s="803"/>
      <c r="P1" s="803"/>
      <c r="Q1" s="803"/>
      <c r="R1" s="803"/>
      <c r="S1" s="803"/>
      <c r="T1" s="803"/>
      <c r="U1" s="803"/>
      <c r="V1" s="803"/>
      <c r="W1" s="803"/>
      <c r="X1" s="803"/>
      <c r="Y1" s="803"/>
      <c r="Z1" s="803"/>
    </row>
    <row r="2" spans="1:26" ht="15.75" thickBot="1">
      <c r="H2" s="428"/>
    </row>
    <row r="3" spans="1:26" ht="20.45" customHeight="1" thickBot="1">
      <c r="B3" s="804" t="s">
        <v>19</v>
      </c>
      <c r="C3" s="805"/>
      <c r="D3" s="806"/>
      <c r="E3" s="659" t="s">
        <v>20</v>
      </c>
      <c r="F3" s="428"/>
      <c r="G3" s="428"/>
      <c r="H3" s="428"/>
    </row>
    <row r="4" spans="1:26" ht="15.75" thickBot="1">
      <c r="G4" s="660"/>
      <c r="H4" s="661"/>
      <c r="I4" s="662"/>
      <c r="J4" s="662"/>
      <c r="K4" s="662"/>
      <c r="L4" s="662"/>
      <c r="M4" s="662"/>
      <c r="N4" s="660"/>
      <c r="O4" s="662"/>
      <c r="P4" s="662"/>
      <c r="Q4" s="662"/>
      <c r="R4" s="662"/>
      <c r="S4" s="662"/>
      <c r="T4" s="663"/>
    </row>
    <row r="5" spans="1:26" ht="15">
      <c r="B5" s="807" t="s">
        <v>21</v>
      </c>
      <c r="C5" s="808"/>
      <c r="D5" s="809"/>
      <c r="G5" s="664"/>
      <c r="H5" s="810" t="s">
        <v>22</v>
      </c>
      <c r="I5" s="810"/>
      <c r="J5" s="810"/>
      <c r="K5" s="810"/>
      <c r="L5" s="810"/>
      <c r="N5" s="664"/>
      <c r="O5" s="810" t="s">
        <v>23</v>
      </c>
      <c r="P5" s="810"/>
      <c r="Q5" s="810"/>
      <c r="R5" s="810"/>
      <c r="S5" s="810"/>
      <c r="T5" s="665"/>
    </row>
    <row r="6" spans="1:26" ht="15.75" thickBot="1">
      <c r="B6" s="666" t="s">
        <v>24</v>
      </c>
      <c r="C6" s="667" t="s">
        <v>25</v>
      </c>
      <c r="D6" s="668" t="s">
        <v>26</v>
      </c>
      <c r="G6" s="664"/>
      <c r="H6" s="428" t="s">
        <v>27</v>
      </c>
      <c r="M6" s="428"/>
      <c r="N6" s="669"/>
      <c r="O6" s="428" t="s">
        <v>27</v>
      </c>
      <c r="T6" s="665"/>
    </row>
    <row r="7" spans="1:26" ht="15" thickTop="1">
      <c r="B7" s="670" t="s">
        <v>20</v>
      </c>
      <c r="C7" s="671">
        <v>0.1</v>
      </c>
      <c r="D7" s="672">
        <v>0</v>
      </c>
      <c r="G7" s="664"/>
      <c r="H7" s="673"/>
      <c r="I7" s="673"/>
      <c r="J7" s="673"/>
      <c r="K7" s="673"/>
      <c r="L7" s="673"/>
      <c r="N7" s="664"/>
      <c r="T7" s="665"/>
    </row>
    <row r="8" spans="1:26">
      <c r="B8" s="670" t="s">
        <v>28</v>
      </c>
      <c r="C8" s="674">
        <v>0.1</v>
      </c>
      <c r="D8" s="675">
        <v>0</v>
      </c>
      <c r="G8" s="664"/>
      <c r="H8" s="673"/>
      <c r="I8" s="673"/>
      <c r="J8" s="673"/>
      <c r="K8" s="673"/>
      <c r="L8" s="673"/>
      <c r="N8" s="664"/>
      <c r="T8" s="665"/>
    </row>
    <row r="9" spans="1:26" ht="15" thickBot="1">
      <c r="B9" s="676" t="s">
        <v>29</v>
      </c>
      <c r="C9" s="677">
        <v>0.04</v>
      </c>
      <c r="D9" s="678">
        <v>250</v>
      </c>
      <c r="G9" s="664"/>
      <c r="H9" s="673"/>
      <c r="I9" s="673"/>
      <c r="J9" s="673"/>
      <c r="K9" s="673"/>
      <c r="L9" s="673"/>
      <c r="N9" s="664"/>
      <c r="T9" s="665"/>
    </row>
    <row r="10" spans="1:26">
      <c r="G10" s="664"/>
      <c r="H10" s="673"/>
      <c r="I10" s="673"/>
      <c r="J10" s="673"/>
      <c r="K10" s="673"/>
      <c r="L10" s="673"/>
      <c r="N10" s="664"/>
      <c r="T10" s="665"/>
    </row>
    <row r="11" spans="1:26">
      <c r="G11" s="664"/>
      <c r="H11" s="673"/>
      <c r="I11" s="673"/>
      <c r="J11" s="673"/>
      <c r="K11" s="673"/>
      <c r="L11" s="673"/>
      <c r="N11" s="664"/>
      <c r="T11" s="665"/>
    </row>
    <row r="12" spans="1:26">
      <c r="G12" s="664"/>
      <c r="H12" s="673"/>
      <c r="I12" s="673"/>
      <c r="J12" s="673"/>
      <c r="K12" s="673"/>
      <c r="L12" s="673"/>
      <c r="N12" s="664"/>
      <c r="T12" s="665"/>
    </row>
    <row r="13" spans="1:26">
      <c r="G13" s="664"/>
      <c r="H13" s="673"/>
      <c r="I13" s="673"/>
      <c r="J13" s="673"/>
      <c r="K13" s="673"/>
      <c r="L13" s="673"/>
      <c r="N13" s="664"/>
      <c r="T13" s="665"/>
    </row>
    <row r="14" spans="1:26">
      <c r="G14" s="664"/>
      <c r="H14" s="673"/>
      <c r="I14" s="673"/>
      <c r="J14" s="673"/>
      <c r="K14" s="673"/>
      <c r="L14" s="673"/>
      <c r="N14" s="664"/>
      <c r="T14" s="665"/>
    </row>
    <row r="15" spans="1:26">
      <c r="G15" s="664"/>
      <c r="H15" s="673"/>
      <c r="I15" s="673"/>
      <c r="J15" s="673"/>
      <c r="K15" s="673"/>
      <c r="L15" s="673"/>
      <c r="N15" s="664"/>
      <c r="T15" s="665"/>
    </row>
    <row r="16" spans="1:26" ht="15">
      <c r="G16" s="664"/>
      <c r="H16" s="428" t="s">
        <v>30</v>
      </c>
      <c r="N16" s="664"/>
      <c r="O16" s="428" t="s">
        <v>30</v>
      </c>
      <c r="T16" s="665"/>
    </row>
    <row r="17" spans="7:20">
      <c r="G17" s="664"/>
      <c r="H17" s="679"/>
      <c r="I17" s="679"/>
      <c r="J17" s="679"/>
      <c r="K17" s="679"/>
      <c r="L17" s="679"/>
      <c r="N17" s="664"/>
      <c r="T17" s="665"/>
    </row>
    <row r="18" spans="7:20">
      <c r="G18" s="664"/>
      <c r="H18" s="679"/>
      <c r="I18" s="679"/>
      <c r="J18" s="679"/>
      <c r="K18" s="679"/>
      <c r="L18" s="679"/>
      <c r="N18" s="664"/>
      <c r="T18" s="665"/>
    </row>
    <row r="19" spans="7:20">
      <c r="G19" s="664"/>
      <c r="H19" s="679"/>
      <c r="I19" s="679"/>
      <c r="J19" s="679"/>
      <c r="K19" s="679"/>
      <c r="L19" s="679"/>
      <c r="N19" s="664"/>
      <c r="T19" s="665"/>
    </row>
    <row r="20" spans="7:20">
      <c r="G20" s="664"/>
      <c r="H20" s="679"/>
      <c r="I20" s="679"/>
      <c r="J20" s="679"/>
      <c r="K20" s="679"/>
      <c r="L20" s="679"/>
      <c r="N20" s="664"/>
      <c r="T20" s="665"/>
    </row>
    <row r="21" spans="7:20">
      <c r="G21" s="664"/>
      <c r="H21" s="679"/>
      <c r="I21" s="679"/>
      <c r="J21" s="679"/>
      <c r="K21" s="679"/>
      <c r="L21" s="679"/>
      <c r="N21" s="664"/>
      <c r="T21" s="665"/>
    </row>
    <row r="22" spans="7:20">
      <c r="G22" s="664"/>
      <c r="H22" s="679"/>
      <c r="I22" s="679"/>
      <c r="J22" s="679"/>
      <c r="K22" s="679"/>
      <c r="L22" s="679"/>
      <c r="N22" s="664"/>
      <c r="T22" s="665"/>
    </row>
    <row r="23" spans="7:20">
      <c r="G23" s="664"/>
      <c r="H23" s="679"/>
      <c r="I23" s="679"/>
      <c r="J23" s="679"/>
      <c r="K23" s="679"/>
      <c r="L23" s="679"/>
      <c r="N23" s="664"/>
      <c r="T23" s="665"/>
    </row>
    <row r="24" spans="7:20">
      <c r="G24" s="664"/>
      <c r="H24" s="679"/>
      <c r="I24" s="679"/>
      <c r="J24" s="679"/>
      <c r="K24" s="679"/>
      <c r="L24" s="679"/>
      <c r="N24" s="664"/>
      <c r="T24" s="665"/>
    </row>
    <row r="25" spans="7:20">
      <c r="G25" s="664"/>
      <c r="H25" s="679"/>
      <c r="I25" s="679"/>
      <c r="J25" s="679"/>
      <c r="K25" s="679"/>
      <c r="L25" s="679"/>
      <c r="N25" s="664"/>
      <c r="T25" s="665"/>
    </row>
    <row r="26" spans="7:20" ht="15">
      <c r="G26" s="664"/>
      <c r="H26" s="428" t="s">
        <v>31</v>
      </c>
      <c r="N26" s="664"/>
      <c r="O26" s="428" t="s">
        <v>31</v>
      </c>
      <c r="T26" s="665"/>
    </row>
    <row r="27" spans="7:20">
      <c r="G27" s="664"/>
      <c r="H27" s="680"/>
      <c r="I27" s="680"/>
      <c r="J27" s="680"/>
      <c r="K27" s="680"/>
      <c r="L27" s="680"/>
      <c r="N27" s="664"/>
      <c r="T27" s="665"/>
    </row>
    <row r="28" spans="7:20">
      <c r="G28" s="664"/>
      <c r="H28" s="680"/>
      <c r="I28" s="680"/>
      <c r="J28" s="680"/>
      <c r="K28" s="680"/>
      <c r="L28" s="680"/>
      <c r="N28" s="664"/>
      <c r="T28" s="665"/>
    </row>
    <row r="29" spans="7:20">
      <c r="G29" s="664"/>
      <c r="H29" s="680"/>
      <c r="I29" s="680"/>
      <c r="J29" s="680"/>
      <c r="K29" s="680"/>
      <c r="L29" s="680"/>
      <c r="N29" s="664"/>
      <c r="T29" s="665"/>
    </row>
    <row r="30" spans="7:20">
      <c r="G30" s="664"/>
      <c r="H30" s="680"/>
      <c r="I30" s="680"/>
      <c r="J30" s="680"/>
      <c r="K30" s="680"/>
      <c r="L30" s="680"/>
      <c r="N30" s="664"/>
      <c r="T30" s="665"/>
    </row>
    <row r="31" spans="7:20">
      <c r="G31" s="664"/>
      <c r="H31" s="680"/>
      <c r="I31" s="680"/>
      <c r="J31" s="680"/>
      <c r="K31" s="680"/>
      <c r="L31" s="680"/>
      <c r="N31" s="664"/>
      <c r="T31" s="665"/>
    </row>
    <row r="32" spans="7:20">
      <c r="G32" s="664"/>
      <c r="H32" s="680"/>
      <c r="I32" s="680"/>
      <c r="J32" s="680"/>
      <c r="K32" s="680"/>
      <c r="L32" s="680"/>
      <c r="N32" s="664"/>
      <c r="T32" s="665"/>
    </row>
    <row r="33" spans="7:20">
      <c r="G33" s="664"/>
      <c r="H33" s="680"/>
      <c r="I33" s="680"/>
      <c r="J33" s="680"/>
      <c r="K33" s="680"/>
      <c r="L33" s="680"/>
      <c r="N33" s="664"/>
      <c r="T33" s="665"/>
    </row>
    <row r="34" spans="7:20">
      <c r="G34" s="664"/>
      <c r="H34" s="680"/>
      <c r="I34" s="680"/>
      <c r="J34" s="680"/>
      <c r="K34" s="680"/>
      <c r="L34" s="680"/>
      <c r="N34" s="664"/>
      <c r="T34" s="665"/>
    </row>
    <row r="35" spans="7:20">
      <c r="G35" s="664"/>
      <c r="H35" s="680"/>
      <c r="I35" s="680"/>
      <c r="J35" s="680"/>
      <c r="K35" s="680"/>
      <c r="L35" s="680"/>
      <c r="N35" s="664"/>
      <c r="T35" s="665"/>
    </row>
    <row r="36" spans="7:20" ht="9" customHeight="1">
      <c r="G36" s="664"/>
      <c r="N36" s="664"/>
      <c r="T36" s="665"/>
    </row>
    <row r="37" spans="7:20" ht="6.6" customHeight="1">
      <c r="G37" s="681"/>
      <c r="H37" s="682"/>
      <c r="I37" s="682"/>
      <c r="J37" s="682"/>
      <c r="K37" s="682"/>
      <c r="L37" s="682"/>
      <c r="M37" s="682"/>
      <c r="N37" s="681"/>
      <c r="O37" s="682"/>
      <c r="P37" s="682"/>
      <c r="Q37" s="682"/>
      <c r="R37" s="682"/>
      <c r="S37" s="682"/>
      <c r="T37" s="683"/>
    </row>
  </sheetData>
  <mergeCells count="9">
    <mergeCell ref="V1:Z1"/>
    <mergeCell ref="B3:D3"/>
    <mergeCell ref="B5:D5"/>
    <mergeCell ref="H5:L5"/>
    <mergeCell ref="O5:S5"/>
    <mergeCell ref="A1:E1"/>
    <mergeCell ref="F1:J1"/>
    <mergeCell ref="K1:P1"/>
    <mergeCell ref="Q1:U1"/>
  </mergeCells>
  <conditionalFormatting sqref="A1:Z1">
    <cfRule type="expression" dxfId="8" priority="1">
      <formula>$E$3="First Energy"</formula>
    </cfRule>
    <cfRule type="expression" dxfId="7" priority="2">
      <formula>$E$3="PECO"</formula>
    </cfRule>
    <cfRule type="expression" dxfId="6" priority="3">
      <formula>$E$3="PPL"</formula>
    </cfRule>
  </conditionalFormatting>
  <dataValidations count="2">
    <dataValidation type="list" allowBlank="1" showInputMessage="1" showErrorMessage="1" sqref="E3" xr:uid="{062FFA6F-8BB6-487A-92C8-4A0195546E22}">
      <formula1>"PPL, PECO, First Energy"</formula1>
    </dataValidation>
    <dataValidation allowBlank="1" showInputMessage="1" showErrorMessage="1" prompt="Incentives are referenced on the inventory tab, in column AF" sqref="B5:D5" xr:uid="{B4254DAC-EEAD-4D17-B5D8-E472FE9F6AFA}"/>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42091-36D0-4133-880D-D599D4079F88}">
  <sheetPr codeName="Sheet16">
    <tabColor rgb="FFFFF8CA"/>
  </sheetPr>
  <dimension ref="B1:M11"/>
  <sheetViews>
    <sheetView zoomScaleNormal="100" workbookViewId="0">
      <selection activeCell="E8" sqref="E8"/>
    </sheetView>
  </sheetViews>
  <sheetFormatPr defaultColWidth="8.625" defaultRowHeight="14.25"/>
  <cols>
    <col min="1" max="1" width="3.625" style="1" customWidth="1"/>
    <col min="2" max="2" width="26.625" style="50" customWidth="1"/>
    <col min="3" max="3" width="18.125" style="47" customWidth="1"/>
    <col min="4" max="4" width="26.25" style="47" customWidth="1"/>
    <col min="5" max="5" width="19.625" style="47" customWidth="1"/>
    <col min="6" max="7" width="18.125" style="47" customWidth="1"/>
    <col min="8" max="8" width="21.75" style="47" customWidth="1"/>
    <col min="9" max="9" width="17.625" style="1" customWidth="1"/>
    <col min="10" max="10" width="14.5" style="1" customWidth="1"/>
    <col min="11" max="11" width="17.5" style="1" hidden="1" customWidth="1"/>
    <col min="12" max="12" width="15" style="1" bestFit="1" customWidth="1"/>
    <col min="13" max="13" width="18.125" style="1" bestFit="1" customWidth="1"/>
    <col min="14" max="14" width="13.625" style="1" customWidth="1"/>
    <col min="15" max="15" width="19.125" style="1" customWidth="1"/>
    <col min="16" max="16" width="15.625" style="1" customWidth="1"/>
    <col min="17" max="16384" width="8.625" style="1"/>
  </cols>
  <sheetData>
    <row r="1" spans="2:13">
      <c r="B1" s="867" t="s">
        <v>999</v>
      </c>
      <c r="C1" s="867"/>
      <c r="D1" s="867"/>
      <c r="E1" s="867"/>
      <c r="F1" s="867"/>
      <c r="G1" s="867"/>
      <c r="H1" s="867"/>
      <c r="I1" s="867"/>
      <c r="L1" s="116"/>
      <c r="M1" s="162"/>
    </row>
    <row r="2" spans="2:13">
      <c r="B2" s="867"/>
      <c r="C2" s="867"/>
      <c r="D2" s="867"/>
      <c r="E2" s="867"/>
      <c r="F2" s="867"/>
      <c r="G2" s="867"/>
      <c r="H2" s="867"/>
      <c r="I2" s="867"/>
      <c r="L2" s="116"/>
      <c r="M2" s="164"/>
    </row>
    <row r="3" spans="2:13">
      <c r="B3" s="787" t="s">
        <v>970</v>
      </c>
      <c r="C3" s="787"/>
      <c r="D3" s="787"/>
      <c r="E3" s="787"/>
      <c r="F3" s="787"/>
      <c r="G3" s="787"/>
      <c r="H3" s="787"/>
      <c r="I3" s="787"/>
    </row>
    <row r="4" spans="2:13" ht="9" customHeight="1">
      <c r="B4" s="739"/>
      <c r="C4" s="740"/>
      <c r="D4" s="740"/>
      <c r="E4" s="740"/>
      <c r="F4" s="740"/>
      <c r="G4" s="740"/>
      <c r="H4" s="740"/>
      <c r="I4" s="732"/>
    </row>
    <row r="5" spans="2:13" s="24" customFormat="1" ht="24.95" customHeight="1">
      <c r="B5" s="731" t="s">
        <v>999</v>
      </c>
      <c r="C5" s="741"/>
      <c r="D5" s="741"/>
      <c r="E5" s="741"/>
      <c r="F5" s="741"/>
      <c r="G5" s="741"/>
      <c r="H5" s="741"/>
      <c r="I5" s="742"/>
    </row>
    <row r="6" spans="2:13" ht="24.95" customHeight="1">
      <c r="B6" s="745" t="s">
        <v>102</v>
      </c>
      <c r="C6" s="745" t="s">
        <v>104</v>
      </c>
      <c r="D6" s="746" t="s">
        <v>315</v>
      </c>
      <c r="E6" s="747" t="s">
        <v>833</v>
      </c>
      <c r="F6" s="748" t="s">
        <v>110</v>
      </c>
      <c r="G6" s="748" t="s">
        <v>440</v>
      </c>
      <c r="H6" s="748" t="s">
        <v>441</v>
      </c>
      <c r="I6" s="749" t="s">
        <v>896</v>
      </c>
      <c r="J6" s="745" t="s">
        <v>123</v>
      </c>
      <c r="K6" s="745" t="s">
        <v>254</v>
      </c>
      <c r="L6" s="745" t="s">
        <v>881</v>
      </c>
    </row>
    <row r="7" spans="2:13" ht="24.95" customHeight="1">
      <c r="B7" s="270"/>
      <c r="C7" s="270"/>
      <c r="D7" s="270"/>
      <c r="E7" s="581"/>
      <c r="F7" s="274"/>
      <c r="G7" s="444">
        <f>IF(Calculations!L438&lt;0,0,IFERROR(ROUND(Calculations!L438,4),0))</f>
        <v>0</v>
      </c>
      <c r="H7" s="444">
        <f>IF(Calculations!M438&lt;0,0,IFERROR(ROUND(Calculations!M438,4),0))</f>
        <v>0</v>
      </c>
      <c r="I7" s="585">
        <f>IF(Calculations!N438&lt;0,0,IFERROR(ROUND(Calculations!N438,4),0))</f>
        <v>0</v>
      </c>
      <c r="J7" s="276">
        <f>IF(Calculations!K438&lt;0,0,IFERROR(ROUND(Calculations!K438,2),0))</f>
        <v>0</v>
      </c>
      <c r="K7" s="278" t="str">
        <f>IFERROR(ROUND(J7*Incentives!$C$2+'ENERGY STAR Griddle'!I7*Incentives!$C$3,2),"")</f>
        <v/>
      </c>
      <c r="L7" s="273" t="str">
        <f>IFERROR(ROUND(K7*Summary!$G$36/Summary!$H$36,2),"")</f>
        <v/>
      </c>
    </row>
    <row r="8" spans="2:13" ht="24.95" customHeight="1">
      <c r="B8" s="270"/>
      <c r="C8" s="270"/>
      <c r="D8" s="270"/>
      <c r="E8" s="581"/>
      <c r="F8" s="274"/>
      <c r="G8" s="444">
        <f>IF(Calculations!L439&lt;0,0,IFERROR(ROUND(Calculations!L439,4),0))</f>
        <v>0</v>
      </c>
      <c r="H8" s="444">
        <f>IF(Calculations!M439&lt;0,0,IFERROR(ROUND(Calculations!M439,4),0))</f>
        <v>0</v>
      </c>
      <c r="I8" s="585">
        <f>IF(Calculations!N439&lt;0,0,IFERROR(ROUND(Calculations!N439,4),0))</f>
        <v>0</v>
      </c>
      <c r="J8" s="276">
        <f>IF(Calculations!K439&lt;0,0,IFERROR(ROUND(Calculations!K439,2),0))</f>
        <v>0</v>
      </c>
      <c r="K8" s="278" t="str">
        <f>IFERROR(ROUND(J8*Incentives!$C$2+'ENERGY STAR Griddle'!I8*Incentives!$C$3,2),"")</f>
        <v/>
      </c>
      <c r="L8" s="273" t="str">
        <f>IFERROR(ROUND(K8*Summary!$G$36/Summary!$H$36,2),"")</f>
        <v/>
      </c>
    </row>
    <row r="9" spans="2:13" ht="24.95" customHeight="1">
      <c r="B9" s="270"/>
      <c r="C9" s="270"/>
      <c r="D9" s="270"/>
      <c r="E9" s="581"/>
      <c r="F9" s="274"/>
      <c r="G9" s="444">
        <f>IF(Calculations!L440&lt;0,0,IFERROR(ROUND(Calculations!L440,4),0))</f>
        <v>0</v>
      </c>
      <c r="H9" s="444">
        <f>IF(Calculations!M440&lt;0,0,IFERROR(ROUND(Calculations!M440,4),0))</f>
        <v>0</v>
      </c>
      <c r="I9" s="585">
        <f>IF(Calculations!N440&lt;0,0,IFERROR(ROUND(Calculations!N440,4),0))</f>
        <v>0</v>
      </c>
      <c r="J9" s="276">
        <f>IF(Calculations!K440&lt;0,0,IFERROR(ROUND(Calculations!K440,2),0))</f>
        <v>0</v>
      </c>
      <c r="K9" s="278" t="str">
        <f>IFERROR(ROUND(J9*Incentives!$C$2+'ENERGY STAR Griddle'!I9*Incentives!$C$3,2),"")</f>
        <v/>
      </c>
      <c r="L9" s="273" t="str">
        <f>IFERROR(ROUND(K9*Summary!$G$36/Summary!$H$36,2),"")</f>
        <v/>
      </c>
    </row>
    <row r="10" spans="2:13" ht="24.95" customHeight="1">
      <c r="B10" s="270"/>
      <c r="C10" s="270"/>
      <c r="D10" s="270"/>
      <c r="E10" s="581"/>
      <c r="F10" s="274"/>
      <c r="G10" s="444">
        <f>IF(Calculations!L441&lt;0,0,IFERROR(ROUND(Calculations!L441,4),0))</f>
        <v>0</v>
      </c>
      <c r="H10" s="444">
        <f>IF(Calculations!M441&lt;0,0,IFERROR(ROUND(Calculations!M441,4),0))</f>
        <v>0</v>
      </c>
      <c r="I10" s="585">
        <f>IF(Calculations!N441&lt;0,0,IFERROR(ROUND(Calculations!N441,4),0))</f>
        <v>0</v>
      </c>
      <c r="J10" s="276">
        <f>IF(Calculations!K441&lt;0,0,IFERROR(ROUND(Calculations!K441,2),0))</f>
        <v>0</v>
      </c>
      <c r="K10" s="278" t="str">
        <f>IFERROR(ROUND(J10*Incentives!$C$2+'ENERGY STAR Griddle'!I10*Incentives!$C$3,2),"")</f>
        <v/>
      </c>
      <c r="L10" s="273" t="str">
        <f>IFERROR(ROUND(K10*Summary!$G$36/Summary!$H$36,2),"")</f>
        <v/>
      </c>
    </row>
    <row r="11" spans="2:13" s="25" customFormat="1" ht="24.95" customHeight="1">
      <c r="B11" s="871" t="s">
        <v>194</v>
      </c>
      <c r="C11" s="872"/>
      <c r="D11" s="872"/>
      <c r="E11" s="872"/>
      <c r="F11" s="873"/>
      <c r="G11" s="751">
        <f>SUM(G7:G10)</f>
        <v>0</v>
      </c>
      <c r="H11" s="751">
        <f>SUM(H7:H10)</f>
        <v>0</v>
      </c>
      <c r="I11" s="752">
        <f>SUM(I7:I10)</f>
        <v>0</v>
      </c>
      <c r="J11" s="752">
        <f>SUM(J7:J10)</f>
        <v>0</v>
      </c>
      <c r="K11" s="752"/>
      <c r="L11" s="753">
        <f>SUM(L7:L10)</f>
        <v>0</v>
      </c>
    </row>
  </sheetData>
  <sheetProtection algorithmName="SHA-512" hashValue="9M/TAZ48siNX+IlefZhqxYm6cHCHkEVNbwGTCTyPbtZNlFhDjbOes4oWOKNSmOGWfWuMQgPPbny48iuJkthEUA==" saltValue="VVUkb/0ZRVDeOhTfo+eZng==" spinCount="100000" sheet="1" formatColumns="0"/>
  <mergeCells count="3">
    <mergeCell ref="B1:I2"/>
    <mergeCell ref="B3:I3"/>
    <mergeCell ref="B11:F11"/>
  </mergeCells>
  <dataValidations count="2">
    <dataValidation type="whole" allowBlank="1" showInputMessage="1" showErrorMessage="1" sqref="F7:F10" xr:uid="{D21E3530-87C4-4D02-B86D-C05902EC9911}">
      <formula1>0</formula1>
      <formula2>100</formula2>
    </dataValidation>
    <dataValidation type="decimal" allowBlank="1" showInputMessage="1" showErrorMessage="1" sqref="G7:H10" xr:uid="{5D2B6B7A-682A-4D07-8984-2CD1E4235047}">
      <formula1>0</formula1>
      <formula2>100</formula2>
    </dataValidation>
  </dataValidations>
  <hyperlinks>
    <hyperlink ref="D6" r:id="rId1" tooltip="Follow this link to view the Energy Star certified Commercial Griddles products page" xr:uid="{3C152213-3D7C-4A68-A9B6-3619A0A228D7}"/>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881FC338-5EA7-4616-8023-8F1AF1D56801}">
          <x14:formula1>
            <xm:f>Calculations!$F$421:$F$422</xm:f>
          </x14:formula1>
          <xm:sqref>E7:E10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3A21-BA93-4FDF-A4EB-3283B099F366}">
  <sheetPr codeName="Sheet11">
    <tabColor rgb="FFFFF8CA"/>
  </sheetPr>
  <dimension ref="A1:M13"/>
  <sheetViews>
    <sheetView zoomScaleNormal="100" workbookViewId="0">
      <selection activeCell="G8" sqref="G8"/>
    </sheetView>
  </sheetViews>
  <sheetFormatPr defaultColWidth="8.625" defaultRowHeight="14.25"/>
  <cols>
    <col min="1" max="1" width="3.875" style="1" customWidth="1"/>
    <col min="2" max="2" width="47.625" style="50" bestFit="1" customWidth="1"/>
    <col min="3" max="3" width="18.125" style="47" customWidth="1"/>
    <col min="4" max="4" width="25.875" style="47" bestFit="1" customWidth="1"/>
    <col min="5" max="5" width="42.375" style="47" customWidth="1"/>
    <col min="6" max="6" width="22.375" style="47" customWidth="1"/>
    <col min="7" max="7" width="47.625" style="1" customWidth="1"/>
    <col min="8" max="8" width="27.5" style="1" customWidth="1"/>
    <col min="9" max="9" width="15.625" style="1" customWidth="1"/>
    <col min="10" max="10" width="18.125" style="1" bestFit="1" customWidth="1"/>
    <col min="11" max="11" width="13.625" style="1" customWidth="1"/>
    <col min="12" max="12" width="19.125" style="1" hidden="1" customWidth="1"/>
    <col min="13" max="13" width="17.5" style="1" customWidth="1"/>
    <col min="14" max="16384" width="8.625" style="1"/>
  </cols>
  <sheetData>
    <row r="1" spans="1:13" ht="14.25" customHeight="1">
      <c r="B1" s="875" t="s">
        <v>1000</v>
      </c>
      <c r="C1" s="875"/>
      <c r="D1" s="875"/>
      <c r="E1" s="875"/>
      <c r="F1" s="875"/>
      <c r="H1" s="129"/>
      <c r="J1" s="162"/>
    </row>
    <row r="2" spans="1:13" ht="14.25" customHeight="1">
      <c r="B2" s="875"/>
      <c r="C2" s="875"/>
      <c r="D2" s="875"/>
      <c r="E2" s="875"/>
      <c r="F2" s="875"/>
      <c r="H2" s="125"/>
      <c r="J2" s="164"/>
    </row>
    <row r="3" spans="1:13" ht="14.25" customHeight="1">
      <c r="A3" s="174"/>
      <c r="B3" s="787" t="s">
        <v>970</v>
      </c>
      <c r="C3" s="787"/>
      <c r="D3" s="787"/>
      <c r="E3" s="754"/>
      <c r="F3" s="754"/>
      <c r="H3" s="124"/>
    </row>
    <row r="4" spans="1:13">
      <c r="A4" s="174"/>
      <c r="B4" s="717"/>
      <c r="C4" s="717"/>
      <c r="D4" s="717"/>
      <c r="E4" s="717"/>
      <c r="F4" s="717"/>
      <c r="H4" s="82"/>
    </row>
    <row r="5" spans="1:13" ht="23.25" customHeight="1">
      <c r="B5" s="876" t="s">
        <v>1019</v>
      </c>
      <c r="C5" s="876"/>
      <c r="D5" s="876"/>
      <c r="E5" s="876"/>
      <c r="F5" s="755"/>
      <c r="G5" s="126"/>
      <c r="H5" s="126"/>
      <c r="I5" s="126"/>
      <c r="J5" s="126"/>
      <c r="K5" s="126"/>
      <c r="L5" s="126"/>
      <c r="M5" s="126"/>
    </row>
    <row r="6" spans="1:13" s="24" customFormat="1" ht="24.95" customHeight="1" thickBot="1">
      <c r="B6" s="731" t="str">
        <f>Calculations!B305</f>
        <v>Energy Star Commercial Clothes Washer</v>
      </c>
      <c r="C6" s="46"/>
      <c r="D6" s="46"/>
      <c r="E6" s="46"/>
      <c r="F6" s="46"/>
    </row>
    <row r="7" spans="1:13" ht="57.75" customHeight="1">
      <c r="B7" s="756" t="s">
        <v>102</v>
      </c>
      <c r="C7" s="757" t="s">
        <v>315</v>
      </c>
      <c r="D7" s="758" t="s">
        <v>1001</v>
      </c>
      <c r="E7" s="759" t="s">
        <v>1002</v>
      </c>
      <c r="F7" s="759" t="s">
        <v>439</v>
      </c>
      <c r="G7" s="760" t="s">
        <v>1003</v>
      </c>
      <c r="H7" s="761" t="s">
        <v>440</v>
      </c>
      <c r="I7" s="762" t="s">
        <v>441</v>
      </c>
      <c r="J7" s="763" t="s">
        <v>896</v>
      </c>
      <c r="K7" s="758" t="s">
        <v>123</v>
      </c>
      <c r="L7" s="758" t="s">
        <v>254</v>
      </c>
      <c r="M7" s="764" t="s">
        <v>881</v>
      </c>
    </row>
    <row r="8" spans="1:13" ht="24.95" customHeight="1">
      <c r="B8" s="210"/>
      <c r="C8" s="270"/>
      <c r="D8" s="277"/>
      <c r="E8" s="271"/>
      <c r="F8" s="271"/>
      <c r="G8" s="211"/>
      <c r="H8" s="183">
        <f>IFERROR(IF(F8="",0,ROUND(Calculations!H326,4)),0)</f>
        <v>0</v>
      </c>
      <c r="I8" s="184">
        <f>IFERROR(IF(F8="",0,ROUND(Calculations!I326,4)),0)</f>
        <v>0</v>
      </c>
      <c r="J8" s="181">
        <f>IFERROR(IF(F8="",0,ROUND(Calculations!J326,4)),0)</f>
        <v>0</v>
      </c>
      <c r="K8" s="269">
        <f>IFERROR(ROUND(Calculations!G326,2),0)</f>
        <v>0</v>
      </c>
      <c r="L8" s="269" t="str">
        <f>IFERROR(ROUND(K8*Incentives!$C$2+J8*Incentives!$C$3,2),"")</f>
        <v/>
      </c>
      <c r="M8" s="180" t="str">
        <f>IFERROR(ROUND(L8*Summary!$G$36/Summary!$H$36,2),"")</f>
        <v/>
      </c>
    </row>
    <row r="9" spans="1:13" ht="24.95" customHeight="1">
      <c r="B9" s="210"/>
      <c r="C9" s="270"/>
      <c r="D9" s="277"/>
      <c r="E9" s="271"/>
      <c r="F9" s="271"/>
      <c r="G9" s="462"/>
      <c r="H9" s="183">
        <f>IFERROR(IF(F9="",0,ROUND(Calculations!H327,4)),0)</f>
        <v>0</v>
      </c>
      <c r="I9" s="184">
        <f>IFERROR(IF(F9="",0,ROUND(Calculations!I327,4)),0)</f>
        <v>0</v>
      </c>
      <c r="J9" s="181">
        <f>IFERROR(IF(F9="",0,ROUND(Calculations!J327,4)),0)</f>
        <v>0</v>
      </c>
      <c r="K9" s="269">
        <f>IFERROR(ROUND(Calculations!G327,2),0)</f>
        <v>0</v>
      </c>
      <c r="L9" s="269" t="str">
        <f>IFERROR(ROUND(K9*Incentives!$C$2+J9*Incentives!$C$3,2),"")</f>
        <v/>
      </c>
      <c r="M9" s="180" t="str">
        <f>IFERROR(ROUND(L9*Summary!$G$36/Summary!$H$36,2),"")</f>
        <v/>
      </c>
    </row>
    <row r="10" spans="1:13" ht="24.95" customHeight="1">
      <c r="B10" s="210"/>
      <c r="C10" s="270"/>
      <c r="D10" s="277"/>
      <c r="E10" s="271"/>
      <c r="F10" s="271"/>
      <c r="G10" s="211"/>
      <c r="H10" s="183">
        <f>IFERROR(IF(F10="",0,ROUND(Calculations!H328,4)),0)</f>
        <v>0</v>
      </c>
      <c r="I10" s="184">
        <f>IFERROR(IF(F10="",0,ROUND(Calculations!I328,4)),0)</f>
        <v>0</v>
      </c>
      <c r="J10" s="181">
        <f>IFERROR(IF(F10="",0,ROUND(Calculations!J328,4)),0)</f>
        <v>0</v>
      </c>
      <c r="K10" s="269">
        <f>IFERROR(ROUND(Calculations!G328,2),0)</f>
        <v>0</v>
      </c>
      <c r="L10" s="269" t="str">
        <f>IFERROR(ROUND(K10*Incentives!$C$2+J10*Incentives!$C$3,2),"")</f>
        <v/>
      </c>
      <c r="M10" s="180" t="str">
        <f>IFERROR(ROUND(L10*Summary!$G$36/Summary!$H$36,2),"")</f>
        <v/>
      </c>
    </row>
    <row r="11" spans="1:13" ht="24.95" customHeight="1">
      <c r="B11" s="312"/>
      <c r="C11" s="304"/>
      <c r="D11" s="313"/>
      <c r="E11" s="274"/>
      <c r="F11" s="314"/>
      <c r="G11" s="462"/>
      <c r="H11" s="183">
        <f>IFERROR(IF(F11="",0,ROUND(Calculations!H329,4)),0)</f>
        <v>0</v>
      </c>
      <c r="I11" s="184">
        <f>IFERROR(IF(F11="",0,ROUND(Calculations!I329,4)),0)</f>
        <v>0</v>
      </c>
      <c r="J11" s="181">
        <f>IFERROR(IF(F11="",0,ROUND(Calculations!J329,4)),0)</f>
        <v>0</v>
      </c>
      <c r="K11" s="269">
        <f>IFERROR(ROUND(Calculations!G329,2),0)</f>
        <v>0</v>
      </c>
      <c r="L11" s="269" t="str">
        <f>IFERROR(ROUND(K11*Incentives!$C$2+J11*Incentives!$C$3,2),"")</f>
        <v/>
      </c>
      <c r="M11" s="315" t="str">
        <f>IFERROR(ROUND(L11*Summary!$G$36/Summary!$H$36,2),"")</f>
        <v/>
      </c>
    </row>
    <row r="12" spans="1:13" s="25" customFormat="1" ht="24.95" customHeight="1" thickBot="1">
      <c r="B12" s="874" t="s">
        <v>194</v>
      </c>
      <c r="C12" s="874"/>
      <c r="D12" s="874"/>
      <c r="E12" s="874"/>
      <c r="F12" s="874"/>
      <c r="G12" s="874"/>
      <c r="H12" s="765">
        <f>SUM(H8:H11)</f>
        <v>0</v>
      </c>
      <c r="I12" s="766">
        <f>SUM(I8:I11)</f>
        <v>0</v>
      </c>
      <c r="J12" s="766">
        <f>SUM(J8:J11)</f>
        <v>0</v>
      </c>
      <c r="K12" s="767">
        <f>SUM(K8:K11)</f>
        <v>0</v>
      </c>
      <c r="L12" s="750"/>
      <c r="M12" s="768">
        <f>SUM(M8:M11)</f>
        <v>0</v>
      </c>
    </row>
    <row r="13" spans="1:13" ht="15.75">
      <c r="J13" s="109"/>
    </row>
  </sheetData>
  <sheetProtection algorithmName="SHA-512" hashValue="vRMo5JneZsMXx+iYdsiccr1B1mu1JE6X5+EAbhFA2ZUmHhOcvtT7ZYh1fCaHHizzAmlOUwYk6gOdVVs4BwZomA==" saltValue="BkrCQjGEDZJt8AP9Cpo70A==" spinCount="100000" sheet="1" formatColumns="0"/>
  <mergeCells count="4">
    <mergeCell ref="B12:G12"/>
    <mergeCell ref="B1:F2"/>
    <mergeCell ref="B3:D3"/>
    <mergeCell ref="B5:E5"/>
  </mergeCells>
  <hyperlinks>
    <hyperlink ref="C7" r:id="rId1" tooltip="Follow this link to view the Energy Star certified Commercial Clothes Washer products page" xr:uid="{DD18D313-30A1-48DE-B13A-262AF7FA9B13}"/>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r:uid="{B5707253-1F7E-43A9-958D-84FFF6FAE49B}">
          <x14:formula1>
            <xm:f>Calculations!$C$326:$C$327</xm:f>
          </x14:formula1>
          <xm:sqref>D8:D11</xm:sqref>
        </x14:dataValidation>
        <x14:dataValidation type="list" operator="greaterThan" allowBlank="1" showInputMessage="1" showErrorMessage="1" xr:uid="{591BD992-D0D8-4002-9947-C9B8FCCA26ED}">
          <x14:formula1>
            <xm:f>Calculations!$B$326:$B$328</xm:f>
          </x14:formula1>
          <xm:sqref>E8:E11 G8:G11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E1662-3C34-4FAF-A45C-D3EDD1823CFD}">
  <sheetPr codeName="Sheet17">
    <tabColor rgb="FFFFF8CA"/>
  </sheetPr>
  <dimension ref="B1:L11"/>
  <sheetViews>
    <sheetView zoomScale="80" zoomScaleNormal="80" workbookViewId="0">
      <selection activeCell="K10" sqref="K10"/>
    </sheetView>
  </sheetViews>
  <sheetFormatPr defaultColWidth="8.625" defaultRowHeight="14.25"/>
  <cols>
    <col min="1" max="1" width="3.625" style="1" customWidth="1"/>
    <col min="2" max="2" width="26.625" style="50" customWidth="1"/>
    <col min="3" max="3" width="18.125" style="47" customWidth="1"/>
    <col min="4" max="4" width="18.125" style="47" hidden="1" customWidth="1"/>
    <col min="5" max="5" width="18.125" style="47" customWidth="1"/>
    <col min="6" max="6" width="22.5" style="47" customWidth="1"/>
    <col min="7" max="7" width="46.125" style="47" customWidth="1"/>
    <col min="8" max="8" width="15.625" style="1" customWidth="1"/>
    <col min="9" max="9" width="28.125" style="1" customWidth="1"/>
    <col min="10" max="10" width="23.875" style="1" bestFit="1" customWidth="1"/>
    <col min="11" max="11" width="13.375" style="1" customWidth="1"/>
    <col min="12" max="12" width="18.125" style="1" bestFit="1" customWidth="1"/>
    <col min="13" max="13" width="13.625" style="1" customWidth="1"/>
    <col min="14" max="14" width="19.125" style="1" customWidth="1"/>
    <col min="15" max="15" width="15.625" style="1" customWidth="1"/>
    <col min="16" max="16384" width="8.625" style="1"/>
  </cols>
  <sheetData>
    <row r="1" spans="2:12">
      <c r="B1" s="859" t="s">
        <v>344</v>
      </c>
      <c r="C1" s="859"/>
      <c r="D1" s="859"/>
      <c r="E1" s="859"/>
      <c r="F1" s="859"/>
      <c r="G1" s="859"/>
      <c r="H1" s="859"/>
      <c r="K1" s="116"/>
      <c r="L1" s="162"/>
    </row>
    <row r="2" spans="2:12">
      <c r="B2" s="859"/>
      <c r="C2" s="859"/>
      <c r="D2" s="859"/>
      <c r="E2" s="859"/>
      <c r="F2" s="859"/>
      <c r="G2" s="859"/>
      <c r="H2" s="859"/>
      <c r="K2" s="116"/>
      <c r="L2" s="164"/>
    </row>
    <row r="3" spans="2:12">
      <c r="B3" s="847" t="s">
        <v>970</v>
      </c>
      <c r="C3" s="847"/>
      <c r="D3" s="847"/>
      <c r="E3" s="847"/>
      <c r="F3" s="847"/>
      <c r="G3" s="847"/>
      <c r="H3" s="847"/>
    </row>
    <row r="4" spans="2:12" ht="9" customHeight="1">
      <c r="B4" s="48"/>
      <c r="C4" s="45"/>
      <c r="D4" s="45"/>
      <c r="E4" s="45"/>
      <c r="F4" s="45"/>
      <c r="G4" s="45"/>
    </row>
    <row r="5" spans="2:12" s="24" customFormat="1" ht="24.95" customHeight="1" thickBot="1">
      <c r="B5" s="49" t="str">
        <f>Calculations!B267</f>
        <v xml:space="preserve">Office Equipment </v>
      </c>
      <c r="C5" s="46"/>
      <c r="D5" s="46"/>
      <c r="E5" s="46"/>
      <c r="F5" s="46"/>
      <c r="G5" s="46"/>
    </row>
    <row r="6" spans="2:12" ht="24.95" customHeight="1">
      <c r="B6" s="77" t="s">
        <v>121</v>
      </c>
      <c r="C6" s="122" t="s">
        <v>123</v>
      </c>
      <c r="D6" s="122" t="s">
        <v>254</v>
      </c>
      <c r="E6" s="122" t="s">
        <v>881</v>
      </c>
      <c r="F6" s="122" t="s">
        <v>102</v>
      </c>
      <c r="G6" s="128" t="s">
        <v>315</v>
      </c>
      <c r="H6" s="122" t="s">
        <v>1004</v>
      </c>
      <c r="I6" s="123" t="s">
        <v>110</v>
      </c>
      <c r="L6" s="52"/>
    </row>
    <row r="7" spans="2:12" ht="24.95" customHeight="1">
      <c r="B7" s="213">
        <f>IFERROR(ROUND(VLOOKUP(H7,Calculations!$B$271:$D$294,3,FALSE)*I7,4),0)</f>
        <v>0</v>
      </c>
      <c r="C7" s="276">
        <f>IFERROR(ROUND(VLOOKUP(H7,Calculations!$B$271:$D$294,2,FALSE)*I7,2),0)</f>
        <v>0</v>
      </c>
      <c r="D7" s="279" t="str">
        <f>IFERROR(ROUND(C7*Incentives!$C$2+'Office Equipment'!B7*Incentives!$C$3,2),"")</f>
        <v/>
      </c>
      <c r="E7" s="273" t="str">
        <f>IFERROR(ROUND(D7*Summary!$G$36/Summary!$H$36,2),"")</f>
        <v/>
      </c>
      <c r="F7" s="270"/>
      <c r="G7" s="270"/>
      <c r="H7" s="270"/>
      <c r="I7" s="211"/>
    </row>
    <row r="8" spans="2:12" ht="24.95" customHeight="1">
      <c r="B8" s="213">
        <f>IFERROR(ROUND(VLOOKUP(H8,Calculations!$B$271:$D$294,3,FALSE)*I8,4),0)</f>
        <v>0</v>
      </c>
      <c r="C8" s="276">
        <f>IFERROR(ROUND(VLOOKUP(H8,Calculations!$B$271:$D$294,2,FALSE)*I8,2),0)</f>
        <v>0</v>
      </c>
      <c r="D8" s="279" t="str">
        <f>IFERROR(ROUND(C8*Incentives!$C$2+'Office Equipment'!B8*Incentives!$C$3,2),"")</f>
        <v/>
      </c>
      <c r="E8" s="273" t="str">
        <f>IFERROR(ROUND(D8*Summary!$G$36/Summary!$H$36,2),"")</f>
        <v/>
      </c>
      <c r="F8" s="270"/>
      <c r="G8" s="270"/>
      <c r="H8" s="270"/>
      <c r="I8" s="211"/>
    </row>
    <row r="9" spans="2:12" ht="24.95" customHeight="1">
      <c r="B9" s="213">
        <f>IFERROR(ROUND(VLOOKUP(H9,Calculations!$B$271:$D$294,3,FALSE)*I9,4),0)</f>
        <v>0</v>
      </c>
      <c r="C9" s="276">
        <f>IFERROR(ROUND(VLOOKUP(H9,Calculations!$B$271:$D$294,2,FALSE)*I9,2),0)</f>
        <v>0</v>
      </c>
      <c r="D9" s="279" t="str">
        <f>IFERROR(ROUND(C9*Incentives!$C$2+'Office Equipment'!B9*Incentives!$C$3,2),"")</f>
        <v/>
      </c>
      <c r="E9" s="273" t="str">
        <f>IFERROR(ROUND(D9*Summary!$G$36/Summary!$H$36,2),"")</f>
        <v/>
      </c>
      <c r="F9" s="270"/>
      <c r="G9" s="270"/>
      <c r="H9" s="270"/>
      <c r="I9" s="211"/>
    </row>
    <row r="10" spans="2:12" ht="24.95" customHeight="1">
      <c r="B10" s="213">
        <f>IFERROR(ROUND(VLOOKUP(H10,Calculations!$B$271:$D$294,3,FALSE)*I10,4),0)</f>
        <v>0</v>
      </c>
      <c r="C10" s="276">
        <f>IFERROR(ROUND(VLOOKUP(H10,Calculations!$B$271:$D$294,2,FALSE)*I10,2),0)</f>
        <v>0</v>
      </c>
      <c r="D10" s="279" t="str">
        <f>IFERROR(ROUND(C10*Incentives!$C$2+'Office Equipment'!B10*Incentives!$C$3,2),"")</f>
        <v/>
      </c>
      <c r="E10" s="273" t="str">
        <f>IFERROR(ROUND(D10*Summary!$G$36/Summary!$H$36,2),"")</f>
        <v/>
      </c>
      <c r="F10" s="270"/>
      <c r="G10" s="270"/>
      <c r="H10" s="270"/>
      <c r="I10" s="211"/>
    </row>
    <row r="11" spans="2:12" s="25" customFormat="1" ht="24.95" customHeight="1" thickBot="1">
      <c r="B11" s="214">
        <f>SUM(B7:B10)</f>
        <v>0</v>
      </c>
      <c r="C11" s="161">
        <f>SUM(C7:C10)</f>
        <v>0</v>
      </c>
      <c r="D11" s="110"/>
      <c r="E11" s="127">
        <f>SUM(E7:E10)</f>
        <v>0</v>
      </c>
      <c r="F11" s="877" t="s">
        <v>194</v>
      </c>
      <c r="G11" s="878"/>
      <c r="H11" s="878"/>
      <c r="I11" s="879"/>
    </row>
  </sheetData>
  <sheetProtection algorithmName="SHA-512" hashValue="T3aikXY02LgzvClk6gS/8hAwI6oDmgUfGidCgRC5XkPxgRKSLYfE+bsCeBGJeDmhBh2U6pXxGsh5gRrBzmH6wA==" saltValue="d2/GmzojJ2rcANA14i7gCg==" spinCount="100000" sheet="1" formatColumns="0"/>
  <mergeCells count="3">
    <mergeCell ref="B1:H2"/>
    <mergeCell ref="B3:H3"/>
    <mergeCell ref="F11:I11"/>
  </mergeCells>
  <dataValidations count="1">
    <dataValidation type="whole" allowBlank="1" showInputMessage="1" showErrorMessage="1" sqref="I7:I10" xr:uid="{6380D491-0849-485B-B137-6A228F482C92}">
      <formula1>0</formula1>
      <formula2>100</formula2>
    </dataValidation>
  </dataValidations>
  <hyperlinks>
    <hyperlink ref="G6" r:id="rId1" tooltip="Follow this link to view the Energy Star certified Office Equipment products page" xr:uid="{E94D6519-8CD9-45FE-A1FC-7C87E7923B26}"/>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2A2C960F-6645-4532-95A1-2A6973D8428D}">
          <x14:formula1>
            <xm:f>Calculations!$B$271:$B$294</xm:f>
          </x14:formula1>
          <xm:sqref>H7:H10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1E76-15FE-48FD-A0F8-5AA92E1AB755}">
  <sheetPr codeName="Sheet21">
    <tabColor rgb="FFFFF8CA"/>
  </sheetPr>
  <dimension ref="B1:N11"/>
  <sheetViews>
    <sheetView zoomScaleNormal="100" workbookViewId="0">
      <selection activeCell="C7" sqref="C7"/>
    </sheetView>
  </sheetViews>
  <sheetFormatPr defaultColWidth="8.625" defaultRowHeight="14.25"/>
  <cols>
    <col min="1" max="1" width="3.625" style="1" customWidth="1"/>
    <col min="2" max="4" width="26.625" style="50" customWidth="1"/>
    <col min="5" max="8" width="18.125" style="47" customWidth="1"/>
    <col min="9" max="9" width="20.625" style="47" bestFit="1" customWidth="1"/>
    <col min="10" max="10" width="22.5" style="1" hidden="1" customWidth="1"/>
    <col min="11" max="11" width="18.125" style="47" customWidth="1"/>
    <col min="12" max="12" width="23.875" style="1" bestFit="1" customWidth="1"/>
    <col min="13" max="13" width="13.375" style="1" customWidth="1"/>
    <col min="14" max="14" width="18.125" style="1" bestFit="1" customWidth="1"/>
    <col min="15" max="15" width="13.625" style="1" customWidth="1"/>
    <col min="16" max="16" width="19.125" style="1" customWidth="1"/>
    <col min="17" max="17" width="15.625" style="1" customWidth="1"/>
    <col min="18" max="16384" width="8.625" style="1"/>
  </cols>
  <sheetData>
    <row r="1" spans="2:14" ht="14.25" customHeight="1">
      <c r="B1" s="867" t="s">
        <v>1005</v>
      </c>
      <c r="C1" s="867"/>
      <c r="D1" s="867"/>
      <c r="E1" s="867"/>
      <c r="F1" s="867"/>
      <c r="G1" s="867"/>
      <c r="H1" s="125"/>
      <c r="I1" s="125"/>
      <c r="J1" s="125"/>
      <c r="K1" s="125"/>
      <c r="M1" s="116"/>
      <c r="N1" s="162"/>
    </row>
    <row r="2" spans="2:14" ht="14.25" customHeight="1">
      <c r="B2" s="867"/>
      <c r="C2" s="867"/>
      <c r="D2" s="867"/>
      <c r="E2" s="867"/>
      <c r="F2" s="867"/>
      <c r="G2" s="867"/>
      <c r="H2" s="125"/>
      <c r="I2" s="125"/>
      <c r="J2" s="125"/>
      <c r="K2" s="125"/>
      <c r="M2" s="116"/>
      <c r="N2" s="164"/>
    </row>
    <row r="3" spans="2:14" ht="14.25" customHeight="1">
      <c r="B3" s="787" t="s">
        <v>970</v>
      </c>
      <c r="C3" s="787"/>
      <c r="D3" s="787"/>
      <c r="E3" s="787"/>
      <c r="F3" s="787"/>
      <c r="G3" s="787"/>
      <c r="H3" s="124"/>
      <c r="I3" s="124"/>
      <c r="J3" s="124"/>
      <c r="K3" s="124"/>
    </row>
    <row r="4" spans="2:14" ht="9" customHeight="1">
      <c r="B4" s="739"/>
      <c r="C4" s="739"/>
      <c r="D4" s="739"/>
      <c r="E4" s="740"/>
      <c r="F4" s="740"/>
      <c r="G4" s="740"/>
      <c r="H4" s="45"/>
      <c r="I4" s="45"/>
      <c r="K4" s="45"/>
    </row>
    <row r="5" spans="2:14" s="24" customFormat="1" ht="24.95" customHeight="1" thickBot="1">
      <c r="B5" s="731" t="s">
        <v>1006</v>
      </c>
      <c r="C5" s="731"/>
      <c r="D5" s="731"/>
      <c r="E5" s="741"/>
      <c r="F5" s="741"/>
      <c r="G5" s="741"/>
      <c r="H5" s="46"/>
      <c r="I5" s="46"/>
      <c r="K5" s="46"/>
    </row>
    <row r="6" spans="2:14" ht="24.95" customHeight="1">
      <c r="B6" s="718" t="s">
        <v>102</v>
      </c>
      <c r="C6" s="719" t="s">
        <v>104</v>
      </c>
      <c r="D6" s="721" t="s">
        <v>1007</v>
      </c>
      <c r="E6" s="723" t="s">
        <v>110</v>
      </c>
      <c r="F6" s="734" t="s">
        <v>1015</v>
      </c>
      <c r="G6" s="734" t="s">
        <v>1016</v>
      </c>
      <c r="H6" s="734" t="s">
        <v>896</v>
      </c>
      <c r="I6" s="719" t="s">
        <v>123</v>
      </c>
      <c r="J6" s="719" t="s">
        <v>254</v>
      </c>
      <c r="K6" s="735" t="s">
        <v>881</v>
      </c>
    </row>
    <row r="7" spans="2:14" ht="24.95" customHeight="1">
      <c r="B7" s="210"/>
      <c r="C7" s="270"/>
      <c r="D7" s="270"/>
      <c r="E7" s="271"/>
      <c r="F7" s="696">
        <f>IF(Calculations!E399&lt;0,0,IFERROR(ROUND(Calculations!E399,4),0))</f>
        <v>0</v>
      </c>
      <c r="G7" s="696">
        <f>IF(Calculations!F399&lt;0,0,IFERROR(ROUND(Calculations!F399,4),0))</f>
        <v>0</v>
      </c>
      <c r="H7" s="696">
        <f>IF(Calculations!G399&lt;0,0,IFERROR(ROUND(Calculations!G399,2),0))</f>
        <v>0</v>
      </c>
      <c r="I7" s="697">
        <f>IF(Calculations!D399&lt;0,0,IFERROR(ROUND(Calculations!D399,2),0))</f>
        <v>0</v>
      </c>
      <c r="J7" s="272" t="str">
        <f>IFERROR(ROUND(I7*Incentives!$C$2+'Commercial Induction Cooktops'!H7*Incentives!$C$3,2),"")</f>
        <v/>
      </c>
      <c r="K7" s="180" t="str">
        <f>IFERROR(ROUND(J7*Summary!$G$36/Summary!$H$36,2),"")</f>
        <v/>
      </c>
    </row>
    <row r="8" spans="2:14" ht="24.95" customHeight="1">
      <c r="B8" s="210"/>
      <c r="C8" s="270"/>
      <c r="D8" s="270"/>
      <c r="E8" s="271"/>
      <c r="F8" s="696">
        <f>IF(Calculations!E400&lt;0,0,IFERROR(ROUND(Calculations!E400,4),0))</f>
        <v>0</v>
      </c>
      <c r="G8" s="696">
        <f>IF(Calculations!F400&lt;0,0,IFERROR(ROUND(Calculations!F400,4),0))</f>
        <v>0</v>
      </c>
      <c r="H8" s="696">
        <f>IF(Calculations!G400&lt;0,0,IFERROR(ROUND(Calculations!G400,2),0))</f>
        <v>0</v>
      </c>
      <c r="I8" s="697">
        <f>IF(Calculations!D400&lt;0,0,IFERROR(ROUND(Calculations!D400,2),0))</f>
        <v>0</v>
      </c>
      <c r="J8" s="272" t="str">
        <f>IFERROR(ROUND(I8*Incentives!$C$2+'Commercial Induction Cooktops'!H8*Incentives!$C$3,2),"")</f>
        <v/>
      </c>
      <c r="K8" s="180" t="str">
        <f>IFERROR(ROUND(J8*Summary!$G$36/Summary!$H$36,2),"")</f>
        <v/>
      </c>
    </row>
    <row r="9" spans="2:14" ht="24.95" customHeight="1">
      <c r="B9" s="210"/>
      <c r="C9" s="270"/>
      <c r="D9" s="270"/>
      <c r="E9" s="271"/>
      <c r="F9" s="696">
        <f>IF(Calculations!E401&lt;0,0,IFERROR(ROUND(Calculations!E401,4),0))</f>
        <v>0</v>
      </c>
      <c r="G9" s="696">
        <f>IF(Calculations!F401&lt;0,0,IFERROR(ROUND(Calculations!F401,4),0))</f>
        <v>0</v>
      </c>
      <c r="H9" s="696">
        <f>IF(Calculations!G401&lt;0,0,IFERROR(ROUND(Calculations!G401,2),0))</f>
        <v>0</v>
      </c>
      <c r="I9" s="697">
        <f>IF(Calculations!D401&lt;0,0,IFERROR(ROUND(Calculations!D401,2),0))</f>
        <v>0</v>
      </c>
      <c r="J9" s="272" t="str">
        <f>IFERROR(ROUND(I9*Incentives!$C$2+'Commercial Induction Cooktops'!H9*Incentives!$C$3,2),"")</f>
        <v/>
      </c>
      <c r="K9" s="180" t="str">
        <f>IFERROR(ROUND(J9*Summary!$G$36/Summary!$H$36,2),"")</f>
        <v/>
      </c>
    </row>
    <row r="10" spans="2:14" ht="24.95" customHeight="1">
      <c r="B10" s="210"/>
      <c r="C10" s="270"/>
      <c r="D10" s="270"/>
      <c r="E10" s="271"/>
      <c r="F10" s="696">
        <f>IF(Calculations!E402&lt;0,0,IFERROR(ROUND(Calculations!E402,4),0))</f>
        <v>0</v>
      </c>
      <c r="G10" s="696">
        <f>IF(Calculations!F402&lt;0,0,IFERROR(ROUND(Calculations!F402,4),0))</f>
        <v>0</v>
      </c>
      <c r="H10" s="696">
        <f>IF(Calculations!G402&lt;0,0,IFERROR(ROUND(Calculations!G402,2),0))</f>
        <v>0</v>
      </c>
      <c r="I10" s="697">
        <f>IF(Calculations!D402&lt;0,0,IFERROR(ROUND(Calculations!D402,2),0))</f>
        <v>0</v>
      </c>
      <c r="J10" s="272" t="str">
        <f>IFERROR(ROUND(I10*Incentives!$C$2+'Commercial Induction Cooktops'!H10*Incentives!$C$3,2),"")</f>
        <v/>
      </c>
      <c r="K10" s="180" t="str">
        <f>IFERROR(ROUND(J10*Summary!$G$36/Summary!$H$36,2),"")</f>
        <v/>
      </c>
    </row>
    <row r="11" spans="2:14" s="25" customFormat="1" ht="24.95" customHeight="1" thickBot="1">
      <c r="B11" s="865" t="s">
        <v>194</v>
      </c>
      <c r="C11" s="866"/>
      <c r="D11" s="866"/>
      <c r="E11" s="866"/>
      <c r="F11" s="736">
        <f t="shared" ref="F11:G11" si="0">SUM(F7:F10)</f>
        <v>0</v>
      </c>
      <c r="G11" s="736">
        <f t="shared" si="0"/>
        <v>0</v>
      </c>
      <c r="H11" s="736">
        <f>SUM(H7:H10)</f>
        <v>0</v>
      </c>
      <c r="I11" s="736">
        <f>SUM(I7:I10)</f>
        <v>0</v>
      </c>
      <c r="J11" s="737"/>
      <c r="K11" s="738">
        <f>SUM(K7:K10)</f>
        <v>0</v>
      </c>
    </row>
  </sheetData>
  <sheetProtection algorithmName="SHA-512" hashValue="/juotsiTpKhZUJof4Ahz6jybm0xkLhx9txMFU/qICTELfbISi4UE+4Mv+3FJgiJFer5lpD9mRE6FM/u/s3FcLg==" saltValue="CQOGVA6487Za+l1c6bSaPw==" spinCount="100000" sheet="1" formatColumns="0"/>
  <mergeCells count="3">
    <mergeCell ref="B1:G2"/>
    <mergeCell ref="B3:G3"/>
    <mergeCell ref="B11:E11"/>
  </mergeCells>
  <dataValidations count="1">
    <dataValidation type="whole" allowBlank="1" showInputMessage="1" showErrorMessage="1" sqref="E7:E10" xr:uid="{30ADE005-9F89-44D2-B92E-64419235A057}">
      <formula1>0</formula1>
      <formula2>100</formula2>
    </dataValidation>
  </dataValidations>
  <hyperlinks>
    <hyperlink ref="D6" r:id="rId1" tooltip="Follow this link to view the Energy Star certified Commercial Ovens products page" display="Energy Star Product ID" xr:uid="{6F639FE2-A4B6-4CAD-9AC5-D1C917EDCE7E}"/>
  </hyperlinks>
  <pageMargins left="0.5" right="0.5" top="0.5" bottom="0.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705DC-5913-4EE9-A4C7-0B81DB51DDF5}">
  <sheetPr codeName="Sheet19">
    <tabColor rgb="FFFFF8CA"/>
  </sheetPr>
  <dimension ref="B1:L20"/>
  <sheetViews>
    <sheetView zoomScale="80" zoomScaleNormal="80" workbookViewId="0">
      <selection activeCell="F10" sqref="F10"/>
    </sheetView>
  </sheetViews>
  <sheetFormatPr defaultColWidth="8.625" defaultRowHeight="14.25"/>
  <cols>
    <col min="1" max="1" width="3.625" style="1" customWidth="1"/>
    <col min="2" max="2" width="26.625" style="50" customWidth="1"/>
    <col min="3" max="5" width="18.125" style="47" customWidth="1"/>
    <col min="6" max="6" width="56" style="47" customWidth="1"/>
    <col min="7" max="7" width="35" style="47" customWidth="1"/>
    <col min="8" max="8" width="15.625" style="1" customWidth="1"/>
    <col min="9" max="9" width="28.125" style="1" customWidth="1"/>
    <col min="10" max="10" width="23.875" style="1" hidden="1" customWidth="1"/>
    <col min="11" max="11" width="15.625" style="1" bestFit="1" customWidth="1"/>
    <col min="12" max="12" width="18.125" style="1" bestFit="1" customWidth="1"/>
    <col min="13" max="13" width="13.625" style="1" customWidth="1"/>
    <col min="14" max="14" width="19.125" style="1" customWidth="1"/>
    <col min="15" max="15" width="15.625" style="1" customWidth="1"/>
    <col min="16" max="16384" width="8.625" style="1"/>
  </cols>
  <sheetData>
    <row r="1" spans="2:12">
      <c r="B1" s="859" t="s">
        <v>346</v>
      </c>
      <c r="C1" s="859"/>
      <c r="D1" s="859"/>
      <c r="E1" s="859"/>
      <c r="F1" s="859"/>
      <c r="G1" s="859"/>
      <c r="H1" s="859"/>
      <c r="K1" s="116"/>
      <c r="L1" s="162"/>
    </row>
    <row r="2" spans="2:12">
      <c r="B2" s="859"/>
      <c r="C2" s="859"/>
      <c r="D2" s="859"/>
      <c r="E2" s="859"/>
      <c r="F2" s="859"/>
      <c r="G2" s="859"/>
      <c r="H2" s="859"/>
      <c r="K2" s="116"/>
      <c r="L2" s="164"/>
    </row>
    <row r="3" spans="2:12">
      <c r="B3" s="847" t="s">
        <v>970</v>
      </c>
      <c r="C3" s="847"/>
      <c r="D3" s="847"/>
      <c r="E3" s="847"/>
      <c r="F3" s="847"/>
      <c r="G3" s="847"/>
      <c r="H3" s="847"/>
    </row>
    <row r="4" spans="2:12" ht="9" customHeight="1">
      <c r="B4" s="48"/>
      <c r="C4" s="45"/>
      <c r="D4" s="45"/>
      <c r="E4" s="45"/>
      <c r="F4" s="45"/>
      <c r="G4" s="45"/>
    </row>
    <row r="5" spans="2:12" s="24" customFormat="1" ht="24.95" customHeight="1" thickBot="1">
      <c r="B5" s="49" t="s">
        <v>346</v>
      </c>
      <c r="C5" s="46"/>
      <c r="D5" s="46"/>
      <c r="E5" s="46"/>
      <c r="F5" s="46"/>
      <c r="G5" s="46"/>
    </row>
    <row r="6" spans="2:12" ht="24.95" customHeight="1">
      <c r="B6" s="166" t="s">
        <v>102</v>
      </c>
      <c r="C6" s="78" t="s">
        <v>1008</v>
      </c>
      <c r="D6" s="78" t="s">
        <v>1009</v>
      </c>
      <c r="E6" s="89" t="s">
        <v>110</v>
      </c>
      <c r="F6" s="332" t="s">
        <v>326</v>
      </c>
      <c r="G6" s="187" t="s">
        <v>325</v>
      </c>
      <c r="H6" s="78" t="s">
        <v>896</v>
      </c>
      <c r="I6" s="78" t="s">
        <v>123</v>
      </c>
      <c r="J6" s="78" t="s">
        <v>254</v>
      </c>
      <c r="K6" s="148" t="s">
        <v>881</v>
      </c>
    </row>
    <row r="7" spans="2:12" ht="40.5" customHeight="1">
      <c r="B7" s="210"/>
      <c r="C7" s="280"/>
      <c r="D7" s="277"/>
      <c r="E7" s="158"/>
      <c r="F7" s="278">
        <f>IFERROR(ROUND(VLOOKUP(Calculations!J521,Calculations!$D$521:$H$526,3,FALSE)*E7,4),0)</f>
        <v>0</v>
      </c>
      <c r="G7" s="611">
        <f>IFERROR(ROUND(VLOOKUP(Calculations!J521,Calculations!$D$521:$H$526,4,FALSE)*E7,4),0)</f>
        <v>0</v>
      </c>
      <c r="H7" s="279">
        <f>IFERROR(ROUND(VLOOKUP(Calculations!J521,Calculations!$D$521:$H$526,5,FALSE)*E7,4),0)</f>
        <v>0</v>
      </c>
      <c r="I7" s="276">
        <f>IFERROR(ROUND(VLOOKUP(Calculations!$J521,Calculations!$D$521:$H$526,2)*E7,2),0)</f>
        <v>0</v>
      </c>
      <c r="J7" s="377" t="str">
        <f>IFERROR(ROUND((I7*Incentives!$C$2)+(F7*Incentives!$C$3),2),"")</f>
        <v/>
      </c>
      <c r="K7" s="180" t="str">
        <f>IFERROR(ROUND(J7*Summary!$G$36/Summary!$H$36,2),"")</f>
        <v/>
      </c>
    </row>
    <row r="8" spans="2:12" ht="45.95" customHeight="1">
      <c r="B8" s="210"/>
      <c r="C8" s="280"/>
      <c r="D8" s="277"/>
      <c r="E8" s="158"/>
      <c r="F8" s="278">
        <f>IFERROR(ROUND(VLOOKUP(Calculations!J522,Calculations!$D$521:$H$526,3,FALSE)*E8,4),0)</f>
        <v>0</v>
      </c>
      <c r="G8" s="611">
        <f>IFERROR(ROUND(VLOOKUP(Calculations!J522,Calculations!$D$521:$H$526,4,FALSE)*E8,4),0)</f>
        <v>0</v>
      </c>
      <c r="H8" s="279">
        <f>IFERROR(ROUND(VLOOKUP(Calculations!J522,Calculations!$D$521:$H$526,5,FALSE)*E8,4),0)</f>
        <v>0</v>
      </c>
      <c r="I8" s="276">
        <f>IFERROR(ROUND(VLOOKUP(Calculations!$J522,Calculations!$D$521:$H$526,2)*E8,2),0)</f>
        <v>0</v>
      </c>
      <c r="J8" s="377" t="str">
        <f>IFERROR(ROUND((I8*Incentives!$C$2)+(F8*Incentives!$C$3),2),"")</f>
        <v/>
      </c>
      <c r="K8" s="180" t="str">
        <f>IFERROR(ROUND(J8*Summary!$G$36/Summary!$H$36,2),"")</f>
        <v/>
      </c>
    </row>
    <row r="9" spans="2:12" ht="47.45" customHeight="1">
      <c r="B9" s="210"/>
      <c r="C9" s="280"/>
      <c r="D9" s="277"/>
      <c r="E9" s="158"/>
      <c r="F9" s="278">
        <f>IFERROR(ROUND(VLOOKUP(Calculations!J523,Calculations!$D$521:$H$526,3,FALSE)*E9,4),0)</f>
        <v>0</v>
      </c>
      <c r="G9" s="611">
        <f>IFERROR(ROUND(VLOOKUP(Calculations!J523,Calculations!$D$521:$H$526,4,FALSE)*E9,4),0)</f>
        <v>0</v>
      </c>
      <c r="H9" s="279">
        <f>IFERROR(ROUND(VLOOKUP(Calculations!J523,Calculations!$D$521:$H$526,5,FALSE)*E9,4),0)</f>
        <v>0</v>
      </c>
      <c r="I9" s="276">
        <f>IFERROR(ROUND(VLOOKUP(Calculations!$J523,Calculations!$D$521:$H$526,2)*E9,2),0)</f>
        <v>0</v>
      </c>
      <c r="J9" s="377" t="str">
        <f>IFERROR(ROUND((I9*Incentives!$C$2)+(F9*Incentives!$C$3),2),"")</f>
        <v/>
      </c>
      <c r="K9" s="180" t="str">
        <f>IFERROR(ROUND(J9*Summary!$G$36/Summary!$H$36,2),"")</f>
        <v/>
      </c>
    </row>
    <row r="10" spans="2:12" ht="47.45" customHeight="1">
      <c r="B10" s="210"/>
      <c r="C10" s="280"/>
      <c r="D10" s="277"/>
      <c r="E10" s="158"/>
      <c r="F10" s="278">
        <f>IFERROR(ROUND(VLOOKUP(Calculations!J524,Calculations!$D$521:$H$526,3,FALSE)*E10,4),0)</f>
        <v>0</v>
      </c>
      <c r="G10" s="611">
        <f>IFERROR(ROUND(VLOOKUP(Calculations!J524,Calculations!$D$521:$H$526,4,FALSE)*E10,4),0)</f>
        <v>0</v>
      </c>
      <c r="H10" s="279">
        <f>IFERROR(ROUND(VLOOKUP(Calculations!J524,Calculations!$D$521:$H$526,5,FALSE)*E10,4),0)</f>
        <v>0</v>
      </c>
      <c r="I10" s="276">
        <f>IFERROR(ROUND(VLOOKUP(Calculations!$J524,Calculations!$D$521:$H$526,2)*E10,2),0)</f>
        <v>0</v>
      </c>
      <c r="J10" s="377" t="str">
        <f>IFERROR(ROUND((I10*Incentives!$C$2)+(F10*Incentives!$C$3),2),"")</f>
        <v/>
      </c>
      <c r="K10" s="180" t="str">
        <f>IFERROR(ROUND(J10*Summary!$G$36/Summary!$H$36,2),"")</f>
        <v/>
      </c>
    </row>
    <row r="11" spans="2:12" s="25" customFormat="1" ht="24.95" customHeight="1" thickBot="1">
      <c r="B11" s="880" t="s">
        <v>194</v>
      </c>
      <c r="C11" s="869"/>
      <c r="D11" s="869"/>
      <c r="E11" s="881"/>
      <c r="F11" s="212">
        <f>SUM(F7:F10)</f>
        <v>0</v>
      </c>
      <c r="G11" s="186">
        <f t="shared" ref="G11:H11" si="0">SUM(G7:G10)</f>
        <v>0</v>
      </c>
      <c r="H11" s="212">
        <f t="shared" si="0"/>
        <v>0</v>
      </c>
      <c r="I11" s="218">
        <f>SUM(I7:I10)</f>
        <v>0</v>
      </c>
      <c r="J11" s="212"/>
      <c r="K11" s="333">
        <f>SUM(K7:K10)</f>
        <v>0</v>
      </c>
    </row>
    <row r="13" spans="2:12" hidden="1"/>
    <row r="14" spans="2:12" hidden="1">
      <c r="F14" s="47" t="s">
        <v>856</v>
      </c>
      <c r="G14" s="47" t="s">
        <v>906</v>
      </c>
      <c r="H14" s="1" t="s">
        <v>907</v>
      </c>
      <c r="I14" s="1" t="s">
        <v>908</v>
      </c>
    </row>
    <row r="15" spans="2:12" hidden="1">
      <c r="F15" s="47">
        <v>134.12100000000001</v>
      </c>
      <c r="G15" s="47">
        <v>1.5800000000000002E-2</v>
      </c>
      <c r="H15" s="1">
        <v>1.6500000000000001E-2</v>
      </c>
      <c r="I15" s="1">
        <v>1.6199999999999999E-2</v>
      </c>
    </row>
    <row r="16" spans="2:12" hidden="1">
      <c r="F16" s="47">
        <v>21.72</v>
      </c>
      <c r="G16" s="47">
        <v>2.5999999999999999E-3</v>
      </c>
      <c r="H16" s="1">
        <v>2.7000000000000001E-3</v>
      </c>
      <c r="I16" s="1">
        <v>2.7000000000000001E-3</v>
      </c>
    </row>
    <row r="17" spans="6:9" hidden="1">
      <c r="F17" s="47">
        <v>77.649000000000001</v>
      </c>
      <c r="G17" s="47">
        <v>9.1999999999999998E-3</v>
      </c>
      <c r="H17" s="1">
        <v>9.4999999999999998E-3</v>
      </c>
      <c r="I17" s="1">
        <v>9.4000000000000004E-3</v>
      </c>
    </row>
    <row r="18" spans="6:9" hidden="1">
      <c r="F18" s="47">
        <v>162.9</v>
      </c>
      <c r="G18" s="47">
        <v>1.9199999999999998E-2</v>
      </c>
      <c r="H18" s="1">
        <v>0.02</v>
      </c>
      <c r="I18" s="1">
        <v>1.9599999999999999E-2</v>
      </c>
    </row>
    <row r="19" spans="6:9" hidden="1">
      <c r="F19" s="47">
        <v>21.72</v>
      </c>
      <c r="G19" s="47">
        <v>2.5999999999999999E-3</v>
      </c>
      <c r="H19" s="1">
        <v>2.7000000000000001E-3</v>
      </c>
      <c r="I19" s="1">
        <v>2.7000000000000001E-3</v>
      </c>
    </row>
    <row r="20" spans="6:9" hidden="1">
      <c r="F20" s="47">
        <v>92.31</v>
      </c>
      <c r="G20" s="47">
        <v>1.09E-2</v>
      </c>
      <c r="H20" s="1">
        <v>1.1299999999999999E-2</v>
      </c>
      <c r="I20" s="1">
        <v>1.11E-2</v>
      </c>
    </row>
  </sheetData>
  <sheetProtection algorithmName="SHA-512" hashValue="LVM674mCTVukjuq0KqGZ9u1N87ZhBiaHRNYL+gOGB1Zi1mo74sRidaBtMVj/eSAj+RdcW/mT6mw1o1vVSzVgcw==" saltValue="N0NzUZQVa1oIrwm50ekfcQ==" spinCount="100000" sheet="1" formatColumns="0"/>
  <mergeCells count="3">
    <mergeCell ref="B1:H2"/>
    <mergeCell ref="B3:H3"/>
    <mergeCell ref="B11:E11"/>
  </mergeCells>
  <phoneticPr fontId="100" type="noConversion"/>
  <dataValidations count="1">
    <dataValidation type="whole" allowBlank="1" showInputMessage="1" showErrorMessage="1" sqref="E7:E10" xr:uid="{10B99D1A-325E-4678-AF4A-E3ECC766C7B2}">
      <formula1>0</formula1>
      <formula2>100</formula2>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C11B127-B96C-41DC-8DB7-DD3578C7A369}">
          <x14:formula1>
            <xm:f>Calculations!$B$523:$B$524</xm:f>
          </x14:formula1>
          <xm:sqref>D7:D10</xm:sqref>
        </x14:dataValidation>
        <x14:dataValidation type="list" allowBlank="1" showInputMessage="1" showErrorMessage="1" xr:uid="{83AD335B-6A9C-4C7A-B640-67F51374C2F3}">
          <x14:formula1>
            <xm:f>Calculations!$C$521:$C$523</xm:f>
          </x14:formula1>
          <xm:sqref>C7:C10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90DE-98AA-4BF8-B0B4-FA0EBD083BDF}">
  <sheetPr codeName="Sheet25">
    <tabColor rgb="FFFFF8CA"/>
  </sheetPr>
  <dimension ref="A1:M11"/>
  <sheetViews>
    <sheetView zoomScale="80" zoomScaleNormal="80" workbookViewId="0">
      <selection activeCell="H14" sqref="H14"/>
    </sheetView>
  </sheetViews>
  <sheetFormatPr defaultColWidth="8.625" defaultRowHeight="33.6" customHeight="1"/>
  <cols>
    <col min="1" max="1" width="2.75" style="1" customWidth="1"/>
    <col min="2" max="2" width="32" style="1" customWidth="1"/>
    <col min="3" max="3" width="30.625" style="1" customWidth="1"/>
    <col min="4" max="4" width="32.875" style="1" customWidth="1"/>
    <col min="5" max="5" width="20" style="1" customWidth="1"/>
    <col min="6" max="6" width="16.625" style="1" customWidth="1"/>
    <col min="7" max="7" width="15.375" style="1" customWidth="1"/>
    <col min="8" max="8" width="13.75" style="1" customWidth="1"/>
    <col min="9" max="9" width="15.125" style="1" customWidth="1"/>
    <col min="10" max="10" width="12.625" style="1" customWidth="1"/>
    <col min="11" max="11" width="19" style="1" hidden="1" customWidth="1"/>
    <col min="12" max="12" width="17.125" style="1" customWidth="1"/>
    <col min="13" max="16384" width="8.625" style="1"/>
  </cols>
  <sheetData>
    <row r="1" spans="1:13" ht="32.450000000000003" customHeight="1">
      <c r="B1" s="859" t="s">
        <v>15</v>
      </c>
      <c r="C1" s="859"/>
      <c r="D1" s="859"/>
      <c r="E1" s="859"/>
      <c r="F1" s="859"/>
      <c r="G1" s="859"/>
      <c r="H1" s="859"/>
      <c r="I1" s="859"/>
      <c r="J1" s="859"/>
      <c r="K1" s="859"/>
      <c r="L1" s="859"/>
      <c r="M1" s="859"/>
    </row>
    <row r="2" spans="1:13" ht="16.5" customHeight="1">
      <c r="B2" s="859"/>
      <c r="C2" s="859"/>
      <c r="D2" s="859"/>
      <c r="E2" s="859"/>
      <c r="F2" s="859"/>
      <c r="G2" s="859"/>
      <c r="H2" s="859"/>
      <c r="I2" s="859"/>
      <c r="J2" s="859"/>
      <c r="K2" s="859"/>
      <c r="L2" s="859"/>
      <c r="M2" s="859"/>
    </row>
    <row r="3" spans="1:13" ht="21" customHeight="1">
      <c r="B3" s="847" t="s">
        <v>970</v>
      </c>
      <c r="C3" s="847"/>
      <c r="D3" s="847"/>
      <c r="E3" s="847"/>
      <c r="F3" s="847"/>
      <c r="G3" s="847"/>
      <c r="H3" s="847"/>
      <c r="I3" s="847"/>
      <c r="J3" s="847"/>
      <c r="K3" s="847"/>
      <c r="L3" s="847"/>
      <c r="M3" s="847"/>
    </row>
    <row r="4" spans="1:13" ht="14.1" customHeight="1">
      <c r="B4" s="48"/>
      <c r="C4" s="45"/>
      <c r="D4" s="45"/>
      <c r="E4" s="45"/>
      <c r="F4" s="45"/>
      <c r="G4" s="45"/>
      <c r="H4" s="45"/>
      <c r="I4" s="45"/>
      <c r="J4" s="45"/>
      <c r="K4" s="45"/>
      <c r="L4" s="45"/>
    </row>
    <row r="5" spans="1:13" ht="21.6" customHeight="1" thickBot="1">
      <c r="A5" s="24"/>
      <c r="B5" s="49" t="s">
        <v>15</v>
      </c>
      <c r="C5" s="46"/>
      <c r="D5" s="46"/>
      <c r="E5" s="46"/>
      <c r="F5" s="46"/>
      <c r="G5" s="46"/>
      <c r="H5" s="46"/>
      <c r="I5" s="46"/>
      <c r="J5" s="46"/>
      <c r="K5" s="46"/>
      <c r="L5" s="46"/>
      <c r="M5" s="24"/>
    </row>
    <row r="6" spans="1:13" ht="33.6" customHeight="1">
      <c r="B6" s="166" t="s">
        <v>102</v>
      </c>
      <c r="C6" s="78" t="s">
        <v>104</v>
      </c>
      <c r="D6" s="78" t="s">
        <v>869</v>
      </c>
      <c r="E6" s="78" t="s">
        <v>509</v>
      </c>
      <c r="F6" s="165" t="s">
        <v>439</v>
      </c>
      <c r="G6" s="78" t="s">
        <v>123</v>
      </c>
      <c r="H6" s="332" t="s">
        <v>326</v>
      </c>
      <c r="I6" s="332" t="s">
        <v>325</v>
      </c>
      <c r="J6" s="332" t="s">
        <v>896</v>
      </c>
      <c r="K6" s="78" t="s">
        <v>254</v>
      </c>
      <c r="L6" s="148" t="s">
        <v>881</v>
      </c>
    </row>
    <row r="7" spans="1:13" ht="33.6" customHeight="1">
      <c r="B7" s="346"/>
      <c r="C7" s="345"/>
      <c r="D7" s="345"/>
      <c r="E7" s="344"/>
      <c r="F7" s="357"/>
      <c r="G7" s="343">
        <f>IFERROR(Calculations!D469,0)</f>
        <v>0</v>
      </c>
      <c r="H7" s="342">
        <f>IFERROR(Calculations!E469,0)</f>
        <v>0</v>
      </c>
      <c r="I7" s="342">
        <f>IFERROR(Calculations!F469,0)</f>
        <v>0</v>
      </c>
      <c r="J7" s="342">
        <f>IFERROR(Calculations!G469,0)</f>
        <v>0</v>
      </c>
      <c r="K7" s="370">
        <f>IFERROR(Calculations!H469,0)</f>
        <v>0</v>
      </c>
      <c r="L7" s="373">
        <f>IFERROR(Calculations!I469,0)</f>
        <v>0</v>
      </c>
    </row>
    <row r="8" spans="1:13" ht="33.6" customHeight="1">
      <c r="B8" s="346"/>
      <c r="C8" s="345"/>
      <c r="D8" s="345"/>
      <c r="E8" s="344"/>
      <c r="F8" s="357"/>
      <c r="G8" s="343">
        <f>IFERROR(Calculations!D470,0)</f>
        <v>0</v>
      </c>
      <c r="H8" s="342">
        <f>IFERROR(Calculations!E470,0)</f>
        <v>0</v>
      </c>
      <c r="I8" s="342">
        <f>IFERROR(Calculations!F470,0)</f>
        <v>0</v>
      </c>
      <c r="J8" s="342">
        <f>IFERROR(Calculations!G470,0)</f>
        <v>0</v>
      </c>
      <c r="K8" s="370">
        <f>IFERROR(Calculations!H470,0)</f>
        <v>0</v>
      </c>
      <c r="L8" s="373">
        <f>IFERROR(Calculations!I470,0)</f>
        <v>0</v>
      </c>
    </row>
    <row r="9" spans="1:13" ht="33.6" customHeight="1">
      <c r="B9" s="346"/>
      <c r="C9" s="345"/>
      <c r="D9" s="345"/>
      <c r="E9" s="344"/>
      <c r="F9" s="357"/>
      <c r="G9" s="343">
        <f>IFERROR(Calculations!D471,0)</f>
        <v>0</v>
      </c>
      <c r="H9" s="342">
        <f>IFERROR(Calculations!E471,0)</f>
        <v>0</v>
      </c>
      <c r="I9" s="342">
        <f>IFERROR(Calculations!F471,0)</f>
        <v>0</v>
      </c>
      <c r="J9" s="342">
        <f>IFERROR(Calculations!G471,0)</f>
        <v>0</v>
      </c>
      <c r="K9" s="370">
        <f>IFERROR(Calculations!H471,0)</f>
        <v>0</v>
      </c>
      <c r="L9" s="373">
        <f>IFERROR(Calculations!I471,0)</f>
        <v>0</v>
      </c>
    </row>
    <row r="10" spans="1:13" ht="33.6" customHeight="1">
      <c r="B10" s="346"/>
      <c r="C10" s="345"/>
      <c r="D10" s="345"/>
      <c r="E10" s="344"/>
      <c r="F10" s="357"/>
      <c r="G10" s="343">
        <f>IFERROR(Calculations!D472,0)</f>
        <v>0</v>
      </c>
      <c r="H10" s="342">
        <f>IFERROR(Calculations!E472,0)</f>
        <v>0</v>
      </c>
      <c r="I10" s="342">
        <f>IFERROR(Calculations!F472,0)</f>
        <v>0</v>
      </c>
      <c r="J10" s="342">
        <f>IFERROR(Calculations!G472,0)</f>
        <v>0</v>
      </c>
      <c r="K10" s="370">
        <f>IFERROR(Calculations!H472,0)</f>
        <v>0</v>
      </c>
      <c r="L10" s="373">
        <f>IFERROR(Calculations!I472,0)</f>
        <v>0</v>
      </c>
    </row>
    <row r="11" spans="1:13" ht="33.6" customHeight="1" thickBot="1">
      <c r="B11" s="880" t="s">
        <v>194</v>
      </c>
      <c r="C11" s="869"/>
      <c r="D11" s="869"/>
      <c r="E11" s="869"/>
      <c r="F11" s="881"/>
      <c r="G11" s="341">
        <f>SUM(G7:G10)</f>
        <v>0</v>
      </c>
      <c r="H11" s="340">
        <f>SUM(H7:H9)</f>
        <v>0</v>
      </c>
      <c r="I11" s="340">
        <f>SUM(I7:I10)</f>
        <v>0</v>
      </c>
      <c r="J11" s="340">
        <f>SUM(J7:J10)</f>
        <v>0</v>
      </c>
      <c r="K11" s="371">
        <f>SUM(K7:K10)</f>
        <v>0</v>
      </c>
      <c r="L11" s="374">
        <f>SUM(L7:L10)</f>
        <v>0</v>
      </c>
    </row>
  </sheetData>
  <sheetProtection algorithmName="SHA-512" hashValue="37/q4OESl69umogNoKrwmQ1RBFyKlMF/XTfSGoiIUCGS3ZAkJyNV7OdCH8db33q15vnrMqR3SJtQxhX06yFDsg==" saltValue="AMud5ypzOV4plh4F/VX9WA==" spinCount="100000" sheet="1" objects="1" scenarios="1"/>
  <mergeCells count="3">
    <mergeCell ref="B1:M2"/>
    <mergeCell ref="B3:M3"/>
    <mergeCell ref="B11:F11"/>
  </mergeCells>
  <phoneticPr fontId="100" type="noConversion"/>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E9C02A2-B15D-45FE-94C6-58E0F057CB19}">
          <x14:formula1>
            <xm:f>Calculations!$B$457:$B$464</xm:f>
          </x14:formula1>
          <xm:sqref>D7:D10</xm:sqref>
        </x14:dataValidation>
        <x14:dataValidation type="list" allowBlank="1" showInputMessage="1" showErrorMessage="1" xr:uid="{5DD5B91E-9D27-42E0-B155-9BD0FD61F589}">
          <x14:formula1>
            <xm:f>Calculations!$C$457:$C$464</xm:f>
          </x14:formula1>
          <xm:sqref>E7:E10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B4F61-0E6C-47DD-9EA5-9F6364CE8C74}">
  <sheetPr codeName="Sheet26">
    <tabColor theme="8" tint="0.79998168889431442"/>
  </sheetPr>
  <dimension ref="A1:N11"/>
  <sheetViews>
    <sheetView zoomScale="80" zoomScaleNormal="80" workbookViewId="0">
      <selection activeCell="G16" sqref="G16"/>
    </sheetView>
  </sheetViews>
  <sheetFormatPr defaultColWidth="20.125" defaultRowHeight="26.1" customHeight="1"/>
  <cols>
    <col min="1" max="1" width="3" style="1" customWidth="1"/>
    <col min="2" max="12" width="20.125" style="1"/>
    <col min="13" max="13" width="0" style="1" hidden="1" customWidth="1"/>
    <col min="14" max="16384" width="20.125" style="1"/>
  </cols>
  <sheetData>
    <row r="1" spans="1:14" ht="26.1" customHeight="1">
      <c r="B1" s="859" t="s">
        <v>349</v>
      </c>
      <c r="C1" s="859"/>
      <c r="D1" s="859"/>
      <c r="E1" s="859"/>
      <c r="F1" s="859"/>
      <c r="G1" s="859"/>
      <c r="H1" s="859"/>
      <c r="I1" s="859"/>
      <c r="J1" s="859"/>
      <c r="K1" s="859"/>
      <c r="L1" s="859"/>
    </row>
    <row r="2" spans="1:14" ht="18.600000000000001" customHeight="1">
      <c r="B2" s="859"/>
      <c r="C2" s="859"/>
      <c r="D2" s="859"/>
      <c r="E2" s="859"/>
      <c r="F2" s="859"/>
      <c r="G2" s="859"/>
      <c r="H2" s="859"/>
      <c r="I2" s="859"/>
      <c r="J2" s="859"/>
      <c r="K2" s="859"/>
      <c r="L2" s="859"/>
    </row>
    <row r="3" spans="1:14" ht="20.100000000000001" customHeight="1">
      <c r="B3" s="847" t="s">
        <v>970</v>
      </c>
      <c r="C3" s="847"/>
      <c r="D3" s="847"/>
      <c r="E3" s="847"/>
      <c r="F3" s="847"/>
      <c r="G3" s="847"/>
      <c r="H3" s="847"/>
      <c r="I3" s="847"/>
      <c r="J3" s="847"/>
      <c r="K3" s="847"/>
      <c r="L3" s="847"/>
    </row>
    <row r="4" spans="1:14" ht="10.5" customHeight="1">
      <c r="B4" s="48"/>
      <c r="C4" s="45"/>
      <c r="D4" s="45"/>
      <c r="E4" s="45"/>
      <c r="F4" s="45"/>
      <c r="G4" s="45"/>
      <c r="H4" s="45"/>
      <c r="I4" s="45"/>
      <c r="J4" s="45"/>
      <c r="K4" s="45"/>
    </row>
    <row r="5" spans="1:14" ht="14.45" customHeight="1" thickBot="1">
      <c r="A5" s="24"/>
      <c r="B5" s="49" t="str">
        <f>Calculations!B477</f>
        <v>Server Virtualization</v>
      </c>
      <c r="C5" s="46"/>
      <c r="D5" s="46"/>
      <c r="E5" s="46"/>
      <c r="F5" s="46"/>
      <c r="G5" s="46"/>
      <c r="H5" s="46"/>
      <c r="I5" s="46"/>
      <c r="J5" s="46"/>
      <c r="K5" s="46"/>
      <c r="L5" s="24"/>
    </row>
    <row r="6" spans="1:14" ht="44.1" customHeight="1">
      <c r="B6" s="391" t="s">
        <v>102</v>
      </c>
      <c r="C6" s="113" t="s">
        <v>104</v>
      </c>
      <c r="D6" s="113" t="s">
        <v>1010</v>
      </c>
      <c r="E6" s="113" t="s">
        <v>1011</v>
      </c>
      <c r="F6" s="113" t="s">
        <v>1012</v>
      </c>
      <c r="G6" s="113" t="s">
        <v>1013</v>
      </c>
      <c r="H6" s="390" t="s">
        <v>110</v>
      </c>
      <c r="I6" s="113" t="s">
        <v>123</v>
      </c>
      <c r="J6" s="389" t="s">
        <v>878</v>
      </c>
      <c r="K6" s="389" t="s">
        <v>879</v>
      </c>
      <c r="L6" s="389" t="s">
        <v>880</v>
      </c>
      <c r="M6" s="113" t="s">
        <v>254</v>
      </c>
      <c r="N6" s="388" t="s">
        <v>881</v>
      </c>
    </row>
    <row r="7" spans="1:14" ht="26.1" customHeight="1">
      <c r="B7" s="387"/>
      <c r="C7" s="386"/>
      <c r="D7" s="385"/>
      <c r="E7" s="397"/>
      <c r="F7" s="385"/>
      <c r="G7" s="385"/>
      <c r="H7" s="384"/>
      <c r="I7" s="383">
        <f>IFERROR(Calculations!J494,0)</f>
        <v>0</v>
      </c>
      <c r="J7" s="382">
        <f>IFERROR(Calculations!K494,0)</f>
        <v>0</v>
      </c>
      <c r="K7" s="382">
        <f>IFERROR(Calculations!L494,0)</f>
        <v>0</v>
      </c>
      <c r="L7" s="382">
        <f>IFERROR(Calculations!M494,0)</f>
        <v>0</v>
      </c>
      <c r="M7" s="370">
        <f>IFERROR(Calculations!N494,0)</f>
        <v>0</v>
      </c>
      <c r="N7" s="401">
        <f>IFERROR(Calculations!O494,0)</f>
        <v>0</v>
      </c>
    </row>
    <row r="8" spans="1:14" ht="26.1" customHeight="1">
      <c r="B8" s="387"/>
      <c r="C8" s="386"/>
      <c r="D8" s="385"/>
      <c r="E8" s="397"/>
      <c r="F8" s="385"/>
      <c r="G8" s="385"/>
      <c r="H8" s="384"/>
      <c r="I8" s="383">
        <f>IFERROR(Calculations!J495,0)</f>
        <v>0</v>
      </c>
      <c r="J8" s="382">
        <f>IFERROR(Calculations!K495,0)</f>
        <v>0</v>
      </c>
      <c r="K8" s="382">
        <f>IFERROR(Calculations!L495,0)</f>
        <v>0</v>
      </c>
      <c r="L8" s="382">
        <f>IFERROR(Calculations!M495,0)</f>
        <v>0</v>
      </c>
      <c r="M8" s="370">
        <f>IFERROR(Calculations!N495,0)</f>
        <v>0</v>
      </c>
      <c r="N8" s="401">
        <f>IFERROR(Calculations!O495,0)</f>
        <v>0</v>
      </c>
    </row>
    <row r="9" spans="1:14" ht="26.1" customHeight="1">
      <c r="B9" s="387"/>
      <c r="C9" s="386"/>
      <c r="D9" s="385"/>
      <c r="E9" s="397"/>
      <c r="F9" s="385"/>
      <c r="G9" s="385"/>
      <c r="H9" s="384"/>
      <c r="I9" s="383">
        <f>IFERROR(Calculations!J496,0)</f>
        <v>0</v>
      </c>
      <c r="J9" s="382">
        <f>IFERROR(Calculations!K496,0)</f>
        <v>0</v>
      </c>
      <c r="K9" s="382">
        <f>IFERROR(Calculations!L496,0)</f>
        <v>0</v>
      </c>
      <c r="L9" s="382">
        <f>IFERROR(Calculations!M496,0)</f>
        <v>0</v>
      </c>
      <c r="M9" s="370">
        <f>IFERROR(Calculations!N496,0)</f>
        <v>0</v>
      </c>
      <c r="N9" s="401">
        <f>IFERROR(Calculations!O496,0)</f>
        <v>0</v>
      </c>
    </row>
    <row r="10" spans="1:14" ht="26.1" customHeight="1">
      <c r="B10" s="387"/>
      <c r="C10" s="386"/>
      <c r="D10" s="385"/>
      <c r="E10" s="397"/>
      <c r="F10" s="385"/>
      <c r="G10" s="385"/>
      <c r="H10" s="384"/>
      <c r="I10" s="383">
        <f>IFERROR(Calculations!J497,0)</f>
        <v>0</v>
      </c>
      <c r="J10" s="382">
        <f>IFERROR(Calculations!K497,0)</f>
        <v>0</v>
      </c>
      <c r="K10" s="382">
        <f>IFERROR(Calculations!L497,0)</f>
        <v>0</v>
      </c>
      <c r="L10" s="382">
        <f>IFERROR(Calculations!M497,0)</f>
        <v>0</v>
      </c>
      <c r="M10" s="370">
        <f>IFERROR(Calculations!N497,0)</f>
        <v>0</v>
      </c>
      <c r="N10" s="401">
        <f>IFERROR(Calculations!O497,0)</f>
        <v>0</v>
      </c>
    </row>
    <row r="11" spans="1:14" ht="26.1" customHeight="1" thickBot="1">
      <c r="B11" s="381" t="s">
        <v>194</v>
      </c>
      <c r="C11" s="380"/>
      <c r="D11" s="380"/>
      <c r="E11" s="380"/>
      <c r="F11" s="380"/>
      <c r="G11" s="380"/>
      <c r="H11" s="380"/>
      <c r="I11" s="379">
        <f t="shared" ref="I11:N11" si="0">SUM(I7:I10)</f>
        <v>0</v>
      </c>
      <c r="J11" s="378">
        <f t="shared" si="0"/>
        <v>0</v>
      </c>
      <c r="K11" s="378">
        <f t="shared" si="0"/>
        <v>0</v>
      </c>
      <c r="L11" s="378">
        <f t="shared" si="0"/>
        <v>0</v>
      </c>
      <c r="M11" s="371">
        <f t="shared" si="0"/>
        <v>0</v>
      </c>
      <c r="N11" s="402">
        <f t="shared" si="0"/>
        <v>0</v>
      </c>
    </row>
  </sheetData>
  <mergeCells count="2">
    <mergeCell ref="B1:L2"/>
    <mergeCell ref="B3:L3"/>
  </mergeCells>
  <dataValidations count="1">
    <dataValidation type="whole" allowBlank="1" showInputMessage="1" showErrorMessage="1" sqref="H7:H10" xr:uid="{529BED27-7F91-4ABC-844B-AF45F9FA9D45}">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43D06AC-E426-4DB2-9C1E-0208895F202B}">
          <x14:formula1>
            <xm:f>Calculations!$B$488:$B$489</xm:f>
          </x14:formula1>
          <xm:sqref>G7:G10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94CE4-18E6-44D9-83A7-A02E92FB56B1}">
  <sheetPr codeName="Sheet18">
    <tabColor rgb="FFFFF8CA"/>
  </sheetPr>
  <dimension ref="B1:K11"/>
  <sheetViews>
    <sheetView zoomScale="80" zoomScaleNormal="80" workbookViewId="0">
      <selection activeCell="G7" sqref="G7:H10"/>
    </sheetView>
  </sheetViews>
  <sheetFormatPr defaultColWidth="8.625" defaultRowHeight="14.25"/>
  <cols>
    <col min="1" max="1" width="3.625" style="1" customWidth="1"/>
    <col min="2" max="2" width="26.625" style="50" customWidth="1"/>
    <col min="3" max="3" width="18.125" style="47" customWidth="1"/>
    <col min="4" max="4" width="18.125" style="47" hidden="1" customWidth="1"/>
    <col min="5" max="5" width="18.125" style="47" customWidth="1"/>
    <col min="6" max="6" width="46.125" style="47" customWidth="1"/>
    <col min="7" max="7" width="46" style="1" customWidth="1"/>
    <col min="8" max="8" width="28.125" style="1" customWidth="1"/>
    <col min="9" max="9" width="23.875" style="1" bestFit="1" customWidth="1"/>
    <col min="10" max="10" width="13.375" style="1" customWidth="1"/>
    <col min="11" max="11" width="18.125" style="1" bestFit="1" customWidth="1"/>
    <col min="12" max="12" width="13.625" style="1" customWidth="1"/>
    <col min="13" max="13" width="19.125" style="1" customWidth="1"/>
    <col min="14" max="14" width="15.625" style="1" customWidth="1"/>
    <col min="15" max="16384" width="8.625" style="1"/>
  </cols>
  <sheetData>
    <row r="1" spans="2:11">
      <c r="B1" s="859" t="s">
        <v>345</v>
      </c>
      <c r="C1" s="859"/>
      <c r="D1" s="859"/>
      <c r="E1" s="859"/>
      <c r="F1" s="859"/>
      <c r="G1" s="859"/>
      <c r="J1" s="116"/>
      <c r="K1" s="162"/>
    </row>
    <row r="2" spans="2:11">
      <c r="B2" s="859"/>
      <c r="C2" s="859"/>
      <c r="D2" s="859"/>
      <c r="E2" s="859"/>
      <c r="F2" s="859"/>
      <c r="G2" s="859"/>
      <c r="J2" s="116"/>
      <c r="K2" s="164"/>
    </row>
    <row r="3" spans="2:11">
      <c r="B3" s="847" t="s">
        <v>970</v>
      </c>
      <c r="C3" s="847"/>
      <c r="D3" s="847"/>
      <c r="E3" s="847"/>
      <c r="F3" s="847"/>
      <c r="G3" s="847"/>
    </row>
    <row r="4" spans="2:11" ht="9" customHeight="1">
      <c r="B4" s="48"/>
      <c r="C4" s="45"/>
      <c r="D4" s="45"/>
      <c r="E4" s="45"/>
      <c r="F4" s="45"/>
    </row>
    <row r="5" spans="2:11" s="24" customFormat="1" ht="24.95" customHeight="1" thickBot="1">
      <c r="B5" s="49" t="s">
        <v>345</v>
      </c>
      <c r="C5" s="46"/>
      <c r="D5" s="46"/>
      <c r="E5" s="46"/>
      <c r="F5" s="46"/>
    </row>
    <row r="6" spans="2:11" ht="24.95" customHeight="1">
      <c r="B6" s="77" t="s">
        <v>121</v>
      </c>
      <c r="C6" s="78" t="s">
        <v>123</v>
      </c>
      <c r="D6" s="78" t="s">
        <v>1014</v>
      </c>
      <c r="E6" s="78" t="s">
        <v>881</v>
      </c>
      <c r="F6" s="78" t="s">
        <v>102</v>
      </c>
      <c r="G6" s="78" t="s">
        <v>1004</v>
      </c>
      <c r="H6" s="80" t="s">
        <v>110</v>
      </c>
      <c r="K6" s="52"/>
    </row>
    <row r="7" spans="2:11" ht="24.95" customHeight="1">
      <c r="B7" s="213">
        <f>IFERROR(ROUND(VLOOKUP(G7,Calculations!$C$300:$E$301,3,FALSE)*H7,4),0)</f>
        <v>0</v>
      </c>
      <c r="C7" s="276">
        <f>IFERROR(ROUND(VLOOKUP(G7,Calculations!$C$300:$E$301,2)*H7,2),0)</f>
        <v>0</v>
      </c>
      <c r="D7" s="279" t="str">
        <f>IFERROR(ROUND(C7*Incentives!$C$2+'Network Power Management'!B7*Incentives!$C$3,2),"")</f>
        <v/>
      </c>
      <c r="E7" s="273" t="str">
        <f>IFERROR(ROUND(D7*Summary!$G$36/Summary!$H$36,2),"")</f>
        <v/>
      </c>
      <c r="F7" s="270"/>
      <c r="G7" s="270"/>
      <c r="H7" s="211"/>
    </row>
    <row r="8" spans="2:11" ht="24.95" customHeight="1">
      <c r="B8" s="213">
        <f>IFERROR(ROUND(VLOOKUP(G8,Calculations!$C$300:$E$301,3,FALSE)*H8,4),0)</f>
        <v>0</v>
      </c>
      <c r="C8" s="276">
        <f>IFERROR(ROUND(VLOOKUP(G8,Calculations!$C$300:$E$301,2)*H8,2),0)</f>
        <v>0</v>
      </c>
      <c r="D8" s="279" t="str">
        <f>IFERROR(ROUND(C8*Incentives!$C$2+'Network Power Management'!B8*Incentives!$C$3,2),"")</f>
        <v/>
      </c>
      <c r="E8" s="273" t="str">
        <f>IFERROR(ROUND(D8*Summary!$G$36/Summary!$H$36,2),"")</f>
        <v/>
      </c>
      <c r="F8" s="270"/>
      <c r="G8" s="270"/>
      <c r="H8" s="211"/>
    </row>
    <row r="9" spans="2:11" ht="24.95" customHeight="1">
      <c r="B9" s="213">
        <f>IFERROR(ROUND(VLOOKUP(G9,Calculations!$C$300:$E$301,3,FALSE)*H9,4),0)</f>
        <v>0</v>
      </c>
      <c r="C9" s="276">
        <f>IFERROR(ROUND(VLOOKUP(G9,Calculations!$C$300:$E$301,2)*H9,2),0)</f>
        <v>0</v>
      </c>
      <c r="D9" s="279" t="str">
        <f>IFERROR(ROUND(C9*Incentives!$C$2+'Network Power Management'!B9*Incentives!$C$3,2),"")</f>
        <v/>
      </c>
      <c r="E9" s="273" t="str">
        <f>IFERROR(ROUND(D9*Summary!$G$36/Summary!$H$36,2),"")</f>
        <v/>
      </c>
      <c r="F9" s="270"/>
      <c r="G9" s="270"/>
      <c r="H9" s="211"/>
    </row>
    <row r="10" spans="2:11" ht="24.95" customHeight="1">
      <c r="B10" s="213">
        <f>IFERROR(ROUND(VLOOKUP(G10,Calculations!$C$300:$E$301,3,FALSE)*H10,4),0)</f>
        <v>0</v>
      </c>
      <c r="C10" s="276">
        <f>IFERROR(ROUND(VLOOKUP(G10,Calculations!$C$300:$E$301,2)*H10,2),0)</f>
        <v>0</v>
      </c>
      <c r="D10" s="279" t="str">
        <f>IFERROR(ROUND(C10*Incentives!$C$2+'Network Power Management'!B10*Incentives!$C$3,2),"")</f>
        <v/>
      </c>
      <c r="E10" s="273" t="str">
        <f>IFERROR(ROUND(D10*Summary!$G$36/Summary!$H$36,2),"")</f>
        <v/>
      </c>
      <c r="F10" s="270"/>
      <c r="G10" s="270"/>
      <c r="H10" s="211"/>
    </row>
    <row r="11" spans="2:11" s="25" customFormat="1" ht="24.95" customHeight="1" thickBot="1">
      <c r="B11" s="214">
        <f>SUM(B7:B10)</f>
        <v>0</v>
      </c>
      <c r="C11" s="218">
        <f>SUM(C7:C10)</f>
        <v>0</v>
      </c>
      <c r="D11" s="212"/>
      <c r="E11" s="219">
        <f>SUM(E7:E10)</f>
        <v>0</v>
      </c>
      <c r="F11" s="868" t="s">
        <v>194</v>
      </c>
      <c r="G11" s="869"/>
      <c r="H11" s="870"/>
    </row>
  </sheetData>
  <sheetProtection formatColumns="0"/>
  <mergeCells count="3">
    <mergeCell ref="B1:G2"/>
    <mergeCell ref="B3:G3"/>
    <mergeCell ref="F11:H11"/>
  </mergeCells>
  <phoneticPr fontId="100" type="noConversion"/>
  <dataValidations count="1">
    <dataValidation type="whole" allowBlank="1" showInputMessage="1" showErrorMessage="1" sqref="H7:H10" xr:uid="{39B9D784-36C6-417A-9365-9929413B1BC8}">
      <formula1>0</formula1>
      <formula2>100</formula2>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B2FB05-0DB7-40B6-875A-513F5DF554FF}">
          <x14:formula1>
            <xm:f>Calculations!$C$300:$C$301</xm:f>
          </x14:formula1>
          <xm:sqref>G7:G10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531C-B108-46B7-AF7B-A812D56F47C5}">
  <sheetPr codeName="Sheet20"/>
  <dimension ref="A1:E2223"/>
  <sheetViews>
    <sheetView workbookViewId="0">
      <selection activeCell="C1640" sqref="C1640"/>
    </sheetView>
  </sheetViews>
  <sheetFormatPr defaultRowHeight="14.25"/>
  <cols>
    <col min="1" max="1" width="6.625" bestFit="1" customWidth="1"/>
    <col min="2" max="2" width="15.625" bestFit="1" customWidth="1"/>
    <col min="3" max="3" width="20" bestFit="1" customWidth="1"/>
    <col min="5" max="5" width="16.875" bestFit="1" customWidth="1"/>
  </cols>
  <sheetData>
    <row r="1" spans="1:5" ht="15.75">
      <c r="A1" s="220" t="s">
        <v>32</v>
      </c>
      <c r="B1" s="221" t="s">
        <v>33</v>
      </c>
      <c r="C1" s="220" t="s">
        <v>34</v>
      </c>
    </row>
    <row r="2" spans="1:5" ht="15">
      <c r="A2" s="222">
        <v>15001</v>
      </c>
      <c r="B2" s="223" t="s">
        <v>35</v>
      </c>
      <c r="C2" s="222" t="s">
        <v>36</v>
      </c>
      <c r="E2" s="442"/>
    </row>
    <row r="3" spans="1:5" ht="15">
      <c r="A3" s="222">
        <v>15003</v>
      </c>
      <c r="B3" s="223" t="s">
        <v>35</v>
      </c>
      <c r="C3" s="222" t="s">
        <v>36</v>
      </c>
      <c r="E3" s="442"/>
    </row>
    <row r="4" spans="1:5" ht="15">
      <c r="A4" s="222">
        <v>15004</v>
      </c>
      <c r="B4" s="223" t="s">
        <v>35</v>
      </c>
      <c r="C4" s="222" t="s">
        <v>36</v>
      </c>
      <c r="E4" s="442"/>
    </row>
    <row r="5" spans="1:5" ht="15">
      <c r="A5" s="222">
        <v>15005</v>
      </c>
      <c r="B5" s="223" t="s">
        <v>35</v>
      </c>
      <c r="C5" s="222" t="s">
        <v>36</v>
      </c>
      <c r="E5" s="442"/>
    </row>
    <row r="6" spans="1:5" ht="15">
      <c r="A6" s="222">
        <v>15006</v>
      </c>
      <c r="B6" s="223" t="s">
        <v>35</v>
      </c>
      <c r="C6" s="222" t="s">
        <v>36</v>
      </c>
    </row>
    <row r="7" spans="1:5" ht="15">
      <c r="A7" s="222">
        <v>15007</v>
      </c>
      <c r="B7" s="223" t="s">
        <v>35</v>
      </c>
      <c r="C7" s="222" t="s">
        <v>36</v>
      </c>
      <c r="E7" s="442"/>
    </row>
    <row r="8" spans="1:5" ht="15">
      <c r="A8" s="222">
        <v>15009</v>
      </c>
      <c r="B8" s="223" t="s">
        <v>35</v>
      </c>
      <c r="C8" s="222" t="s">
        <v>36</v>
      </c>
      <c r="E8" s="442"/>
    </row>
    <row r="9" spans="1:5" ht="15">
      <c r="A9" s="222">
        <v>15010</v>
      </c>
      <c r="B9" s="223" t="s">
        <v>35</v>
      </c>
      <c r="C9" s="222" t="s">
        <v>36</v>
      </c>
      <c r="E9" s="442"/>
    </row>
    <row r="10" spans="1:5" ht="15">
      <c r="A10" s="222">
        <v>15012</v>
      </c>
      <c r="B10" s="223" t="s">
        <v>35</v>
      </c>
      <c r="C10" s="222" t="s">
        <v>36</v>
      </c>
      <c r="E10" s="442"/>
    </row>
    <row r="11" spans="1:5" ht="15">
      <c r="A11" s="222">
        <v>15014</v>
      </c>
      <c r="B11" s="223" t="s">
        <v>35</v>
      </c>
      <c r="C11" s="222" t="s">
        <v>36</v>
      </c>
    </row>
    <row r="12" spans="1:5" ht="15">
      <c r="A12" s="222">
        <v>15015</v>
      </c>
      <c r="B12" s="223" t="s">
        <v>35</v>
      </c>
      <c r="C12" s="222" t="s">
        <v>36</v>
      </c>
    </row>
    <row r="13" spans="1:5" ht="15">
      <c r="A13" s="222">
        <v>15017</v>
      </c>
      <c r="B13" s="223" t="s">
        <v>35</v>
      </c>
      <c r="C13" s="222" t="s">
        <v>36</v>
      </c>
    </row>
    <row r="14" spans="1:5" ht="15">
      <c r="A14" s="222">
        <v>15018</v>
      </c>
      <c r="B14" s="223" t="s">
        <v>35</v>
      </c>
      <c r="C14" s="222" t="s">
        <v>36</v>
      </c>
    </row>
    <row r="15" spans="1:5" ht="15">
      <c r="A15" s="222">
        <v>15019</v>
      </c>
      <c r="B15" s="223" t="s">
        <v>35</v>
      </c>
      <c r="C15" s="222" t="s">
        <v>36</v>
      </c>
    </row>
    <row r="16" spans="1:5" ht="15">
      <c r="A16" s="222">
        <v>15020</v>
      </c>
      <c r="B16" s="223" t="s">
        <v>35</v>
      </c>
      <c r="C16" s="222" t="s">
        <v>36</v>
      </c>
    </row>
    <row r="17" spans="1:3" ht="15">
      <c r="A17" s="222">
        <v>15021</v>
      </c>
      <c r="B17" s="223" t="s">
        <v>35</v>
      </c>
      <c r="C17" s="222" t="s">
        <v>36</v>
      </c>
    </row>
    <row r="18" spans="1:3" ht="15">
      <c r="A18" s="222">
        <v>15022</v>
      </c>
      <c r="B18" s="223" t="s">
        <v>35</v>
      </c>
      <c r="C18" s="222" t="s">
        <v>36</v>
      </c>
    </row>
    <row r="19" spans="1:3" ht="15">
      <c r="A19" s="222">
        <v>15024</v>
      </c>
      <c r="B19" s="223" t="s">
        <v>35</v>
      </c>
      <c r="C19" s="222" t="s">
        <v>36</v>
      </c>
    </row>
    <row r="20" spans="1:3" ht="15">
      <c r="A20" s="222">
        <v>15025</v>
      </c>
      <c r="B20" s="223" t="s">
        <v>35</v>
      </c>
      <c r="C20" s="222" t="s">
        <v>36</v>
      </c>
    </row>
    <row r="21" spans="1:3" ht="15">
      <c r="A21" s="222">
        <v>15026</v>
      </c>
      <c r="B21" s="223" t="s">
        <v>35</v>
      </c>
      <c r="C21" s="222" t="s">
        <v>36</v>
      </c>
    </row>
    <row r="22" spans="1:3" ht="15">
      <c r="A22" s="222">
        <v>15027</v>
      </c>
      <c r="B22" s="223" t="s">
        <v>35</v>
      </c>
      <c r="C22" s="222" t="s">
        <v>36</v>
      </c>
    </row>
    <row r="23" spans="1:3" ht="15">
      <c r="A23" s="222">
        <v>15028</v>
      </c>
      <c r="B23" s="223" t="s">
        <v>35</v>
      </c>
      <c r="C23" s="222" t="s">
        <v>36</v>
      </c>
    </row>
    <row r="24" spans="1:3" ht="15">
      <c r="A24" s="222">
        <v>15030</v>
      </c>
      <c r="B24" s="223" t="s">
        <v>35</v>
      </c>
      <c r="C24" s="222" t="s">
        <v>36</v>
      </c>
    </row>
    <row r="25" spans="1:3" ht="15">
      <c r="A25" s="222">
        <v>15031</v>
      </c>
      <c r="B25" s="223" t="s">
        <v>35</v>
      </c>
      <c r="C25" s="222" t="s">
        <v>36</v>
      </c>
    </row>
    <row r="26" spans="1:3" ht="15">
      <c r="A26" s="222">
        <v>15032</v>
      </c>
      <c r="B26" s="223" t="s">
        <v>35</v>
      </c>
      <c r="C26" s="222" t="s">
        <v>36</v>
      </c>
    </row>
    <row r="27" spans="1:3" ht="15">
      <c r="A27" s="222">
        <v>15033</v>
      </c>
      <c r="B27" s="223" t="s">
        <v>35</v>
      </c>
      <c r="C27" s="222" t="s">
        <v>36</v>
      </c>
    </row>
    <row r="28" spans="1:3" ht="15">
      <c r="A28" s="222">
        <v>15034</v>
      </c>
      <c r="B28" s="223" t="s">
        <v>35</v>
      </c>
      <c r="C28" s="222" t="s">
        <v>36</v>
      </c>
    </row>
    <row r="29" spans="1:3" ht="15">
      <c r="A29" s="222">
        <v>15035</v>
      </c>
      <c r="B29" s="223" t="s">
        <v>35</v>
      </c>
      <c r="C29" s="222" t="s">
        <v>36</v>
      </c>
    </row>
    <row r="30" spans="1:3" ht="15">
      <c r="A30" s="222">
        <v>15036</v>
      </c>
      <c r="B30" s="223" t="s">
        <v>35</v>
      </c>
      <c r="C30" s="222" t="s">
        <v>36</v>
      </c>
    </row>
    <row r="31" spans="1:3" ht="15">
      <c r="A31" s="222">
        <v>15037</v>
      </c>
      <c r="B31" s="223" t="s">
        <v>35</v>
      </c>
      <c r="C31" s="222" t="s">
        <v>36</v>
      </c>
    </row>
    <row r="32" spans="1:3" ht="15">
      <c r="A32" s="222">
        <v>15038</v>
      </c>
      <c r="B32" s="223" t="s">
        <v>35</v>
      </c>
      <c r="C32" s="222" t="s">
        <v>36</v>
      </c>
    </row>
    <row r="33" spans="1:3" ht="15">
      <c r="A33" s="222">
        <v>15042</v>
      </c>
      <c r="B33" s="223" t="s">
        <v>35</v>
      </c>
      <c r="C33" s="222" t="s">
        <v>36</v>
      </c>
    </row>
    <row r="34" spans="1:3" ht="15">
      <c r="A34" s="222">
        <v>15043</v>
      </c>
      <c r="B34" s="223" t="s">
        <v>35</v>
      </c>
      <c r="C34" s="222" t="s">
        <v>36</v>
      </c>
    </row>
    <row r="35" spans="1:3" ht="15">
      <c r="A35" s="222">
        <v>15044</v>
      </c>
      <c r="B35" s="223" t="s">
        <v>35</v>
      </c>
      <c r="C35" s="222" t="s">
        <v>36</v>
      </c>
    </row>
    <row r="36" spans="1:3" ht="15">
      <c r="A36" s="222">
        <v>15045</v>
      </c>
      <c r="B36" s="223" t="s">
        <v>35</v>
      </c>
      <c r="C36" s="222" t="s">
        <v>36</v>
      </c>
    </row>
    <row r="37" spans="1:3" ht="15">
      <c r="A37" s="222">
        <v>15046</v>
      </c>
      <c r="B37" s="223" t="s">
        <v>35</v>
      </c>
      <c r="C37" s="222" t="s">
        <v>36</v>
      </c>
    </row>
    <row r="38" spans="1:3" ht="15">
      <c r="A38" s="222">
        <v>15047</v>
      </c>
      <c r="B38" s="223" t="s">
        <v>35</v>
      </c>
      <c r="C38" s="222" t="s">
        <v>36</v>
      </c>
    </row>
    <row r="39" spans="1:3" ht="15">
      <c r="A39" s="222">
        <v>15049</v>
      </c>
      <c r="B39" s="223" t="s">
        <v>35</v>
      </c>
      <c r="C39" s="222" t="s">
        <v>36</v>
      </c>
    </row>
    <row r="40" spans="1:3" ht="15">
      <c r="A40" s="222">
        <v>15050</v>
      </c>
      <c r="B40" s="223" t="s">
        <v>35</v>
      </c>
      <c r="C40" s="222" t="s">
        <v>36</v>
      </c>
    </row>
    <row r="41" spans="1:3" ht="15">
      <c r="A41" s="222">
        <v>15051</v>
      </c>
      <c r="B41" s="223" t="s">
        <v>35</v>
      </c>
      <c r="C41" s="222" t="s">
        <v>36</v>
      </c>
    </row>
    <row r="42" spans="1:3" ht="15">
      <c r="A42" s="222">
        <v>15052</v>
      </c>
      <c r="B42" s="223" t="s">
        <v>35</v>
      </c>
      <c r="C42" s="222" t="s">
        <v>36</v>
      </c>
    </row>
    <row r="43" spans="1:3" ht="15">
      <c r="A43" s="222">
        <v>15053</v>
      </c>
      <c r="B43" s="223" t="s">
        <v>35</v>
      </c>
      <c r="C43" s="222" t="s">
        <v>36</v>
      </c>
    </row>
    <row r="44" spans="1:3" ht="15">
      <c r="A44" s="222">
        <v>15054</v>
      </c>
      <c r="B44" s="223" t="s">
        <v>35</v>
      </c>
      <c r="C44" s="222" t="s">
        <v>36</v>
      </c>
    </row>
    <row r="45" spans="1:3" ht="15">
      <c r="A45" s="222">
        <v>15055</v>
      </c>
      <c r="B45" s="223" t="s">
        <v>35</v>
      </c>
      <c r="C45" s="222" t="s">
        <v>36</v>
      </c>
    </row>
    <row r="46" spans="1:3" ht="15">
      <c r="A46" s="222">
        <v>15056</v>
      </c>
      <c r="B46" s="223" t="s">
        <v>35</v>
      </c>
      <c r="C46" s="222" t="s">
        <v>36</v>
      </c>
    </row>
    <row r="47" spans="1:3" ht="15">
      <c r="A47" s="222">
        <v>15057</v>
      </c>
      <c r="B47" s="223" t="s">
        <v>35</v>
      </c>
      <c r="C47" s="222" t="s">
        <v>36</v>
      </c>
    </row>
    <row r="48" spans="1:3" ht="15">
      <c r="A48" s="222">
        <v>15059</v>
      </c>
      <c r="B48" s="223" t="s">
        <v>35</v>
      </c>
      <c r="C48" s="222" t="s">
        <v>36</v>
      </c>
    </row>
    <row r="49" spans="1:3" ht="15">
      <c r="A49" s="222">
        <v>15060</v>
      </c>
      <c r="B49" s="223" t="s">
        <v>35</v>
      </c>
      <c r="C49" s="222" t="s">
        <v>36</v>
      </c>
    </row>
    <row r="50" spans="1:3" ht="15">
      <c r="A50" s="222">
        <v>15061</v>
      </c>
      <c r="B50" s="223" t="s">
        <v>35</v>
      </c>
      <c r="C50" s="222" t="s">
        <v>36</v>
      </c>
    </row>
    <row r="51" spans="1:3" ht="15">
      <c r="A51" s="222">
        <v>15062</v>
      </c>
      <c r="B51" s="223" t="s">
        <v>35</v>
      </c>
      <c r="C51" s="222" t="s">
        <v>36</v>
      </c>
    </row>
    <row r="52" spans="1:3" ht="15">
      <c r="A52" s="222">
        <v>15063</v>
      </c>
      <c r="B52" s="223" t="s">
        <v>35</v>
      </c>
      <c r="C52" s="222" t="s">
        <v>36</v>
      </c>
    </row>
    <row r="53" spans="1:3" ht="15">
      <c r="A53" s="222">
        <v>15064</v>
      </c>
      <c r="B53" s="223" t="s">
        <v>35</v>
      </c>
      <c r="C53" s="222" t="s">
        <v>36</v>
      </c>
    </row>
    <row r="54" spans="1:3" ht="15">
      <c r="A54" s="222">
        <v>15065</v>
      </c>
      <c r="B54" s="223" t="s">
        <v>35</v>
      </c>
      <c r="C54" s="222" t="s">
        <v>36</v>
      </c>
    </row>
    <row r="55" spans="1:3" ht="15">
      <c r="A55" s="222">
        <v>15066</v>
      </c>
      <c r="B55" s="223" t="s">
        <v>35</v>
      </c>
      <c r="C55" s="222" t="s">
        <v>36</v>
      </c>
    </row>
    <row r="56" spans="1:3" ht="15">
      <c r="A56" s="222">
        <v>15067</v>
      </c>
      <c r="B56" s="223" t="s">
        <v>35</v>
      </c>
      <c r="C56" s="222" t="s">
        <v>36</v>
      </c>
    </row>
    <row r="57" spans="1:3" ht="15">
      <c r="A57" s="222">
        <v>15068</v>
      </c>
      <c r="B57" s="223" t="s">
        <v>35</v>
      </c>
      <c r="C57" s="222" t="s">
        <v>36</v>
      </c>
    </row>
    <row r="58" spans="1:3" ht="15">
      <c r="A58" s="222">
        <v>15069</v>
      </c>
      <c r="B58" s="223" t="s">
        <v>35</v>
      </c>
      <c r="C58" s="222" t="s">
        <v>36</v>
      </c>
    </row>
    <row r="59" spans="1:3" ht="15">
      <c r="A59" s="222">
        <v>15071</v>
      </c>
      <c r="B59" s="223" t="s">
        <v>35</v>
      </c>
      <c r="C59" s="222" t="s">
        <v>36</v>
      </c>
    </row>
    <row r="60" spans="1:3" ht="15">
      <c r="A60" s="222">
        <v>15072</v>
      </c>
      <c r="B60" s="223" t="s">
        <v>35</v>
      </c>
      <c r="C60" s="222" t="s">
        <v>36</v>
      </c>
    </row>
    <row r="61" spans="1:3" ht="15">
      <c r="A61" s="222">
        <v>15074</v>
      </c>
      <c r="B61" s="223" t="s">
        <v>35</v>
      </c>
      <c r="C61" s="222" t="s">
        <v>36</v>
      </c>
    </row>
    <row r="62" spans="1:3" ht="15">
      <c r="A62" s="222">
        <v>15075</v>
      </c>
      <c r="B62" s="223" t="s">
        <v>35</v>
      </c>
      <c r="C62" s="222" t="s">
        <v>36</v>
      </c>
    </row>
    <row r="63" spans="1:3" ht="15">
      <c r="A63" s="222">
        <v>15076</v>
      </c>
      <c r="B63" s="223" t="s">
        <v>35</v>
      </c>
      <c r="C63" s="222" t="s">
        <v>36</v>
      </c>
    </row>
    <row r="64" spans="1:3" ht="15">
      <c r="A64" s="222">
        <v>15077</v>
      </c>
      <c r="B64" s="223" t="s">
        <v>35</v>
      </c>
      <c r="C64" s="222" t="s">
        <v>36</v>
      </c>
    </row>
    <row r="65" spans="1:3" ht="15">
      <c r="A65" s="222">
        <v>15078</v>
      </c>
      <c r="B65" s="223" t="s">
        <v>35</v>
      </c>
      <c r="C65" s="222" t="s">
        <v>36</v>
      </c>
    </row>
    <row r="66" spans="1:3" ht="15">
      <c r="A66" s="222">
        <v>15081</v>
      </c>
      <c r="B66" s="223" t="s">
        <v>35</v>
      </c>
      <c r="C66" s="222" t="s">
        <v>36</v>
      </c>
    </row>
    <row r="67" spans="1:3" ht="15">
      <c r="A67" s="222">
        <v>15082</v>
      </c>
      <c r="B67" s="223" t="s">
        <v>35</v>
      </c>
      <c r="C67" s="222" t="s">
        <v>36</v>
      </c>
    </row>
    <row r="68" spans="1:3" ht="15">
      <c r="A68" s="222">
        <v>15083</v>
      </c>
      <c r="B68" s="223" t="s">
        <v>35</v>
      </c>
      <c r="C68" s="222" t="s">
        <v>36</v>
      </c>
    </row>
    <row r="69" spans="1:3" ht="15">
      <c r="A69" s="222">
        <v>15084</v>
      </c>
      <c r="B69" s="223" t="s">
        <v>35</v>
      </c>
      <c r="C69" s="222" t="s">
        <v>36</v>
      </c>
    </row>
    <row r="70" spans="1:3" ht="15">
      <c r="A70" s="222">
        <v>15085</v>
      </c>
      <c r="B70" s="223" t="s">
        <v>35</v>
      </c>
      <c r="C70" s="222" t="s">
        <v>36</v>
      </c>
    </row>
    <row r="71" spans="1:3" ht="15">
      <c r="A71" s="222">
        <v>15086</v>
      </c>
      <c r="B71" s="223" t="s">
        <v>35</v>
      </c>
      <c r="C71" s="222" t="s">
        <v>36</v>
      </c>
    </row>
    <row r="72" spans="1:3" ht="15">
      <c r="A72" s="222">
        <v>15087</v>
      </c>
      <c r="B72" s="223" t="s">
        <v>35</v>
      </c>
      <c r="C72" s="222" t="s">
        <v>36</v>
      </c>
    </row>
    <row r="73" spans="1:3" ht="15">
      <c r="A73" s="222">
        <v>15088</v>
      </c>
      <c r="B73" s="223" t="s">
        <v>35</v>
      </c>
      <c r="C73" s="222" t="s">
        <v>36</v>
      </c>
    </row>
    <row r="74" spans="1:3" ht="15">
      <c r="A74" s="222">
        <v>15089</v>
      </c>
      <c r="B74" s="223" t="s">
        <v>35</v>
      </c>
      <c r="C74" s="222" t="s">
        <v>36</v>
      </c>
    </row>
    <row r="75" spans="1:3" ht="15">
      <c r="A75" s="222">
        <v>15090</v>
      </c>
      <c r="B75" s="223" t="s">
        <v>35</v>
      </c>
      <c r="C75" s="222" t="s">
        <v>36</v>
      </c>
    </row>
    <row r="76" spans="1:3" ht="15">
      <c r="A76" s="222">
        <v>15091</v>
      </c>
      <c r="B76" s="223" t="s">
        <v>35</v>
      </c>
      <c r="C76" s="222" t="s">
        <v>36</v>
      </c>
    </row>
    <row r="77" spans="1:3" ht="15">
      <c r="A77" s="222">
        <v>15095</v>
      </c>
      <c r="B77" s="223" t="s">
        <v>35</v>
      </c>
      <c r="C77" s="222" t="s">
        <v>36</v>
      </c>
    </row>
    <row r="78" spans="1:3" ht="15">
      <c r="A78" s="222">
        <v>15096</v>
      </c>
      <c r="B78" s="223" t="s">
        <v>35</v>
      </c>
      <c r="C78" s="222" t="s">
        <v>36</v>
      </c>
    </row>
    <row r="79" spans="1:3" ht="15">
      <c r="A79" s="222">
        <v>15101</v>
      </c>
      <c r="B79" s="223" t="s">
        <v>35</v>
      </c>
      <c r="C79" s="222" t="s">
        <v>36</v>
      </c>
    </row>
    <row r="80" spans="1:3" ht="15">
      <c r="A80" s="222">
        <v>15102</v>
      </c>
      <c r="B80" s="223" t="s">
        <v>35</v>
      </c>
      <c r="C80" s="222" t="s">
        <v>36</v>
      </c>
    </row>
    <row r="81" spans="1:3" ht="15">
      <c r="A81" s="222">
        <v>15104</v>
      </c>
      <c r="B81" s="223" t="s">
        <v>35</v>
      </c>
      <c r="C81" s="222" t="s">
        <v>36</v>
      </c>
    </row>
    <row r="82" spans="1:3" ht="15">
      <c r="A82" s="222">
        <v>15106</v>
      </c>
      <c r="B82" s="223" t="s">
        <v>35</v>
      </c>
      <c r="C82" s="222" t="s">
        <v>36</v>
      </c>
    </row>
    <row r="83" spans="1:3" ht="15">
      <c r="A83" s="222">
        <v>15108</v>
      </c>
      <c r="B83" s="223" t="s">
        <v>35</v>
      </c>
      <c r="C83" s="222" t="s">
        <v>36</v>
      </c>
    </row>
    <row r="84" spans="1:3" ht="15">
      <c r="A84" s="222">
        <v>15110</v>
      </c>
      <c r="B84" s="223" t="s">
        <v>35</v>
      </c>
      <c r="C84" s="222" t="s">
        <v>36</v>
      </c>
    </row>
    <row r="85" spans="1:3" ht="15">
      <c r="A85" s="222">
        <v>15112</v>
      </c>
      <c r="B85" s="223" t="s">
        <v>35</v>
      </c>
      <c r="C85" s="222" t="s">
        <v>36</v>
      </c>
    </row>
    <row r="86" spans="1:3" ht="15">
      <c r="A86" s="222">
        <v>15116</v>
      </c>
      <c r="B86" s="223" t="s">
        <v>35</v>
      </c>
      <c r="C86" s="222" t="s">
        <v>36</v>
      </c>
    </row>
    <row r="87" spans="1:3" ht="15">
      <c r="A87" s="222">
        <v>15120</v>
      </c>
      <c r="B87" s="223" t="s">
        <v>35</v>
      </c>
      <c r="C87" s="222" t="s">
        <v>36</v>
      </c>
    </row>
    <row r="88" spans="1:3" ht="15">
      <c r="A88" s="222">
        <v>15122</v>
      </c>
      <c r="B88" s="223" t="s">
        <v>35</v>
      </c>
      <c r="C88" s="222" t="s">
        <v>36</v>
      </c>
    </row>
    <row r="89" spans="1:3" ht="15">
      <c r="A89" s="222">
        <v>15123</v>
      </c>
      <c r="B89" s="223" t="s">
        <v>35</v>
      </c>
      <c r="C89" s="222" t="s">
        <v>36</v>
      </c>
    </row>
    <row r="90" spans="1:3" ht="15">
      <c r="A90" s="222">
        <v>15126</v>
      </c>
      <c r="B90" s="223" t="s">
        <v>35</v>
      </c>
      <c r="C90" s="222" t="s">
        <v>36</v>
      </c>
    </row>
    <row r="91" spans="1:3" ht="15">
      <c r="A91" s="222">
        <v>15127</v>
      </c>
      <c r="B91" s="223" t="s">
        <v>35</v>
      </c>
      <c r="C91" s="222" t="s">
        <v>36</v>
      </c>
    </row>
    <row r="92" spans="1:3" ht="15">
      <c r="A92" s="222">
        <v>15129</v>
      </c>
      <c r="B92" s="223" t="s">
        <v>35</v>
      </c>
      <c r="C92" s="222" t="s">
        <v>36</v>
      </c>
    </row>
    <row r="93" spans="1:3" ht="15">
      <c r="A93" s="222">
        <v>15130</v>
      </c>
      <c r="B93" s="223" t="s">
        <v>35</v>
      </c>
      <c r="C93" s="222" t="s">
        <v>36</v>
      </c>
    </row>
    <row r="94" spans="1:3" ht="15">
      <c r="A94" s="222">
        <v>15131</v>
      </c>
      <c r="B94" s="223" t="s">
        <v>35</v>
      </c>
      <c r="C94" s="222" t="s">
        <v>36</v>
      </c>
    </row>
    <row r="95" spans="1:3" ht="15">
      <c r="A95" s="222">
        <v>15132</v>
      </c>
      <c r="B95" s="223" t="s">
        <v>35</v>
      </c>
      <c r="C95" s="222" t="s">
        <v>36</v>
      </c>
    </row>
    <row r="96" spans="1:3" ht="15">
      <c r="A96" s="222">
        <v>15133</v>
      </c>
      <c r="B96" s="223" t="s">
        <v>35</v>
      </c>
      <c r="C96" s="222" t="s">
        <v>36</v>
      </c>
    </row>
    <row r="97" spans="1:3" ht="15">
      <c r="A97" s="222">
        <v>15134</v>
      </c>
      <c r="B97" s="223" t="s">
        <v>35</v>
      </c>
      <c r="C97" s="222" t="s">
        <v>36</v>
      </c>
    </row>
    <row r="98" spans="1:3" ht="15">
      <c r="A98" s="222">
        <v>15135</v>
      </c>
      <c r="B98" s="223" t="s">
        <v>35</v>
      </c>
      <c r="C98" s="222" t="s">
        <v>36</v>
      </c>
    </row>
    <row r="99" spans="1:3" ht="15">
      <c r="A99" s="222">
        <v>15136</v>
      </c>
      <c r="B99" s="223" t="s">
        <v>35</v>
      </c>
      <c r="C99" s="222" t="s">
        <v>36</v>
      </c>
    </row>
    <row r="100" spans="1:3" ht="15">
      <c r="A100" s="222">
        <v>15137</v>
      </c>
      <c r="B100" s="223" t="s">
        <v>35</v>
      </c>
      <c r="C100" s="222" t="s">
        <v>36</v>
      </c>
    </row>
    <row r="101" spans="1:3" ht="15">
      <c r="A101" s="222">
        <v>15139</v>
      </c>
      <c r="B101" s="223" t="s">
        <v>35</v>
      </c>
      <c r="C101" s="222" t="s">
        <v>36</v>
      </c>
    </row>
    <row r="102" spans="1:3" ht="15">
      <c r="A102" s="222">
        <v>15140</v>
      </c>
      <c r="B102" s="223" t="s">
        <v>35</v>
      </c>
      <c r="C102" s="222" t="s">
        <v>36</v>
      </c>
    </row>
    <row r="103" spans="1:3" ht="15">
      <c r="A103" s="222">
        <v>15142</v>
      </c>
      <c r="B103" s="223" t="s">
        <v>35</v>
      </c>
      <c r="C103" s="222" t="s">
        <v>36</v>
      </c>
    </row>
    <row r="104" spans="1:3" ht="15">
      <c r="A104" s="222">
        <v>15143</v>
      </c>
      <c r="B104" s="223" t="s">
        <v>35</v>
      </c>
      <c r="C104" s="222" t="s">
        <v>36</v>
      </c>
    </row>
    <row r="105" spans="1:3" ht="15">
      <c r="A105" s="222">
        <v>15144</v>
      </c>
      <c r="B105" s="223" t="s">
        <v>35</v>
      </c>
      <c r="C105" s="222" t="s">
        <v>36</v>
      </c>
    </row>
    <row r="106" spans="1:3" ht="15">
      <c r="A106" s="222">
        <v>15145</v>
      </c>
      <c r="B106" s="223" t="s">
        <v>35</v>
      </c>
      <c r="C106" s="222" t="s">
        <v>36</v>
      </c>
    </row>
    <row r="107" spans="1:3" ht="15">
      <c r="A107" s="222">
        <v>15146</v>
      </c>
      <c r="B107" s="223" t="s">
        <v>35</v>
      </c>
      <c r="C107" s="222" t="s">
        <v>36</v>
      </c>
    </row>
    <row r="108" spans="1:3" ht="15">
      <c r="A108" s="222">
        <v>15147</v>
      </c>
      <c r="B108" s="223" t="s">
        <v>35</v>
      </c>
      <c r="C108" s="222" t="s">
        <v>36</v>
      </c>
    </row>
    <row r="109" spans="1:3" ht="15">
      <c r="A109" s="222">
        <v>15148</v>
      </c>
      <c r="B109" s="223" t="s">
        <v>35</v>
      </c>
      <c r="C109" s="222" t="s">
        <v>36</v>
      </c>
    </row>
    <row r="110" spans="1:3" ht="15">
      <c r="A110" s="222">
        <v>15189</v>
      </c>
      <c r="B110" s="223" t="s">
        <v>35</v>
      </c>
      <c r="C110" s="222" t="s">
        <v>36</v>
      </c>
    </row>
    <row r="111" spans="1:3" ht="15">
      <c r="A111" s="222">
        <v>15201</v>
      </c>
      <c r="B111" s="223" t="s">
        <v>35</v>
      </c>
      <c r="C111" s="222" t="s">
        <v>36</v>
      </c>
    </row>
    <row r="112" spans="1:3" ht="15">
      <c r="A112" s="222">
        <v>15202</v>
      </c>
      <c r="B112" s="223" t="s">
        <v>35</v>
      </c>
      <c r="C112" s="222" t="s">
        <v>36</v>
      </c>
    </row>
    <row r="113" spans="1:3" ht="15">
      <c r="A113" s="222">
        <v>15203</v>
      </c>
      <c r="B113" s="223" t="s">
        <v>35</v>
      </c>
      <c r="C113" s="222" t="s">
        <v>36</v>
      </c>
    </row>
    <row r="114" spans="1:3" ht="15">
      <c r="A114" s="222">
        <v>15204</v>
      </c>
      <c r="B114" s="223" t="s">
        <v>35</v>
      </c>
      <c r="C114" s="222" t="s">
        <v>36</v>
      </c>
    </row>
    <row r="115" spans="1:3" ht="15">
      <c r="A115" s="222">
        <v>15205</v>
      </c>
      <c r="B115" s="223" t="s">
        <v>35</v>
      </c>
      <c r="C115" s="222" t="s">
        <v>36</v>
      </c>
    </row>
    <row r="116" spans="1:3" ht="15">
      <c r="A116" s="222">
        <v>15206</v>
      </c>
      <c r="B116" s="223" t="s">
        <v>35</v>
      </c>
      <c r="C116" s="222" t="s">
        <v>36</v>
      </c>
    </row>
    <row r="117" spans="1:3" ht="15">
      <c r="A117" s="222">
        <v>15207</v>
      </c>
      <c r="B117" s="223" t="s">
        <v>35</v>
      </c>
      <c r="C117" s="222" t="s">
        <v>36</v>
      </c>
    </row>
    <row r="118" spans="1:3" ht="15">
      <c r="A118" s="222">
        <v>15208</v>
      </c>
      <c r="B118" s="223" t="s">
        <v>35</v>
      </c>
      <c r="C118" s="222" t="s">
        <v>36</v>
      </c>
    </row>
    <row r="119" spans="1:3" ht="15">
      <c r="A119" s="222">
        <v>15209</v>
      </c>
      <c r="B119" s="223" t="s">
        <v>35</v>
      </c>
      <c r="C119" s="222" t="s">
        <v>36</v>
      </c>
    </row>
    <row r="120" spans="1:3" ht="15">
      <c r="A120" s="222">
        <v>15210</v>
      </c>
      <c r="B120" s="223" t="s">
        <v>35</v>
      </c>
      <c r="C120" s="222" t="s">
        <v>36</v>
      </c>
    </row>
    <row r="121" spans="1:3" ht="15">
      <c r="A121" s="222">
        <v>15211</v>
      </c>
      <c r="B121" s="223" t="s">
        <v>35</v>
      </c>
      <c r="C121" s="222" t="s">
        <v>36</v>
      </c>
    </row>
    <row r="122" spans="1:3" ht="15">
      <c r="A122" s="222">
        <v>15212</v>
      </c>
      <c r="B122" s="223" t="s">
        <v>35</v>
      </c>
      <c r="C122" s="222" t="s">
        <v>36</v>
      </c>
    </row>
    <row r="123" spans="1:3" ht="15">
      <c r="A123" s="222">
        <v>15213</v>
      </c>
      <c r="B123" s="223" t="s">
        <v>35</v>
      </c>
      <c r="C123" s="222" t="s">
        <v>36</v>
      </c>
    </row>
    <row r="124" spans="1:3" ht="15">
      <c r="A124" s="222">
        <v>15214</v>
      </c>
      <c r="B124" s="223" t="s">
        <v>35</v>
      </c>
      <c r="C124" s="222" t="s">
        <v>36</v>
      </c>
    </row>
    <row r="125" spans="1:3" ht="15">
      <c r="A125" s="222">
        <v>15215</v>
      </c>
      <c r="B125" s="223" t="s">
        <v>35</v>
      </c>
      <c r="C125" s="222" t="s">
        <v>36</v>
      </c>
    </row>
    <row r="126" spans="1:3" ht="15">
      <c r="A126" s="222">
        <v>15216</v>
      </c>
      <c r="B126" s="223" t="s">
        <v>35</v>
      </c>
      <c r="C126" s="222" t="s">
        <v>36</v>
      </c>
    </row>
    <row r="127" spans="1:3" ht="15">
      <c r="A127" s="222">
        <v>15217</v>
      </c>
      <c r="B127" s="223" t="s">
        <v>35</v>
      </c>
      <c r="C127" s="222" t="s">
        <v>36</v>
      </c>
    </row>
    <row r="128" spans="1:3" ht="15">
      <c r="A128" s="222">
        <v>15218</v>
      </c>
      <c r="B128" s="223" t="s">
        <v>35</v>
      </c>
      <c r="C128" s="222" t="s">
        <v>36</v>
      </c>
    </row>
    <row r="129" spans="1:3" ht="15">
      <c r="A129" s="222">
        <v>15219</v>
      </c>
      <c r="B129" s="223" t="s">
        <v>35</v>
      </c>
      <c r="C129" s="222" t="s">
        <v>36</v>
      </c>
    </row>
    <row r="130" spans="1:3" ht="15">
      <c r="A130" s="222">
        <v>15220</v>
      </c>
      <c r="B130" s="223" t="s">
        <v>35</v>
      </c>
      <c r="C130" s="222" t="s">
        <v>36</v>
      </c>
    </row>
    <row r="131" spans="1:3" ht="15">
      <c r="A131" s="222">
        <v>15221</v>
      </c>
      <c r="B131" s="223" t="s">
        <v>35</v>
      </c>
      <c r="C131" s="222" t="s">
        <v>36</v>
      </c>
    </row>
    <row r="132" spans="1:3" ht="15">
      <c r="A132" s="222">
        <v>15222</v>
      </c>
      <c r="B132" s="223" t="s">
        <v>35</v>
      </c>
      <c r="C132" s="222" t="s">
        <v>36</v>
      </c>
    </row>
    <row r="133" spans="1:3" ht="15">
      <c r="A133" s="222">
        <v>15223</v>
      </c>
      <c r="B133" s="223" t="s">
        <v>35</v>
      </c>
      <c r="C133" s="222" t="s">
        <v>36</v>
      </c>
    </row>
    <row r="134" spans="1:3" ht="15">
      <c r="A134" s="222">
        <v>15224</v>
      </c>
      <c r="B134" s="223" t="s">
        <v>35</v>
      </c>
      <c r="C134" s="222" t="s">
        <v>36</v>
      </c>
    </row>
    <row r="135" spans="1:3" ht="15">
      <c r="A135" s="222">
        <v>15225</v>
      </c>
      <c r="B135" s="223" t="s">
        <v>35</v>
      </c>
      <c r="C135" s="222" t="s">
        <v>36</v>
      </c>
    </row>
    <row r="136" spans="1:3" ht="15">
      <c r="A136" s="222">
        <v>15226</v>
      </c>
      <c r="B136" s="223" t="s">
        <v>35</v>
      </c>
      <c r="C136" s="222" t="s">
        <v>36</v>
      </c>
    </row>
    <row r="137" spans="1:3" ht="15">
      <c r="A137" s="222">
        <v>15227</v>
      </c>
      <c r="B137" s="223" t="s">
        <v>35</v>
      </c>
      <c r="C137" s="222" t="s">
        <v>36</v>
      </c>
    </row>
    <row r="138" spans="1:3" ht="15">
      <c r="A138" s="222">
        <v>15228</v>
      </c>
      <c r="B138" s="223" t="s">
        <v>35</v>
      </c>
      <c r="C138" s="222" t="s">
        <v>36</v>
      </c>
    </row>
    <row r="139" spans="1:3" ht="15">
      <c r="A139" s="222">
        <v>15229</v>
      </c>
      <c r="B139" s="223" t="s">
        <v>35</v>
      </c>
      <c r="C139" s="222" t="s">
        <v>36</v>
      </c>
    </row>
    <row r="140" spans="1:3" ht="15">
      <c r="A140" s="222">
        <v>15230</v>
      </c>
      <c r="B140" s="223" t="s">
        <v>35</v>
      </c>
      <c r="C140" s="222" t="s">
        <v>36</v>
      </c>
    </row>
    <row r="141" spans="1:3" ht="15">
      <c r="A141" s="222">
        <v>15231</v>
      </c>
      <c r="B141" s="223" t="s">
        <v>35</v>
      </c>
      <c r="C141" s="222" t="s">
        <v>36</v>
      </c>
    </row>
    <row r="142" spans="1:3" ht="15">
      <c r="A142" s="222">
        <v>15232</v>
      </c>
      <c r="B142" s="223" t="s">
        <v>35</v>
      </c>
      <c r="C142" s="222" t="s">
        <v>36</v>
      </c>
    </row>
    <row r="143" spans="1:3" ht="15">
      <c r="A143" s="222">
        <v>15233</v>
      </c>
      <c r="B143" s="223" t="s">
        <v>35</v>
      </c>
      <c r="C143" s="222" t="s">
        <v>36</v>
      </c>
    </row>
    <row r="144" spans="1:3" ht="15">
      <c r="A144" s="222">
        <v>15234</v>
      </c>
      <c r="B144" s="223" t="s">
        <v>35</v>
      </c>
      <c r="C144" s="222" t="s">
        <v>36</v>
      </c>
    </row>
    <row r="145" spans="1:3" ht="15">
      <c r="A145" s="222">
        <v>15235</v>
      </c>
      <c r="B145" s="223" t="s">
        <v>35</v>
      </c>
      <c r="C145" s="222" t="s">
        <v>36</v>
      </c>
    </row>
    <row r="146" spans="1:3" ht="15">
      <c r="A146" s="222">
        <v>15236</v>
      </c>
      <c r="B146" s="223" t="s">
        <v>35</v>
      </c>
      <c r="C146" s="222" t="s">
        <v>36</v>
      </c>
    </row>
    <row r="147" spans="1:3" ht="15">
      <c r="A147" s="222">
        <v>15237</v>
      </c>
      <c r="B147" s="223" t="s">
        <v>35</v>
      </c>
      <c r="C147" s="222" t="s">
        <v>36</v>
      </c>
    </row>
    <row r="148" spans="1:3" ht="15">
      <c r="A148" s="222">
        <v>15238</v>
      </c>
      <c r="B148" s="223" t="s">
        <v>35</v>
      </c>
      <c r="C148" s="222" t="s">
        <v>36</v>
      </c>
    </row>
    <row r="149" spans="1:3" ht="15">
      <c r="A149" s="222">
        <v>15239</v>
      </c>
      <c r="B149" s="223" t="s">
        <v>35</v>
      </c>
      <c r="C149" s="222" t="s">
        <v>36</v>
      </c>
    </row>
    <row r="150" spans="1:3" ht="15">
      <c r="A150" s="222">
        <v>15240</v>
      </c>
      <c r="B150" s="223" t="s">
        <v>35</v>
      </c>
      <c r="C150" s="222" t="s">
        <v>36</v>
      </c>
    </row>
    <row r="151" spans="1:3" ht="15">
      <c r="A151" s="222">
        <v>15241</v>
      </c>
      <c r="B151" s="223" t="s">
        <v>35</v>
      </c>
      <c r="C151" s="222" t="s">
        <v>36</v>
      </c>
    </row>
    <row r="152" spans="1:3" ht="15">
      <c r="A152" s="222">
        <v>15242</v>
      </c>
      <c r="B152" s="223" t="s">
        <v>35</v>
      </c>
      <c r="C152" s="222" t="s">
        <v>36</v>
      </c>
    </row>
    <row r="153" spans="1:3" ht="15">
      <c r="A153" s="222">
        <v>15243</v>
      </c>
      <c r="B153" s="223" t="s">
        <v>35</v>
      </c>
      <c r="C153" s="222" t="s">
        <v>36</v>
      </c>
    </row>
    <row r="154" spans="1:3" ht="15">
      <c r="A154" s="222">
        <v>15244</v>
      </c>
      <c r="B154" s="223" t="s">
        <v>35</v>
      </c>
      <c r="C154" s="222" t="s">
        <v>36</v>
      </c>
    </row>
    <row r="155" spans="1:3" ht="15">
      <c r="A155" s="222">
        <v>15250</v>
      </c>
      <c r="B155" s="223" t="s">
        <v>35</v>
      </c>
      <c r="C155" s="222" t="s">
        <v>36</v>
      </c>
    </row>
    <row r="156" spans="1:3" ht="15">
      <c r="A156" s="222">
        <v>15251</v>
      </c>
      <c r="B156" s="223" t="s">
        <v>35</v>
      </c>
      <c r="C156" s="222" t="s">
        <v>36</v>
      </c>
    </row>
    <row r="157" spans="1:3" ht="15">
      <c r="A157" s="222">
        <v>15252</v>
      </c>
      <c r="B157" s="223" t="s">
        <v>35</v>
      </c>
      <c r="C157" s="222" t="s">
        <v>36</v>
      </c>
    </row>
    <row r="158" spans="1:3" ht="15">
      <c r="A158" s="222">
        <v>15253</v>
      </c>
      <c r="B158" s="223" t="s">
        <v>35</v>
      </c>
      <c r="C158" s="222" t="s">
        <v>36</v>
      </c>
    </row>
    <row r="159" spans="1:3" ht="15">
      <c r="A159" s="222">
        <v>15254</v>
      </c>
      <c r="B159" s="223" t="s">
        <v>35</v>
      </c>
      <c r="C159" s="222" t="s">
        <v>36</v>
      </c>
    </row>
    <row r="160" spans="1:3" ht="15">
      <c r="A160" s="222">
        <v>15255</v>
      </c>
      <c r="B160" s="223" t="s">
        <v>35</v>
      </c>
      <c r="C160" s="222" t="s">
        <v>36</v>
      </c>
    </row>
    <row r="161" spans="1:3" ht="15">
      <c r="A161" s="222">
        <v>15257</v>
      </c>
      <c r="B161" s="223" t="s">
        <v>35</v>
      </c>
      <c r="C161" s="222" t="s">
        <v>36</v>
      </c>
    </row>
    <row r="162" spans="1:3" ht="15">
      <c r="A162" s="222">
        <v>15258</v>
      </c>
      <c r="B162" s="223" t="s">
        <v>35</v>
      </c>
      <c r="C162" s="222" t="s">
        <v>36</v>
      </c>
    </row>
    <row r="163" spans="1:3" ht="15">
      <c r="A163" s="222">
        <v>15259</v>
      </c>
      <c r="B163" s="223" t="s">
        <v>35</v>
      </c>
      <c r="C163" s="222" t="s">
        <v>36</v>
      </c>
    </row>
    <row r="164" spans="1:3" ht="15">
      <c r="A164" s="222">
        <v>15260</v>
      </c>
      <c r="B164" s="223" t="s">
        <v>35</v>
      </c>
      <c r="C164" s="222" t="s">
        <v>36</v>
      </c>
    </row>
    <row r="165" spans="1:3" ht="15">
      <c r="A165" s="222">
        <v>15261</v>
      </c>
      <c r="B165" s="223" t="s">
        <v>35</v>
      </c>
      <c r="C165" s="222" t="s">
        <v>36</v>
      </c>
    </row>
    <row r="166" spans="1:3" ht="15">
      <c r="A166" s="222">
        <v>15262</v>
      </c>
      <c r="B166" s="223" t="s">
        <v>35</v>
      </c>
      <c r="C166" s="222" t="s">
        <v>36</v>
      </c>
    </row>
    <row r="167" spans="1:3" ht="15">
      <c r="A167" s="222">
        <v>15263</v>
      </c>
      <c r="B167" s="223" t="s">
        <v>35</v>
      </c>
      <c r="C167" s="222" t="s">
        <v>36</v>
      </c>
    </row>
    <row r="168" spans="1:3" ht="15">
      <c r="A168" s="222">
        <v>15264</v>
      </c>
      <c r="B168" s="223" t="s">
        <v>35</v>
      </c>
      <c r="C168" s="222" t="s">
        <v>36</v>
      </c>
    </row>
    <row r="169" spans="1:3" ht="15">
      <c r="A169" s="222">
        <v>15265</v>
      </c>
      <c r="B169" s="223" t="s">
        <v>35</v>
      </c>
      <c r="C169" s="222" t="s">
        <v>36</v>
      </c>
    </row>
    <row r="170" spans="1:3" ht="15">
      <c r="A170" s="222">
        <v>15267</v>
      </c>
      <c r="B170" s="223" t="s">
        <v>35</v>
      </c>
      <c r="C170" s="222" t="s">
        <v>36</v>
      </c>
    </row>
    <row r="171" spans="1:3" ht="15">
      <c r="A171" s="222">
        <v>15268</v>
      </c>
      <c r="B171" s="223" t="s">
        <v>35</v>
      </c>
      <c r="C171" s="222" t="s">
        <v>36</v>
      </c>
    </row>
    <row r="172" spans="1:3" ht="15">
      <c r="A172" s="222">
        <v>15270</v>
      </c>
      <c r="B172" s="223" t="s">
        <v>35</v>
      </c>
      <c r="C172" s="222" t="s">
        <v>36</v>
      </c>
    </row>
    <row r="173" spans="1:3" ht="15">
      <c r="A173" s="222">
        <v>15272</v>
      </c>
      <c r="B173" s="223" t="s">
        <v>35</v>
      </c>
      <c r="C173" s="222" t="s">
        <v>36</v>
      </c>
    </row>
    <row r="174" spans="1:3" ht="15">
      <c r="A174" s="222">
        <v>15274</v>
      </c>
      <c r="B174" s="223" t="s">
        <v>35</v>
      </c>
      <c r="C174" s="222" t="s">
        <v>36</v>
      </c>
    </row>
    <row r="175" spans="1:3" ht="15">
      <c r="A175" s="222">
        <v>15275</v>
      </c>
      <c r="B175" s="223" t="s">
        <v>35</v>
      </c>
      <c r="C175" s="222" t="s">
        <v>36</v>
      </c>
    </row>
    <row r="176" spans="1:3" ht="15">
      <c r="A176" s="222">
        <v>15276</v>
      </c>
      <c r="B176" s="223" t="s">
        <v>35</v>
      </c>
      <c r="C176" s="222" t="s">
        <v>36</v>
      </c>
    </row>
    <row r="177" spans="1:3" ht="15">
      <c r="A177" s="222">
        <v>15277</v>
      </c>
      <c r="B177" s="223" t="s">
        <v>35</v>
      </c>
      <c r="C177" s="222" t="s">
        <v>36</v>
      </c>
    </row>
    <row r="178" spans="1:3" ht="15">
      <c r="A178" s="222">
        <v>15278</v>
      </c>
      <c r="B178" s="223" t="s">
        <v>35</v>
      </c>
      <c r="C178" s="222" t="s">
        <v>36</v>
      </c>
    </row>
    <row r="179" spans="1:3" ht="15">
      <c r="A179" s="222">
        <v>15279</v>
      </c>
      <c r="B179" s="223" t="s">
        <v>35</v>
      </c>
      <c r="C179" s="222" t="s">
        <v>36</v>
      </c>
    </row>
    <row r="180" spans="1:3" ht="15">
      <c r="A180" s="222">
        <v>15281</v>
      </c>
      <c r="B180" s="223" t="s">
        <v>35</v>
      </c>
      <c r="C180" s="222" t="s">
        <v>36</v>
      </c>
    </row>
    <row r="181" spans="1:3" ht="15">
      <c r="A181" s="222">
        <v>15282</v>
      </c>
      <c r="B181" s="223" t="s">
        <v>35</v>
      </c>
      <c r="C181" s="222" t="s">
        <v>36</v>
      </c>
    </row>
    <row r="182" spans="1:3" ht="15">
      <c r="A182" s="222">
        <v>15283</v>
      </c>
      <c r="B182" s="223" t="s">
        <v>35</v>
      </c>
      <c r="C182" s="222" t="s">
        <v>36</v>
      </c>
    </row>
    <row r="183" spans="1:3" ht="15">
      <c r="A183" s="222">
        <v>15285</v>
      </c>
      <c r="B183" s="223" t="s">
        <v>35</v>
      </c>
      <c r="C183" s="222" t="s">
        <v>36</v>
      </c>
    </row>
    <row r="184" spans="1:3" ht="15">
      <c r="A184" s="222">
        <v>15286</v>
      </c>
      <c r="B184" s="223" t="s">
        <v>35</v>
      </c>
      <c r="C184" s="222" t="s">
        <v>36</v>
      </c>
    </row>
    <row r="185" spans="1:3" ht="15">
      <c r="A185" s="222">
        <v>15290</v>
      </c>
      <c r="B185" s="223" t="s">
        <v>35</v>
      </c>
      <c r="C185" s="222" t="s">
        <v>36</v>
      </c>
    </row>
    <row r="186" spans="1:3" ht="15">
      <c r="A186" s="222">
        <v>15295</v>
      </c>
      <c r="B186" s="223" t="s">
        <v>35</v>
      </c>
      <c r="C186" s="222" t="s">
        <v>36</v>
      </c>
    </row>
    <row r="187" spans="1:3" ht="15">
      <c r="A187" s="222">
        <v>15301</v>
      </c>
      <c r="B187" s="223" t="s">
        <v>35</v>
      </c>
      <c r="C187" s="222" t="s">
        <v>36</v>
      </c>
    </row>
    <row r="188" spans="1:3" ht="15">
      <c r="A188" s="222">
        <v>15310</v>
      </c>
      <c r="B188" s="223" t="s">
        <v>35</v>
      </c>
      <c r="C188" s="222" t="s">
        <v>36</v>
      </c>
    </row>
    <row r="189" spans="1:3" ht="15">
      <c r="A189" s="222">
        <v>15311</v>
      </c>
      <c r="B189" s="223" t="s">
        <v>35</v>
      </c>
      <c r="C189" s="222" t="s">
        <v>36</v>
      </c>
    </row>
    <row r="190" spans="1:3" ht="15">
      <c r="A190" s="222">
        <v>15312</v>
      </c>
      <c r="B190" s="223" t="s">
        <v>35</v>
      </c>
      <c r="C190" s="222" t="s">
        <v>36</v>
      </c>
    </row>
    <row r="191" spans="1:3" ht="15">
      <c r="A191" s="222">
        <v>15313</v>
      </c>
      <c r="B191" s="223" t="s">
        <v>35</v>
      </c>
      <c r="C191" s="222" t="s">
        <v>36</v>
      </c>
    </row>
    <row r="192" spans="1:3" ht="15">
      <c r="A192" s="222">
        <v>15314</v>
      </c>
      <c r="B192" s="223" t="s">
        <v>35</v>
      </c>
      <c r="C192" s="222" t="s">
        <v>36</v>
      </c>
    </row>
    <row r="193" spans="1:3" ht="15">
      <c r="A193" s="222">
        <v>15315</v>
      </c>
      <c r="B193" s="223" t="s">
        <v>35</v>
      </c>
      <c r="C193" s="222" t="s">
        <v>36</v>
      </c>
    </row>
    <row r="194" spans="1:3" ht="15">
      <c r="A194" s="222">
        <v>15316</v>
      </c>
      <c r="B194" s="223" t="s">
        <v>35</v>
      </c>
      <c r="C194" s="222" t="s">
        <v>36</v>
      </c>
    </row>
    <row r="195" spans="1:3" ht="15">
      <c r="A195" s="222">
        <v>15317</v>
      </c>
      <c r="B195" s="223" t="s">
        <v>35</v>
      </c>
      <c r="C195" s="222" t="s">
        <v>36</v>
      </c>
    </row>
    <row r="196" spans="1:3" ht="15">
      <c r="A196" s="222">
        <v>15320</v>
      </c>
      <c r="B196" s="223" t="s">
        <v>35</v>
      </c>
      <c r="C196" s="222" t="s">
        <v>36</v>
      </c>
    </row>
    <row r="197" spans="1:3" ht="15">
      <c r="A197" s="222">
        <v>15321</v>
      </c>
      <c r="B197" s="223" t="s">
        <v>35</v>
      </c>
      <c r="C197" s="222" t="s">
        <v>36</v>
      </c>
    </row>
    <row r="198" spans="1:3" ht="15">
      <c r="A198" s="222">
        <v>15322</v>
      </c>
      <c r="B198" s="223" t="s">
        <v>35</v>
      </c>
      <c r="C198" s="222" t="s">
        <v>36</v>
      </c>
    </row>
    <row r="199" spans="1:3" ht="15">
      <c r="A199" s="222">
        <v>15323</v>
      </c>
      <c r="B199" s="223" t="s">
        <v>35</v>
      </c>
      <c r="C199" s="222" t="s">
        <v>36</v>
      </c>
    </row>
    <row r="200" spans="1:3" ht="15">
      <c r="A200" s="222">
        <v>15324</v>
      </c>
      <c r="B200" s="223" t="s">
        <v>35</v>
      </c>
      <c r="C200" s="222" t="s">
        <v>36</v>
      </c>
    </row>
    <row r="201" spans="1:3" ht="15">
      <c r="A201" s="222">
        <v>15325</v>
      </c>
      <c r="B201" s="223" t="s">
        <v>35</v>
      </c>
      <c r="C201" s="222" t="s">
        <v>36</v>
      </c>
    </row>
    <row r="202" spans="1:3" ht="15">
      <c r="A202" s="222">
        <v>15327</v>
      </c>
      <c r="B202" s="223" t="s">
        <v>35</v>
      </c>
      <c r="C202" s="222" t="s">
        <v>36</v>
      </c>
    </row>
    <row r="203" spans="1:3" ht="15">
      <c r="A203" s="222">
        <v>15329</v>
      </c>
      <c r="B203" s="223" t="s">
        <v>35</v>
      </c>
      <c r="C203" s="222" t="s">
        <v>36</v>
      </c>
    </row>
    <row r="204" spans="1:3" ht="15">
      <c r="A204" s="222">
        <v>15330</v>
      </c>
      <c r="B204" s="223" t="s">
        <v>35</v>
      </c>
      <c r="C204" s="222" t="s">
        <v>36</v>
      </c>
    </row>
    <row r="205" spans="1:3" ht="15">
      <c r="A205" s="222">
        <v>15331</v>
      </c>
      <c r="B205" s="223" t="s">
        <v>35</v>
      </c>
      <c r="C205" s="222" t="s">
        <v>36</v>
      </c>
    </row>
    <row r="206" spans="1:3" ht="15">
      <c r="A206" s="222">
        <v>15332</v>
      </c>
      <c r="B206" s="223" t="s">
        <v>35</v>
      </c>
      <c r="C206" s="222" t="s">
        <v>36</v>
      </c>
    </row>
    <row r="207" spans="1:3" ht="15">
      <c r="A207" s="222">
        <v>15333</v>
      </c>
      <c r="B207" s="223" t="s">
        <v>35</v>
      </c>
      <c r="C207" s="222" t="s">
        <v>36</v>
      </c>
    </row>
    <row r="208" spans="1:3" ht="15">
      <c r="A208" s="222">
        <v>15334</v>
      </c>
      <c r="B208" s="223" t="s">
        <v>35</v>
      </c>
      <c r="C208" s="222" t="s">
        <v>36</v>
      </c>
    </row>
    <row r="209" spans="1:3" ht="15">
      <c r="A209" s="222">
        <v>15336</v>
      </c>
      <c r="B209" s="223" t="s">
        <v>35</v>
      </c>
      <c r="C209" s="222" t="s">
        <v>36</v>
      </c>
    </row>
    <row r="210" spans="1:3" ht="15">
      <c r="A210" s="222">
        <v>15337</v>
      </c>
      <c r="B210" s="223" t="s">
        <v>35</v>
      </c>
      <c r="C210" s="222" t="s">
        <v>36</v>
      </c>
    </row>
    <row r="211" spans="1:3" ht="15">
      <c r="A211" s="222">
        <v>15338</v>
      </c>
      <c r="B211" s="223" t="s">
        <v>35</v>
      </c>
      <c r="C211" s="222" t="s">
        <v>36</v>
      </c>
    </row>
    <row r="212" spans="1:3" ht="15">
      <c r="A212" s="222">
        <v>15339</v>
      </c>
      <c r="B212" s="223" t="s">
        <v>35</v>
      </c>
      <c r="C212" s="222" t="s">
        <v>36</v>
      </c>
    </row>
    <row r="213" spans="1:3" ht="15">
      <c r="A213" s="222">
        <v>15340</v>
      </c>
      <c r="B213" s="223" t="s">
        <v>35</v>
      </c>
      <c r="C213" s="222" t="s">
        <v>36</v>
      </c>
    </row>
    <row r="214" spans="1:3" ht="15">
      <c r="A214" s="222">
        <v>15341</v>
      </c>
      <c r="B214" s="223" t="s">
        <v>35</v>
      </c>
      <c r="C214" s="222" t="s">
        <v>36</v>
      </c>
    </row>
    <row r="215" spans="1:3" ht="15">
      <c r="A215" s="222">
        <v>15342</v>
      </c>
      <c r="B215" s="223" t="s">
        <v>35</v>
      </c>
      <c r="C215" s="222" t="s">
        <v>36</v>
      </c>
    </row>
    <row r="216" spans="1:3" ht="15">
      <c r="A216" s="222">
        <v>15344</v>
      </c>
      <c r="B216" s="223" t="s">
        <v>35</v>
      </c>
      <c r="C216" s="222" t="s">
        <v>36</v>
      </c>
    </row>
    <row r="217" spans="1:3" ht="15">
      <c r="A217" s="222">
        <v>15345</v>
      </c>
      <c r="B217" s="223" t="s">
        <v>35</v>
      </c>
      <c r="C217" s="222" t="s">
        <v>36</v>
      </c>
    </row>
    <row r="218" spans="1:3" ht="15">
      <c r="A218" s="222">
        <v>15346</v>
      </c>
      <c r="B218" s="223" t="s">
        <v>35</v>
      </c>
      <c r="C218" s="222" t="s">
        <v>36</v>
      </c>
    </row>
    <row r="219" spans="1:3" ht="15">
      <c r="A219" s="222">
        <v>15347</v>
      </c>
      <c r="B219" s="223" t="s">
        <v>35</v>
      </c>
      <c r="C219" s="222" t="s">
        <v>36</v>
      </c>
    </row>
    <row r="220" spans="1:3" ht="15">
      <c r="A220" s="222">
        <v>15348</v>
      </c>
      <c r="B220" s="223" t="s">
        <v>35</v>
      </c>
      <c r="C220" s="222" t="s">
        <v>36</v>
      </c>
    </row>
    <row r="221" spans="1:3" ht="15">
      <c r="A221" s="222">
        <v>15349</v>
      </c>
      <c r="B221" s="223" t="s">
        <v>35</v>
      </c>
      <c r="C221" s="222" t="s">
        <v>36</v>
      </c>
    </row>
    <row r="222" spans="1:3" ht="15">
      <c r="A222" s="222">
        <v>15350</v>
      </c>
      <c r="B222" s="223" t="s">
        <v>35</v>
      </c>
      <c r="C222" s="222" t="s">
        <v>36</v>
      </c>
    </row>
    <row r="223" spans="1:3" ht="15">
      <c r="A223" s="222">
        <v>15351</v>
      </c>
      <c r="B223" s="223" t="s">
        <v>35</v>
      </c>
      <c r="C223" s="222" t="s">
        <v>36</v>
      </c>
    </row>
    <row r="224" spans="1:3" ht="15">
      <c r="A224" s="222">
        <v>15352</v>
      </c>
      <c r="B224" s="223" t="s">
        <v>35</v>
      </c>
      <c r="C224" s="222" t="s">
        <v>36</v>
      </c>
    </row>
    <row r="225" spans="1:3" ht="15">
      <c r="A225" s="222">
        <v>15353</v>
      </c>
      <c r="B225" s="223" t="s">
        <v>35</v>
      </c>
      <c r="C225" s="222" t="s">
        <v>36</v>
      </c>
    </row>
    <row r="226" spans="1:3" ht="15">
      <c r="A226" s="222">
        <v>15354</v>
      </c>
      <c r="B226" s="223" t="s">
        <v>35</v>
      </c>
      <c r="C226" s="222" t="s">
        <v>36</v>
      </c>
    </row>
    <row r="227" spans="1:3" ht="15">
      <c r="A227" s="222">
        <v>15357</v>
      </c>
      <c r="B227" s="223" t="s">
        <v>35</v>
      </c>
      <c r="C227" s="222" t="s">
        <v>36</v>
      </c>
    </row>
    <row r="228" spans="1:3" ht="15">
      <c r="A228" s="222">
        <v>15358</v>
      </c>
      <c r="B228" s="223" t="s">
        <v>35</v>
      </c>
      <c r="C228" s="222" t="s">
        <v>36</v>
      </c>
    </row>
    <row r="229" spans="1:3" ht="15">
      <c r="A229" s="222">
        <v>15359</v>
      </c>
      <c r="B229" s="223" t="s">
        <v>35</v>
      </c>
      <c r="C229" s="222" t="s">
        <v>36</v>
      </c>
    </row>
    <row r="230" spans="1:3" ht="15">
      <c r="A230" s="222">
        <v>15360</v>
      </c>
      <c r="B230" s="223" t="s">
        <v>35</v>
      </c>
      <c r="C230" s="222" t="s">
        <v>36</v>
      </c>
    </row>
    <row r="231" spans="1:3" ht="15">
      <c r="A231" s="222">
        <v>15361</v>
      </c>
      <c r="B231" s="223" t="s">
        <v>35</v>
      </c>
      <c r="C231" s="222" t="s">
        <v>36</v>
      </c>
    </row>
    <row r="232" spans="1:3" ht="15">
      <c r="A232" s="222">
        <v>15362</v>
      </c>
      <c r="B232" s="223" t="s">
        <v>35</v>
      </c>
      <c r="C232" s="222" t="s">
        <v>36</v>
      </c>
    </row>
    <row r="233" spans="1:3" ht="15">
      <c r="A233" s="222">
        <v>15363</v>
      </c>
      <c r="B233" s="223" t="s">
        <v>35</v>
      </c>
      <c r="C233" s="222" t="s">
        <v>36</v>
      </c>
    </row>
    <row r="234" spans="1:3" ht="15">
      <c r="A234" s="222">
        <v>15364</v>
      </c>
      <c r="B234" s="223" t="s">
        <v>35</v>
      </c>
      <c r="C234" s="222" t="s">
        <v>36</v>
      </c>
    </row>
    <row r="235" spans="1:3" ht="15">
      <c r="A235" s="222">
        <v>15365</v>
      </c>
      <c r="B235" s="223" t="s">
        <v>35</v>
      </c>
      <c r="C235" s="222" t="s">
        <v>36</v>
      </c>
    </row>
    <row r="236" spans="1:3" ht="15">
      <c r="A236" s="222">
        <v>15366</v>
      </c>
      <c r="B236" s="223" t="s">
        <v>35</v>
      </c>
      <c r="C236" s="222" t="s">
        <v>36</v>
      </c>
    </row>
    <row r="237" spans="1:3" ht="15">
      <c r="A237" s="222">
        <v>15367</v>
      </c>
      <c r="B237" s="223" t="s">
        <v>35</v>
      </c>
      <c r="C237" s="222" t="s">
        <v>36</v>
      </c>
    </row>
    <row r="238" spans="1:3" ht="15">
      <c r="A238" s="222">
        <v>15368</v>
      </c>
      <c r="B238" s="223" t="s">
        <v>35</v>
      </c>
      <c r="C238" s="222" t="s">
        <v>36</v>
      </c>
    </row>
    <row r="239" spans="1:3" ht="15">
      <c r="A239" s="222">
        <v>15370</v>
      </c>
      <c r="B239" s="223" t="s">
        <v>35</v>
      </c>
      <c r="C239" s="222" t="s">
        <v>36</v>
      </c>
    </row>
    <row r="240" spans="1:3" ht="15">
      <c r="A240" s="222">
        <v>15376</v>
      </c>
      <c r="B240" s="223" t="s">
        <v>35</v>
      </c>
      <c r="C240" s="222" t="s">
        <v>36</v>
      </c>
    </row>
    <row r="241" spans="1:3" ht="15">
      <c r="A241" s="222">
        <v>15377</v>
      </c>
      <c r="B241" s="223" t="s">
        <v>35</v>
      </c>
      <c r="C241" s="222" t="s">
        <v>36</v>
      </c>
    </row>
    <row r="242" spans="1:3" ht="15">
      <c r="A242" s="222">
        <v>15378</v>
      </c>
      <c r="B242" s="223" t="s">
        <v>35</v>
      </c>
      <c r="C242" s="222" t="s">
        <v>36</v>
      </c>
    </row>
    <row r="243" spans="1:3" ht="15">
      <c r="A243" s="222">
        <v>15379</v>
      </c>
      <c r="B243" s="223" t="s">
        <v>35</v>
      </c>
      <c r="C243" s="222" t="s">
        <v>36</v>
      </c>
    </row>
    <row r="244" spans="1:3" ht="15">
      <c r="A244" s="222">
        <v>15380</v>
      </c>
      <c r="B244" s="223" t="s">
        <v>35</v>
      </c>
      <c r="C244" s="222" t="s">
        <v>36</v>
      </c>
    </row>
    <row r="245" spans="1:3" ht="15">
      <c r="A245" s="222">
        <v>15401</v>
      </c>
      <c r="B245" s="223" t="s">
        <v>35</v>
      </c>
      <c r="C245" s="222" t="s">
        <v>36</v>
      </c>
    </row>
    <row r="246" spans="1:3" ht="15">
      <c r="A246" s="222">
        <v>15410</v>
      </c>
      <c r="B246" s="223" t="s">
        <v>35</v>
      </c>
      <c r="C246" s="222" t="s">
        <v>36</v>
      </c>
    </row>
    <row r="247" spans="1:3" ht="15">
      <c r="A247" s="222">
        <v>15411</v>
      </c>
      <c r="B247" s="223" t="s">
        <v>35</v>
      </c>
      <c r="C247" s="222" t="s">
        <v>36</v>
      </c>
    </row>
    <row r="248" spans="1:3" ht="15">
      <c r="A248" s="222">
        <v>15412</v>
      </c>
      <c r="B248" s="223" t="s">
        <v>35</v>
      </c>
      <c r="C248" s="222" t="s">
        <v>36</v>
      </c>
    </row>
    <row r="249" spans="1:3" ht="15">
      <c r="A249" s="222">
        <v>15413</v>
      </c>
      <c r="B249" s="223" t="s">
        <v>35</v>
      </c>
      <c r="C249" s="222" t="s">
        <v>36</v>
      </c>
    </row>
    <row r="250" spans="1:3" ht="15">
      <c r="A250" s="222">
        <v>15415</v>
      </c>
      <c r="B250" s="223" t="s">
        <v>35</v>
      </c>
      <c r="C250" s="222" t="s">
        <v>36</v>
      </c>
    </row>
    <row r="251" spans="1:3" ht="15">
      <c r="A251" s="222">
        <v>15416</v>
      </c>
      <c r="B251" s="223" t="s">
        <v>35</v>
      </c>
      <c r="C251" s="222" t="s">
        <v>36</v>
      </c>
    </row>
    <row r="252" spans="1:3" ht="15">
      <c r="A252" s="222">
        <v>15417</v>
      </c>
      <c r="B252" s="223" t="s">
        <v>35</v>
      </c>
      <c r="C252" s="222" t="s">
        <v>36</v>
      </c>
    </row>
    <row r="253" spans="1:3" ht="15">
      <c r="A253" s="222">
        <v>15419</v>
      </c>
      <c r="B253" s="223" t="s">
        <v>35</v>
      </c>
      <c r="C253" s="222" t="s">
        <v>36</v>
      </c>
    </row>
    <row r="254" spans="1:3" ht="15">
      <c r="A254" s="222">
        <v>15420</v>
      </c>
      <c r="B254" s="223" t="s">
        <v>35</v>
      </c>
      <c r="C254" s="222" t="s">
        <v>36</v>
      </c>
    </row>
    <row r="255" spans="1:3" ht="15">
      <c r="A255" s="222">
        <v>15421</v>
      </c>
      <c r="B255" s="223" t="s">
        <v>35</v>
      </c>
      <c r="C255" s="222" t="s">
        <v>36</v>
      </c>
    </row>
    <row r="256" spans="1:3" ht="15">
      <c r="A256" s="222">
        <v>15422</v>
      </c>
      <c r="B256" s="223" t="s">
        <v>35</v>
      </c>
      <c r="C256" s="222" t="s">
        <v>36</v>
      </c>
    </row>
    <row r="257" spans="1:3" ht="15">
      <c r="A257" s="222">
        <v>15423</v>
      </c>
      <c r="B257" s="223" t="s">
        <v>35</v>
      </c>
      <c r="C257" s="222" t="s">
        <v>36</v>
      </c>
    </row>
    <row r="258" spans="1:3" ht="15">
      <c r="A258" s="222">
        <v>15424</v>
      </c>
      <c r="B258" s="223" t="s">
        <v>35</v>
      </c>
      <c r="C258" s="222" t="s">
        <v>36</v>
      </c>
    </row>
    <row r="259" spans="1:3" ht="15">
      <c r="A259" s="222">
        <v>15425</v>
      </c>
      <c r="B259" s="223" t="s">
        <v>35</v>
      </c>
      <c r="C259" s="222" t="s">
        <v>36</v>
      </c>
    </row>
    <row r="260" spans="1:3" ht="15">
      <c r="A260" s="222">
        <v>15427</v>
      </c>
      <c r="B260" s="223" t="s">
        <v>35</v>
      </c>
      <c r="C260" s="222" t="s">
        <v>36</v>
      </c>
    </row>
    <row r="261" spans="1:3" ht="15">
      <c r="A261" s="222">
        <v>15428</v>
      </c>
      <c r="B261" s="223" t="s">
        <v>35</v>
      </c>
      <c r="C261" s="222" t="s">
        <v>36</v>
      </c>
    </row>
    <row r="262" spans="1:3" ht="15">
      <c r="A262" s="222">
        <v>15429</v>
      </c>
      <c r="B262" s="223" t="s">
        <v>35</v>
      </c>
      <c r="C262" s="222" t="s">
        <v>36</v>
      </c>
    </row>
    <row r="263" spans="1:3" ht="15">
      <c r="A263" s="222">
        <v>15430</v>
      </c>
      <c r="B263" s="223" t="s">
        <v>35</v>
      </c>
      <c r="C263" s="222" t="s">
        <v>36</v>
      </c>
    </row>
    <row r="264" spans="1:3" ht="15">
      <c r="A264" s="222">
        <v>15431</v>
      </c>
      <c r="B264" s="223" t="s">
        <v>35</v>
      </c>
      <c r="C264" s="222" t="s">
        <v>36</v>
      </c>
    </row>
    <row r="265" spans="1:3" ht="15">
      <c r="A265" s="222">
        <v>15432</v>
      </c>
      <c r="B265" s="223" t="s">
        <v>35</v>
      </c>
      <c r="C265" s="222" t="s">
        <v>36</v>
      </c>
    </row>
    <row r="266" spans="1:3" ht="15">
      <c r="A266" s="222">
        <v>15433</v>
      </c>
      <c r="B266" s="223" t="s">
        <v>35</v>
      </c>
      <c r="C266" s="222" t="s">
        <v>36</v>
      </c>
    </row>
    <row r="267" spans="1:3" ht="15">
      <c r="A267" s="222">
        <v>15434</v>
      </c>
      <c r="B267" s="223" t="s">
        <v>35</v>
      </c>
      <c r="C267" s="222" t="s">
        <v>36</v>
      </c>
    </row>
    <row r="268" spans="1:3" ht="15">
      <c r="A268" s="222">
        <v>15435</v>
      </c>
      <c r="B268" s="223" t="s">
        <v>35</v>
      </c>
      <c r="C268" s="222" t="s">
        <v>36</v>
      </c>
    </row>
    <row r="269" spans="1:3" ht="15">
      <c r="A269" s="222">
        <v>15436</v>
      </c>
      <c r="B269" s="223" t="s">
        <v>35</v>
      </c>
      <c r="C269" s="222" t="s">
        <v>36</v>
      </c>
    </row>
    <row r="270" spans="1:3" ht="15">
      <c r="A270" s="222">
        <v>15437</v>
      </c>
      <c r="B270" s="223" t="s">
        <v>35</v>
      </c>
      <c r="C270" s="222" t="s">
        <v>36</v>
      </c>
    </row>
    <row r="271" spans="1:3" ht="15">
      <c r="A271" s="222">
        <v>15438</v>
      </c>
      <c r="B271" s="223" t="s">
        <v>35</v>
      </c>
      <c r="C271" s="222" t="s">
        <v>36</v>
      </c>
    </row>
    <row r="272" spans="1:3" ht="15">
      <c r="A272" s="222">
        <v>15439</v>
      </c>
      <c r="B272" s="223" t="s">
        <v>35</v>
      </c>
      <c r="C272" s="222" t="s">
        <v>36</v>
      </c>
    </row>
    <row r="273" spans="1:3" ht="15">
      <c r="A273" s="222">
        <v>15440</v>
      </c>
      <c r="B273" s="223" t="s">
        <v>35</v>
      </c>
      <c r="C273" s="222" t="s">
        <v>36</v>
      </c>
    </row>
    <row r="274" spans="1:3" ht="15">
      <c r="A274" s="222">
        <v>15442</v>
      </c>
      <c r="B274" s="223" t="s">
        <v>35</v>
      </c>
      <c r="C274" s="222" t="s">
        <v>36</v>
      </c>
    </row>
    <row r="275" spans="1:3" ht="15">
      <c r="A275" s="222">
        <v>15443</v>
      </c>
      <c r="B275" s="223" t="s">
        <v>35</v>
      </c>
      <c r="C275" s="222" t="s">
        <v>36</v>
      </c>
    </row>
    <row r="276" spans="1:3" ht="15">
      <c r="A276" s="222">
        <v>15444</v>
      </c>
      <c r="B276" s="223" t="s">
        <v>35</v>
      </c>
      <c r="C276" s="222" t="s">
        <v>36</v>
      </c>
    </row>
    <row r="277" spans="1:3" ht="15">
      <c r="A277" s="222">
        <v>15445</v>
      </c>
      <c r="B277" s="223" t="s">
        <v>35</v>
      </c>
      <c r="C277" s="222" t="s">
        <v>36</v>
      </c>
    </row>
    <row r="278" spans="1:3" ht="15">
      <c r="A278" s="222">
        <v>15446</v>
      </c>
      <c r="B278" s="223" t="s">
        <v>35</v>
      </c>
      <c r="C278" s="222" t="s">
        <v>36</v>
      </c>
    </row>
    <row r="279" spans="1:3" ht="15">
      <c r="A279" s="222">
        <v>15447</v>
      </c>
      <c r="B279" s="223" t="s">
        <v>35</v>
      </c>
      <c r="C279" s="222" t="s">
        <v>36</v>
      </c>
    </row>
    <row r="280" spans="1:3" ht="15">
      <c r="A280" s="222">
        <v>15448</v>
      </c>
      <c r="B280" s="223" t="s">
        <v>35</v>
      </c>
      <c r="C280" s="222" t="s">
        <v>36</v>
      </c>
    </row>
    <row r="281" spans="1:3" ht="15">
      <c r="A281" s="222">
        <v>15449</v>
      </c>
      <c r="B281" s="223" t="s">
        <v>35</v>
      </c>
      <c r="C281" s="222" t="s">
        <v>36</v>
      </c>
    </row>
    <row r="282" spans="1:3" ht="15">
      <c r="A282" s="222">
        <v>15450</v>
      </c>
      <c r="B282" s="223" t="s">
        <v>35</v>
      </c>
      <c r="C282" s="222" t="s">
        <v>36</v>
      </c>
    </row>
    <row r="283" spans="1:3" ht="15">
      <c r="A283" s="222">
        <v>15451</v>
      </c>
      <c r="B283" s="223" t="s">
        <v>35</v>
      </c>
      <c r="C283" s="222" t="s">
        <v>36</v>
      </c>
    </row>
    <row r="284" spans="1:3" ht="15">
      <c r="A284" s="222">
        <v>15454</v>
      </c>
      <c r="B284" s="223" t="s">
        <v>35</v>
      </c>
      <c r="C284" s="222" t="s">
        <v>36</v>
      </c>
    </row>
    <row r="285" spans="1:3" ht="15">
      <c r="A285" s="222">
        <v>15455</v>
      </c>
      <c r="B285" s="223" t="s">
        <v>35</v>
      </c>
      <c r="C285" s="222" t="s">
        <v>36</v>
      </c>
    </row>
    <row r="286" spans="1:3" ht="15">
      <c r="A286" s="222">
        <v>15456</v>
      </c>
      <c r="B286" s="223" t="s">
        <v>35</v>
      </c>
      <c r="C286" s="222" t="s">
        <v>36</v>
      </c>
    </row>
    <row r="287" spans="1:3" ht="15">
      <c r="A287" s="222">
        <v>15458</v>
      </c>
      <c r="B287" s="223" t="s">
        <v>35</v>
      </c>
      <c r="C287" s="222" t="s">
        <v>36</v>
      </c>
    </row>
    <row r="288" spans="1:3" ht="15">
      <c r="A288" s="222">
        <v>15459</v>
      </c>
      <c r="B288" s="223" t="s">
        <v>35</v>
      </c>
      <c r="C288" s="222" t="s">
        <v>36</v>
      </c>
    </row>
    <row r="289" spans="1:3" ht="15">
      <c r="A289" s="222">
        <v>15460</v>
      </c>
      <c r="B289" s="223" t="s">
        <v>35</v>
      </c>
      <c r="C289" s="222" t="s">
        <v>36</v>
      </c>
    </row>
    <row r="290" spans="1:3" ht="15">
      <c r="A290" s="222">
        <v>15461</v>
      </c>
      <c r="B290" s="223" t="s">
        <v>35</v>
      </c>
      <c r="C290" s="222" t="s">
        <v>36</v>
      </c>
    </row>
    <row r="291" spans="1:3" ht="15">
      <c r="A291" s="222">
        <v>15462</v>
      </c>
      <c r="B291" s="223" t="s">
        <v>35</v>
      </c>
      <c r="C291" s="222" t="s">
        <v>36</v>
      </c>
    </row>
    <row r="292" spans="1:3" ht="15">
      <c r="A292" s="222">
        <v>15463</v>
      </c>
      <c r="B292" s="223" t="s">
        <v>35</v>
      </c>
      <c r="C292" s="222" t="s">
        <v>36</v>
      </c>
    </row>
    <row r="293" spans="1:3" ht="15">
      <c r="A293" s="222">
        <v>15464</v>
      </c>
      <c r="B293" s="223" t="s">
        <v>35</v>
      </c>
      <c r="C293" s="222" t="s">
        <v>36</v>
      </c>
    </row>
    <row r="294" spans="1:3" ht="15">
      <c r="A294" s="222">
        <v>15465</v>
      </c>
      <c r="B294" s="223" t="s">
        <v>35</v>
      </c>
      <c r="C294" s="222" t="s">
        <v>36</v>
      </c>
    </row>
    <row r="295" spans="1:3" ht="15">
      <c r="A295" s="222">
        <v>15466</v>
      </c>
      <c r="B295" s="223" t="s">
        <v>35</v>
      </c>
      <c r="C295" s="222" t="s">
        <v>36</v>
      </c>
    </row>
    <row r="296" spans="1:3" ht="15">
      <c r="A296" s="222">
        <v>15467</v>
      </c>
      <c r="B296" s="223" t="s">
        <v>35</v>
      </c>
      <c r="C296" s="222" t="s">
        <v>36</v>
      </c>
    </row>
    <row r="297" spans="1:3" ht="15">
      <c r="A297" s="222">
        <v>15468</v>
      </c>
      <c r="B297" s="223" t="s">
        <v>35</v>
      </c>
      <c r="C297" s="222" t="s">
        <v>36</v>
      </c>
    </row>
    <row r="298" spans="1:3" ht="15">
      <c r="A298" s="222">
        <v>15469</v>
      </c>
      <c r="B298" s="223" t="s">
        <v>35</v>
      </c>
      <c r="C298" s="222" t="s">
        <v>36</v>
      </c>
    </row>
    <row r="299" spans="1:3" ht="15">
      <c r="A299" s="222">
        <v>15470</v>
      </c>
      <c r="B299" s="223" t="s">
        <v>35</v>
      </c>
      <c r="C299" s="222" t="s">
        <v>36</v>
      </c>
    </row>
    <row r="300" spans="1:3" ht="15">
      <c r="A300" s="222">
        <v>15472</v>
      </c>
      <c r="B300" s="223" t="s">
        <v>35</v>
      </c>
      <c r="C300" s="222" t="s">
        <v>36</v>
      </c>
    </row>
    <row r="301" spans="1:3" ht="15">
      <c r="A301" s="222">
        <v>15473</v>
      </c>
      <c r="B301" s="223" t="s">
        <v>35</v>
      </c>
      <c r="C301" s="222" t="s">
        <v>36</v>
      </c>
    </row>
    <row r="302" spans="1:3" ht="15">
      <c r="A302" s="222">
        <v>15474</v>
      </c>
      <c r="B302" s="223" t="s">
        <v>35</v>
      </c>
      <c r="C302" s="222" t="s">
        <v>36</v>
      </c>
    </row>
    <row r="303" spans="1:3" ht="15">
      <c r="A303" s="222">
        <v>15475</v>
      </c>
      <c r="B303" s="223" t="s">
        <v>35</v>
      </c>
      <c r="C303" s="222" t="s">
        <v>36</v>
      </c>
    </row>
    <row r="304" spans="1:3" ht="15">
      <c r="A304" s="222">
        <v>15476</v>
      </c>
      <c r="B304" s="223" t="s">
        <v>35</v>
      </c>
      <c r="C304" s="222" t="s">
        <v>36</v>
      </c>
    </row>
    <row r="305" spans="1:3" ht="15">
      <c r="A305" s="222">
        <v>15477</v>
      </c>
      <c r="B305" s="223" t="s">
        <v>35</v>
      </c>
      <c r="C305" s="222" t="s">
        <v>36</v>
      </c>
    </row>
    <row r="306" spans="1:3" ht="15">
      <c r="A306" s="222">
        <v>15478</v>
      </c>
      <c r="B306" s="223" t="s">
        <v>35</v>
      </c>
      <c r="C306" s="222" t="s">
        <v>36</v>
      </c>
    </row>
    <row r="307" spans="1:3" ht="15">
      <c r="A307" s="222">
        <v>15479</v>
      </c>
      <c r="B307" s="223" t="s">
        <v>35</v>
      </c>
      <c r="C307" s="222" t="s">
        <v>36</v>
      </c>
    </row>
    <row r="308" spans="1:3" ht="15">
      <c r="A308" s="222">
        <v>15480</v>
      </c>
      <c r="B308" s="223" t="s">
        <v>35</v>
      </c>
      <c r="C308" s="222" t="s">
        <v>36</v>
      </c>
    </row>
    <row r="309" spans="1:3" ht="15">
      <c r="A309" s="222">
        <v>15482</v>
      </c>
      <c r="B309" s="223" t="s">
        <v>35</v>
      </c>
      <c r="C309" s="222" t="s">
        <v>36</v>
      </c>
    </row>
    <row r="310" spans="1:3" ht="15">
      <c r="A310" s="222">
        <v>15483</v>
      </c>
      <c r="B310" s="223" t="s">
        <v>35</v>
      </c>
      <c r="C310" s="222" t="s">
        <v>36</v>
      </c>
    </row>
    <row r="311" spans="1:3" ht="15">
      <c r="A311" s="222">
        <v>15484</v>
      </c>
      <c r="B311" s="223" t="s">
        <v>35</v>
      </c>
      <c r="C311" s="222" t="s">
        <v>36</v>
      </c>
    </row>
    <row r="312" spans="1:3" ht="15">
      <c r="A312" s="222">
        <v>15485</v>
      </c>
      <c r="B312" s="223" t="s">
        <v>35</v>
      </c>
      <c r="C312" s="222" t="s">
        <v>36</v>
      </c>
    </row>
    <row r="313" spans="1:3" ht="15">
      <c r="A313" s="222">
        <v>15486</v>
      </c>
      <c r="B313" s="223" t="s">
        <v>35</v>
      </c>
      <c r="C313" s="222" t="s">
        <v>36</v>
      </c>
    </row>
    <row r="314" spans="1:3" ht="15">
      <c r="A314" s="222">
        <v>15488</v>
      </c>
      <c r="B314" s="223" t="s">
        <v>35</v>
      </c>
      <c r="C314" s="222" t="s">
        <v>36</v>
      </c>
    </row>
    <row r="315" spans="1:3" ht="15">
      <c r="A315" s="222">
        <v>15489</v>
      </c>
      <c r="B315" s="223" t="s">
        <v>35</v>
      </c>
      <c r="C315" s="222" t="s">
        <v>36</v>
      </c>
    </row>
    <row r="316" spans="1:3" ht="15">
      <c r="A316" s="222">
        <v>15490</v>
      </c>
      <c r="B316" s="223" t="s">
        <v>35</v>
      </c>
      <c r="C316" s="222" t="s">
        <v>36</v>
      </c>
    </row>
    <row r="317" spans="1:3" ht="15">
      <c r="A317" s="222">
        <v>15492</v>
      </c>
      <c r="B317" s="223" t="s">
        <v>35</v>
      </c>
      <c r="C317" s="222" t="s">
        <v>36</v>
      </c>
    </row>
    <row r="318" spans="1:3" ht="15">
      <c r="A318" s="222">
        <v>15501</v>
      </c>
      <c r="B318" s="223" t="s">
        <v>35</v>
      </c>
      <c r="C318" s="222" t="s">
        <v>36</v>
      </c>
    </row>
    <row r="319" spans="1:3" ht="15">
      <c r="A319" s="222">
        <v>15502</v>
      </c>
      <c r="B319" s="223" t="s">
        <v>35</v>
      </c>
      <c r="C319" s="222" t="s">
        <v>36</v>
      </c>
    </row>
    <row r="320" spans="1:3" ht="15">
      <c r="A320" s="222">
        <v>15510</v>
      </c>
      <c r="B320" s="223" t="s">
        <v>35</v>
      </c>
      <c r="C320" s="222" t="s">
        <v>36</v>
      </c>
    </row>
    <row r="321" spans="1:3" ht="15">
      <c r="A321" s="222">
        <v>15520</v>
      </c>
      <c r="B321" s="223" t="s">
        <v>35</v>
      </c>
      <c r="C321" s="222" t="s">
        <v>36</v>
      </c>
    </row>
    <row r="322" spans="1:3" ht="15">
      <c r="A322" s="222">
        <v>15521</v>
      </c>
      <c r="B322" s="223" t="s">
        <v>35</v>
      </c>
      <c r="C322" s="222" t="s">
        <v>36</v>
      </c>
    </row>
    <row r="323" spans="1:3" ht="15">
      <c r="A323" s="222">
        <v>15522</v>
      </c>
      <c r="B323" s="223" t="s">
        <v>35</v>
      </c>
      <c r="C323" s="222" t="s">
        <v>36</v>
      </c>
    </row>
    <row r="324" spans="1:3" ht="15">
      <c r="A324" s="222">
        <v>15530</v>
      </c>
      <c r="B324" s="223" t="s">
        <v>35</v>
      </c>
      <c r="C324" s="222" t="s">
        <v>36</v>
      </c>
    </row>
    <row r="325" spans="1:3" ht="15">
      <c r="A325" s="222">
        <v>15531</v>
      </c>
      <c r="B325" s="223" t="s">
        <v>35</v>
      </c>
      <c r="C325" s="222" t="s">
        <v>36</v>
      </c>
    </row>
    <row r="326" spans="1:3" ht="15">
      <c r="A326" s="222">
        <v>15532</v>
      </c>
      <c r="B326" s="223" t="s">
        <v>35</v>
      </c>
      <c r="C326" s="222" t="s">
        <v>36</v>
      </c>
    </row>
    <row r="327" spans="1:3" ht="15">
      <c r="A327" s="222">
        <v>15533</v>
      </c>
      <c r="B327" s="223" t="s">
        <v>35</v>
      </c>
      <c r="C327" s="222" t="s">
        <v>36</v>
      </c>
    </row>
    <row r="328" spans="1:3" ht="15">
      <c r="A328" s="222">
        <v>15534</v>
      </c>
      <c r="B328" s="223" t="s">
        <v>35</v>
      </c>
      <c r="C328" s="222" t="s">
        <v>36</v>
      </c>
    </row>
    <row r="329" spans="1:3" ht="15">
      <c r="A329" s="222">
        <v>15535</v>
      </c>
      <c r="B329" s="223" t="s">
        <v>35</v>
      </c>
      <c r="C329" s="222" t="s">
        <v>36</v>
      </c>
    </row>
    <row r="330" spans="1:3" ht="15">
      <c r="A330" s="222">
        <v>15536</v>
      </c>
      <c r="B330" s="223" t="s">
        <v>37</v>
      </c>
      <c r="C330" s="222" t="s">
        <v>38</v>
      </c>
    </row>
    <row r="331" spans="1:3" ht="15">
      <c r="A331" s="222">
        <v>15537</v>
      </c>
      <c r="B331" s="223" t="s">
        <v>35</v>
      </c>
      <c r="C331" s="222" t="s">
        <v>36</v>
      </c>
    </row>
    <row r="332" spans="1:3" ht="15">
      <c r="A332" s="222">
        <v>15538</v>
      </c>
      <c r="B332" s="223" t="s">
        <v>35</v>
      </c>
      <c r="C332" s="222" t="s">
        <v>36</v>
      </c>
    </row>
    <row r="333" spans="1:3" ht="15">
      <c r="A333" s="222">
        <v>15539</v>
      </c>
      <c r="B333" s="223" t="s">
        <v>35</v>
      </c>
      <c r="C333" s="222" t="s">
        <v>36</v>
      </c>
    </row>
    <row r="334" spans="1:3" ht="15">
      <c r="A334" s="222">
        <v>15540</v>
      </c>
      <c r="B334" s="223" t="s">
        <v>35</v>
      </c>
      <c r="C334" s="222" t="s">
        <v>36</v>
      </c>
    </row>
    <row r="335" spans="1:3" ht="15">
      <c r="A335" s="222">
        <v>15541</v>
      </c>
      <c r="B335" s="223" t="s">
        <v>35</v>
      </c>
      <c r="C335" s="222" t="s">
        <v>36</v>
      </c>
    </row>
    <row r="336" spans="1:3" ht="15">
      <c r="A336" s="222">
        <v>15542</v>
      </c>
      <c r="B336" s="223" t="s">
        <v>35</v>
      </c>
      <c r="C336" s="222" t="s">
        <v>36</v>
      </c>
    </row>
    <row r="337" spans="1:3" ht="15">
      <c r="A337" s="222">
        <v>15544</v>
      </c>
      <c r="B337" s="223" t="s">
        <v>35</v>
      </c>
      <c r="C337" s="222" t="s">
        <v>36</v>
      </c>
    </row>
    <row r="338" spans="1:3" ht="15">
      <c r="A338" s="222">
        <v>15545</v>
      </c>
      <c r="B338" s="223" t="s">
        <v>35</v>
      </c>
      <c r="C338" s="222" t="s">
        <v>36</v>
      </c>
    </row>
    <row r="339" spans="1:3" ht="15">
      <c r="A339" s="222">
        <v>15546</v>
      </c>
      <c r="B339" s="223" t="s">
        <v>35</v>
      </c>
      <c r="C339" s="222" t="s">
        <v>36</v>
      </c>
    </row>
    <row r="340" spans="1:3" ht="15">
      <c r="A340" s="222">
        <v>15547</v>
      </c>
      <c r="B340" s="223" t="s">
        <v>35</v>
      </c>
      <c r="C340" s="222" t="s">
        <v>36</v>
      </c>
    </row>
    <row r="341" spans="1:3" ht="15">
      <c r="A341" s="222">
        <v>15548</v>
      </c>
      <c r="B341" s="223" t="s">
        <v>35</v>
      </c>
      <c r="C341" s="222" t="s">
        <v>36</v>
      </c>
    </row>
    <row r="342" spans="1:3" ht="15">
      <c r="A342" s="222">
        <v>15549</v>
      </c>
      <c r="B342" s="223" t="s">
        <v>35</v>
      </c>
      <c r="C342" s="222" t="s">
        <v>36</v>
      </c>
    </row>
    <row r="343" spans="1:3" ht="15">
      <c r="A343" s="222">
        <v>15550</v>
      </c>
      <c r="B343" s="223" t="s">
        <v>35</v>
      </c>
      <c r="C343" s="222" t="s">
        <v>36</v>
      </c>
    </row>
    <row r="344" spans="1:3" ht="15">
      <c r="A344" s="222">
        <v>15551</v>
      </c>
      <c r="B344" s="223" t="s">
        <v>35</v>
      </c>
      <c r="C344" s="222" t="s">
        <v>36</v>
      </c>
    </row>
    <row r="345" spans="1:3" ht="15">
      <c r="A345" s="222">
        <v>15552</v>
      </c>
      <c r="B345" s="223" t="s">
        <v>35</v>
      </c>
      <c r="C345" s="222" t="s">
        <v>36</v>
      </c>
    </row>
    <row r="346" spans="1:3" ht="15">
      <c r="A346" s="222">
        <v>15553</v>
      </c>
      <c r="B346" s="223" t="s">
        <v>35</v>
      </c>
      <c r="C346" s="222" t="s">
        <v>36</v>
      </c>
    </row>
    <row r="347" spans="1:3" ht="15">
      <c r="A347" s="222">
        <v>15554</v>
      </c>
      <c r="B347" s="223" t="s">
        <v>35</v>
      </c>
      <c r="C347" s="222" t="s">
        <v>36</v>
      </c>
    </row>
    <row r="348" spans="1:3" ht="15">
      <c r="A348" s="222">
        <v>15555</v>
      </c>
      <c r="B348" s="223" t="s">
        <v>35</v>
      </c>
      <c r="C348" s="222" t="s">
        <v>36</v>
      </c>
    </row>
    <row r="349" spans="1:3" ht="15">
      <c r="A349" s="222">
        <v>15557</v>
      </c>
      <c r="B349" s="223" t="s">
        <v>35</v>
      </c>
      <c r="C349" s="222" t="s">
        <v>36</v>
      </c>
    </row>
    <row r="350" spans="1:3" ht="15">
      <c r="A350" s="222">
        <v>15558</v>
      </c>
      <c r="B350" s="223" t="s">
        <v>35</v>
      </c>
      <c r="C350" s="222" t="s">
        <v>36</v>
      </c>
    </row>
    <row r="351" spans="1:3" ht="15">
      <c r="A351" s="222">
        <v>15559</v>
      </c>
      <c r="B351" s="223" t="s">
        <v>35</v>
      </c>
      <c r="C351" s="222" t="s">
        <v>36</v>
      </c>
    </row>
    <row r="352" spans="1:3" ht="15">
      <c r="A352" s="222">
        <v>15560</v>
      </c>
      <c r="B352" s="223" t="s">
        <v>35</v>
      </c>
      <c r="C352" s="222" t="s">
        <v>36</v>
      </c>
    </row>
    <row r="353" spans="1:3" ht="15">
      <c r="A353" s="222">
        <v>15561</v>
      </c>
      <c r="B353" s="223" t="s">
        <v>35</v>
      </c>
      <c r="C353" s="222" t="s">
        <v>36</v>
      </c>
    </row>
    <row r="354" spans="1:3" ht="15">
      <c r="A354" s="222">
        <v>15562</v>
      </c>
      <c r="B354" s="223" t="s">
        <v>35</v>
      </c>
      <c r="C354" s="222" t="s">
        <v>36</v>
      </c>
    </row>
    <row r="355" spans="1:3" ht="15">
      <c r="A355" s="222">
        <v>15563</v>
      </c>
      <c r="B355" s="223" t="s">
        <v>35</v>
      </c>
      <c r="C355" s="222" t="s">
        <v>36</v>
      </c>
    </row>
    <row r="356" spans="1:3" ht="15">
      <c r="A356" s="222">
        <v>15564</v>
      </c>
      <c r="B356" s="223" t="s">
        <v>35</v>
      </c>
      <c r="C356" s="222" t="s">
        <v>36</v>
      </c>
    </row>
    <row r="357" spans="1:3" ht="15">
      <c r="A357" s="222">
        <v>15565</v>
      </c>
      <c r="B357" s="223" t="s">
        <v>35</v>
      </c>
      <c r="C357" s="222" t="s">
        <v>36</v>
      </c>
    </row>
    <row r="358" spans="1:3" ht="15">
      <c r="A358" s="222">
        <v>15601</v>
      </c>
      <c r="B358" s="223" t="s">
        <v>35</v>
      </c>
      <c r="C358" s="222" t="s">
        <v>36</v>
      </c>
    </row>
    <row r="359" spans="1:3" ht="15">
      <c r="A359" s="222">
        <v>15605</v>
      </c>
      <c r="B359" s="223" t="s">
        <v>35</v>
      </c>
      <c r="C359" s="222" t="s">
        <v>36</v>
      </c>
    </row>
    <row r="360" spans="1:3" ht="15">
      <c r="A360" s="222">
        <v>15606</v>
      </c>
      <c r="B360" s="223" t="s">
        <v>35</v>
      </c>
      <c r="C360" s="222" t="s">
        <v>36</v>
      </c>
    </row>
    <row r="361" spans="1:3" ht="15">
      <c r="A361" s="222">
        <v>15610</v>
      </c>
      <c r="B361" s="223" t="s">
        <v>35</v>
      </c>
      <c r="C361" s="222" t="s">
        <v>36</v>
      </c>
    </row>
    <row r="362" spans="1:3" ht="15">
      <c r="A362" s="222">
        <v>15611</v>
      </c>
      <c r="B362" s="223" t="s">
        <v>35</v>
      </c>
      <c r="C362" s="222" t="s">
        <v>36</v>
      </c>
    </row>
    <row r="363" spans="1:3" ht="15">
      <c r="A363" s="222">
        <v>15612</v>
      </c>
      <c r="B363" s="223" t="s">
        <v>35</v>
      </c>
      <c r="C363" s="222" t="s">
        <v>36</v>
      </c>
    </row>
    <row r="364" spans="1:3" ht="15">
      <c r="A364" s="222">
        <v>15613</v>
      </c>
      <c r="B364" s="223" t="s">
        <v>35</v>
      </c>
      <c r="C364" s="222" t="s">
        <v>36</v>
      </c>
    </row>
    <row r="365" spans="1:3" ht="15">
      <c r="A365" s="222">
        <v>15615</v>
      </c>
      <c r="B365" s="223" t="s">
        <v>35</v>
      </c>
      <c r="C365" s="222" t="s">
        <v>36</v>
      </c>
    </row>
    <row r="366" spans="1:3" ht="15">
      <c r="A366" s="222">
        <v>15616</v>
      </c>
      <c r="B366" s="223" t="s">
        <v>35</v>
      </c>
      <c r="C366" s="222" t="s">
        <v>36</v>
      </c>
    </row>
    <row r="367" spans="1:3" ht="15">
      <c r="A367" s="222">
        <v>15617</v>
      </c>
      <c r="B367" s="223" t="s">
        <v>35</v>
      </c>
      <c r="C367" s="222" t="s">
        <v>36</v>
      </c>
    </row>
    <row r="368" spans="1:3" ht="15">
      <c r="A368" s="222">
        <v>15618</v>
      </c>
      <c r="B368" s="223" t="s">
        <v>35</v>
      </c>
      <c r="C368" s="222" t="s">
        <v>36</v>
      </c>
    </row>
    <row r="369" spans="1:3" ht="15">
      <c r="A369" s="222">
        <v>15619</v>
      </c>
      <c r="B369" s="223" t="s">
        <v>35</v>
      </c>
      <c r="C369" s="222" t="s">
        <v>36</v>
      </c>
    </row>
    <row r="370" spans="1:3" ht="15">
      <c r="A370" s="222">
        <v>15620</v>
      </c>
      <c r="B370" s="223" t="s">
        <v>35</v>
      </c>
      <c r="C370" s="222" t="s">
        <v>36</v>
      </c>
    </row>
    <row r="371" spans="1:3" ht="15">
      <c r="A371" s="222">
        <v>15621</v>
      </c>
      <c r="B371" s="223" t="s">
        <v>35</v>
      </c>
      <c r="C371" s="222" t="s">
        <v>36</v>
      </c>
    </row>
    <row r="372" spans="1:3" ht="15">
      <c r="A372" s="222">
        <v>15622</v>
      </c>
      <c r="B372" s="223" t="s">
        <v>35</v>
      </c>
      <c r="C372" s="222" t="s">
        <v>36</v>
      </c>
    </row>
    <row r="373" spans="1:3" ht="15">
      <c r="A373" s="222">
        <v>15623</v>
      </c>
      <c r="B373" s="223" t="s">
        <v>35</v>
      </c>
      <c r="C373" s="222" t="s">
        <v>36</v>
      </c>
    </row>
    <row r="374" spans="1:3" ht="15">
      <c r="A374" s="222">
        <v>15624</v>
      </c>
      <c r="B374" s="223" t="s">
        <v>35</v>
      </c>
      <c r="C374" s="222" t="s">
        <v>36</v>
      </c>
    </row>
    <row r="375" spans="1:3" ht="15">
      <c r="A375" s="222">
        <v>15625</v>
      </c>
      <c r="B375" s="223" t="s">
        <v>35</v>
      </c>
      <c r="C375" s="222" t="s">
        <v>36</v>
      </c>
    </row>
    <row r="376" spans="1:3" ht="15">
      <c r="A376" s="222">
        <v>15626</v>
      </c>
      <c r="B376" s="223" t="s">
        <v>35</v>
      </c>
      <c r="C376" s="222" t="s">
        <v>36</v>
      </c>
    </row>
    <row r="377" spans="1:3" ht="15">
      <c r="A377" s="222">
        <v>15627</v>
      </c>
      <c r="B377" s="223" t="s">
        <v>35</v>
      </c>
      <c r="C377" s="222" t="s">
        <v>36</v>
      </c>
    </row>
    <row r="378" spans="1:3" ht="15">
      <c r="A378" s="222">
        <v>15628</v>
      </c>
      <c r="B378" s="223" t="s">
        <v>35</v>
      </c>
      <c r="C378" s="222" t="s">
        <v>36</v>
      </c>
    </row>
    <row r="379" spans="1:3" ht="15">
      <c r="A379" s="222">
        <v>15629</v>
      </c>
      <c r="B379" s="223" t="s">
        <v>35</v>
      </c>
      <c r="C379" s="222" t="s">
        <v>36</v>
      </c>
    </row>
    <row r="380" spans="1:3" ht="15">
      <c r="A380" s="222">
        <v>15631</v>
      </c>
      <c r="B380" s="223" t="s">
        <v>35</v>
      </c>
      <c r="C380" s="222" t="s">
        <v>36</v>
      </c>
    </row>
    <row r="381" spans="1:3" ht="15">
      <c r="A381" s="222">
        <v>15632</v>
      </c>
      <c r="B381" s="223" t="s">
        <v>35</v>
      </c>
      <c r="C381" s="222" t="s">
        <v>36</v>
      </c>
    </row>
    <row r="382" spans="1:3" ht="15">
      <c r="A382" s="222">
        <v>15633</v>
      </c>
      <c r="B382" s="223" t="s">
        <v>35</v>
      </c>
      <c r="C382" s="222" t="s">
        <v>36</v>
      </c>
    </row>
    <row r="383" spans="1:3" ht="15">
      <c r="A383" s="222">
        <v>15634</v>
      </c>
      <c r="B383" s="223" t="s">
        <v>35</v>
      </c>
      <c r="C383" s="222" t="s">
        <v>36</v>
      </c>
    </row>
    <row r="384" spans="1:3" ht="15">
      <c r="A384" s="222">
        <v>15635</v>
      </c>
      <c r="B384" s="223" t="s">
        <v>35</v>
      </c>
      <c r="C384" s="222" t="s">
        <v>36</v>
      </c>
    </row>
    <row r="385" spans="1:3" ht="15">
      <c r="A385" s="222">
        <v>15636</v>
      </c>
      <c r="B385" s="223" t="s">
        <v>35</v>
      </c>
      <c r="C385" s="222" t="s">
        <v>36</v>
      </c>
    </row>
    <row r="386" spans="1:3" ht="15">
      <c r="A386" s="222">
        <v>15637</v>
      </c>
      <c r="B386" s="223" t="s">
        <v>35</v>
      </c>
      <c r="C386" s="222" t="s">
        <v>36</v>
      </c>
    </row>
    <row r="387" spans="1:3" ht="15">
      <c r="A387" s="222">
        <v>15638</v>
      </c>
      <c r="B387" s="223" t="s">
        <v>35</v>
      </c>
      <c r="C387" s="222" t="s">
        <v>36</v>
      </c>
    </row>
    <row r="388" spans="1:3" ht="15">
      <c r="A388" s="222">
        <v>15639</v>
      </c>
      <c r="B388" s="223" t="s">
        <v>35</v>
      </c>
      <c r="C388" s="222" t="s">
        <v>36</v>
      </c>
    </row>
    <row r="389" spans="1:3" ht="15">
      <c r="A389" s="222">
        <v>15640</v>
      </c>
      <c r="B389" s="223" t="s">
        <v>35</v>
      </c>
      <c r="C389" s="222" t="s">
        <v>36</v>
      </c>
    </row>
    <row r="390" spans="1:3" ht="15">
      <c r="A390" s="222">
        <v>15641</v>
      </c>
      <c r="B390" s="223" t="s">
        <v>35</v>
      </c>
      <c r="C390" s="222" t="s">
        <v>36</v>
      </c>
    </row>
    <row r="391" spans="1:3" ht="15">
      <c r="A391" s="222">
        <v>15642</v>
      </c>
      <c r="B391" s="223" t="s">
        <v>35</v>
      </c>
      <c r="C391" s="222" t="s">
        <v>36</v>
      </c>
    </row>
    <row r="392" spans="1:3" ht="15">
      <c r="A392" s="222">
        <v>15644</v>
      </c>
      <c r="B392" s="223" t="s">
        <v>35</v>
      </c>
      <c r="C392" s="222" t="s">
        <v>36</v>
      </c>
    </row>
    <row r="393" spans="1:3" ht="15">
      <c r="A393" s="222">
        <v>15646</v>
      </c>
      <c r="B393" s="223" t="s">
        <v>35</v>
      </c>
      <c r="C393" s="222" t="s">
        <v>36</v>
      </c>
    </row>
    <row r="394" spans="1:3" ht="15">
      <c r="A394" s="222">
        <v>15647</v>
      </c>
      <c r="B394" s="223" t="s">
        <v>35</v>
      </c>
      <c r="C394" s="222" t="s">
        <v>36</v>
      </c>
    </row>
    <row r="395" spans="1:3" ht="15">
      <c r="A395" s="222">
        <v>15650</v>
      </c>
      <c r="B395" s="223" t="s">
        <v>35</v>
      </c>
      <c r="C395" s="222" t="s">
        <v>36</v>
      </c>
    </row>
    <row r="396" spans="1:3" ht="15">
      <c r="A396" s="222">
        <v>15655</v>
      </c>
      <c r="B396" s="223" t="s">
        <v>35</v>
      </c>
      <c r="C396" s="222" t="s">
        <v>36</v>
      </c>
    </row>
    <row r="397" spans="1:3" ht="15">
      <c r="A397" s="222">
        <v>15656</v>
      </c>
      <c r="B397" s="223" t="s">
        <v>35</v>
      </c>
      <c r="C397" s="222" t="s">
        <v>36</v>
      </c>
    </row>
    <row r="398" spans="1:3" ht="15">
      <c r="A398" s="222">
        <v>15658</v>
      </c>
      <c r="B398" s="223" t="s">
        <v>35</v>
      </c>
      <c r="C398" s="222" t="s">
        <v>36</v>
      </c>
    </row>
    <row r="399" spans="1:3" ht="15">
      <c r="A399" s="222">
        <v>15660</v>
      </c>
      <c r="B399" s="223" t="s">
        <v>35</v>
      </c>
      <c r="C399" s="222" t="s">
        <v>36</v>
      </c>
    </row>
    <row r="400" spans="1:3" ht="15">
      <c r="A400" s="222">
        <v>15661</v>
      </c>
      <c r="B400" s="223" t="s">
        <v>35</v>
      </c>
      <c r="C400" s="222" t="s">
        <v>36</v>
      </c>
    </row>
    <row r="401" spans="1:3" ht="15">
      <c r="A401" s="222">
        <v>15662</v>
      </c>
      <c r="B401" s="223" t="s">
        <v>35</v>
      </c>
      <c r="C401" s="222" t="s">
        <v>36</v>
      </c>
    </row>
    <row r="402" spans="1:3" ht="15">
      <c r="A402" s="222">
        <v>15663</v>
      </c>
      <c r="B402" s="223" t="s">
        <v>35</v>
      </c>
      <c r="C402" s="222" t="s">
        <v>36</v>
      </c>
    </row>
    <row r="403" spans="1:3" ht="15">
      <c r="A403" s="222">
        <v>15664</v>
      </c>
      <c r="B403" s="223" t="s">
        <v>35</v>
      </c>
      <c r="C403" s="222" t="s">
        <v>36</v>
      </c>
    </row>
    <row r="404" spans="1:3" ht="15">
      <c r="A404" s="222">
        <v>15665</v>
      </c>
      <c r="B404" s="223" t="s">
        <v>35</v>
      </c>
      <c r="C404" s="222" t="s">
        <v>36</v>
      </c>
    </row>
    <row r="405" spans="1:3" ht="15">
      <c r="A405" s="222">
        <v>15666</v>
      </c>
      <c r="B405" s="223" t="s">
        <v>35</v>
      </c>
      <c r="C405" s="222" t="s">
        <v>36</v>
      </c>
    </row>
    <row r="406" spans="1:3" ht="15">
      <c r="A406" s="222">
        <v>15668</v>
      </c>
      <c r="B406" s="223" t="s">
        <v>35</v>
      </c>
      <c r="C406" s="222" t="s">
        <v>36</v>
      </c>
    </row>
    <row r="407" spans="1:3" ht="15">
      <c r="A407" s="222">
        <v>15670</v>
      </c>
      <c r="B407" s="223" t="s">
        <v>35</v>
      </c>
      <c r="C407" s="222" t="s">
        <v>36</v>
      </c>
    </row>
    <row r="408" spans="1:3" ht="15">
      <c r="A408" s="222">
        <v>15671</v>
      </c>
      <c r="B408" s="223" t="s">
        <v>35</v>
      </c>
      <c r="C408" s="222" t="s">
        <v>36</v>
      </c>
    </row>
    <row r="409" spans="1:3" ht="15">
      <c r="A409" s="222">
        <v>15672</v>
      </c>
      <c r="B409" s="223" t="s">
        <v>35</v>
      </c>
      <c r="C409" s="222" t="s">
        <v>36</v>
      </c>
    </row>
    <row r="410" spans="1:3" ht="15">
      <c r="A410" s="222">
        <v>15673</v>
      </c>
      <c r="B410" s="223" t="s">
        <v>35</v>
      </c>
      <c r="C410" s="222" t="s">
        <v>36</v>
      </c>
    </row>
    <row r="411" spans="1:3" ht="15">
      <c r="A411" s="222">
        <v>15674</v>
      </c>
      <c r="B411" s="223" t="s">
        <v>35</v>
      </c>
      <c r="C411" s="222" t="s">
        <v>36</v>
      </c>
    </row>
    <row r="412" spans="1:3" ht="15">
      <c r="A412" s="222">
        <v>15675</v>
      </c>
      <c r="B412" s="223" t="s">
        <v>35</v>
      </c>
      <c r="C412" s="222" t="s">
        <v>36</v>
      </c>
    </row>
    <row r="413" spans="1:3" ht="15">
      <c r="A413" s="222">
        <v>15676</v>
      </c>
      <c r="B413" s="223" t="s">
        <v>35</v>
      </c>
      <c r="C413" s="222" t="s">
        <v>36</v>
      </c>
    </row>
    <row r="414" spans="1:3" ht="15">
      <c r="A414" s="222">
        <v>15677</v>
      </c>
      <c r="B414" s="223" t="s">
        <v>35</v>
      </c>
      <c r="C414" s="222" t="s">
        <v>36</v>
      </c>
    </row>
    <row r="415" spans="1:3" ht="15">
      <c r="A415" s="222">
        <v>15678</v>
      </c>
      <c r="B415" s="223" t="s">
        <v>35</v>
      </c>
      <c r="C415" s="222" t="s">
        <v>36</v>
      </c>
    </row>
    <row r="416" spans="1:3" ht="15">
      <c r="A416" s="222">
        <v>15679</v>
      </c>
      <c r="B416" s="223" t="s">
        <v>35</v>
      </c>
      <c r="C416" s="222" t="s">
        <v>36</v>
      </c>
    </row>
    <row r="417" spans="1:3" ht="15">
      <c r="A417" s="222">
        <v>15680</v>
      </c>
      <c r="B417" s="223" t="s">
        <v>35</v>
      </c>
      <c r="C417" s="222" t="s">
        <v>36</v>
      </c>
    </row>
    <row r="418" spans="1:3" ht="15">
      <c r="A418" s="222">
        <v>15681</v>
      </c>
      <c r="B418" s="223" t="s">
        <v>35</v>
      </c>
      <c r="C418" s="222" t="s">
        <v>36</v>
      </c>
    </row>
    <row r="419" spans="1:3" ht="15">
      <c r="A419" s="222">
        <v>15682</v>
      </c>
      <c r="B419" s="223" t="s">
        <v>35</v>
      </c>
      <c r="C419" s="222" t="s">
        <v>36</v>
      </c>
    </row>
    <row r="420" spans="1:3" ht="15">
      <c r="A420" s="222">
        <v>15683</v>
      </c>
      <c r="B420" s="223" t="s">
        <v>35</v>
      </c>
      <c r="C420" s="222" t="s">
        <v>36</v>
      </c>
    </row>
    <row r="421" spans="1:3" ht="15">
      <c r="A421" s="222">
        <v>15684</v>
      </c>
      <c r="B421" s="223" t="s">
        <v>35</v>
      </c>
      <c r="C421" s="222" t="s">
        <v>36</v>
      </c>
    </row>
    <row r="422" spans="1:3" ht="15">
      <c r="A422" s="222">
        <v>15685</v>
      </c>
      <c r="B422" s="223" t="s">
        <v>35</v>
      </c>
      <c r="C422" s="222" t="s">
        <v>36</v>
      </c>
    </row>
    <row r="423" spans="1:3" ht="15">
      <c r="A423" s="222">
        <v>15686</v>
      </c>
      <c r="B423" s="223" t="s">
        <v>35</v>
      </c>
      <c r="C423" s="222" t="s">
        <v>36</v>
      </c>
    </row>
    <row r="424" spans="1:3" ht="15">
      <c r="A424" s="222">
        <v>15687</v>
      </c>
      <c r="B424" s="223" t="s">
        <v>35</v>
      </c>
      <c r="C424" s="222" t="s">
        <v>36</v>
      </c>
    </row>
    <row r="425" spans="1:3" ht="15">
      <c r="A425" s="222">
        <v>15688</v>
      </c>
      <c r="B425" s="223" t="s">
        <v>35</v>
      </c>
      <c r="C425" s="222" t="s">
        <v>36</v>
      </c>
    </row>
    <row r="426" spans="1:3" ht="15">
      <c r="A426" s="222">
        <v>15689</v>
      </c>
      <c r="B426" s="223" t="s">
        <v>35</v>
      </c>
      <c r="C426" s="222" t="s">
        <v>36</v>
      </c>
    </row>
    <row r="427" spans="1:3" ht="15">
      <c r="A427" s="222">
        <v>15690</v>
      </c>
      <c r="B427" s="223" t="s">
        <v>35</v>
      </c>
      <c r="C427" s="222" t="s">
        <v>36</v>
      </c>
    </row>
    <row r="428" spans="1:3" ht="15">
      <c r="A428" s="222">
        <v>15691</v>
      </c>
      <c r="B428" s="223" t="s">
        <v>35</v>
      </c>
      <c r="C428" s="222" t="s">
        <v>36</v>
      </c>
    </row>
    <row r="429" spans="1:3" ht="15">
      <c r="A429" s="222">
        <v>15692</v>
      </c>
      <c r="B429" s="223" t="s">
        <v>35</v>
      </c>
      <c r="C429" s="222" t="s">
        <v>36</v>
      </c>
    </row>
    <row r="430" spans="1:3" ht="15">
      <c r="A430" s="222">
        <v>15693</v>
      </c>
      <c r="B430" s="223" t="s">
        <v>35</v>
      </c>
      <c r="C430" s="222" t="s">
        <v>36</v>
      </c>
    </row>
    <row r="431" spans="1:3" ht="15">
      <c r="A431" s="222">
        <v>15695</v>
      </c>
      <c r="B431" s="223" t="s">
        <v>35</v>
      </c>
      <c r="C431" s="222" t="s">
        <v>36</v>
      </c>
    </row>
    <row r="432" spans="1:3" ht="15">
      <c r="A432" s="222">
        <v>15696</v>
      </c>
      <c r="B432" s="223" t="s">
        <v>35</v>
      </c>
      <c r="C432" s="222" t="s">
        <v>36</v>
      </c>
    </row>
    <row r="433" spans="1:3" ht="15">
      <c r="A433" s="222">
        <v>15697</v>
      </c>
      <c r="B433" s="223" t="s">
        <v>35</v>
      </c>
      <c r="C433" s="222" t="s">
        <v>36</v>
      </c>
    </row>
    <row r="434" spans="1:3" ht="15">
      <c r="A434" s="222">
        <v>15698</v>
      </c>
      <c r="B434" s="223" t="s">
        <v>35</v>
      </c>
      <c r="C434" s="222" t="s">
        <v>36</v>
      </c>
    </row>
    <row r="435" spans="1:3" ht="15">
      <c r="A435" s="222">
        <v>15701</v>
      </c>
      <c r="B435" s="223" t="s">
        <v>35</v>
      </c>
      <c r="C435" s="222" t="s">
        <v>36</v>
      </c>
    </row>
    <row r="436" spans="1:3" ht="15">
      <c r="A436" s="222">
        <v>15705</v>
      </c>
      <c r="B436" s="223" t="s">
        <v>35</v>
      </c>
      <c r="C436" s="222" t="s">
        <v>36</v>
      </c>
    </row>
    <row r="437" spans="1:3" ht="15">
      <c r="A437" s="222">
        <v>15710</v>
      </c>
      <c r="B437" s="223" t="s">
        <v>35</v>
      </c>
      <c r="C437" s="222" t="s">
        <v>36</v>
      </c>
    </row>
    <row r="438" spans="1:3" ht="15">
      <c r="A438" s="222">
        <v>15711</v>
      </c>
      <c r="B438" s="223" t="s">
        <v>39</v>
      </c>
      <c r="C438" s="222" t="s">
        <v>40</v>
      </c>
    </row>
    <row r="439" spans="1:3" ht="15">
      <c r="A439" s="222">
        <v>15712</v>
      </c>
      <c r="B439" s="223" t="s">
        <v>35</v>
      </c>
      <c r="C439" s="222" t="s">
        <v>36</v>
      </c>
    </row>
    <row r="440" spans="1:3" ht="15">
      <c r="A440" s="222">
        <v>15713</v>
      </c>
      <c r="B440" s="223" t="s">
        <v>35</v>
      </c>
      <c r="C440" s="222" t="s">
        <v>36</v>
      </c>
    </row>
    <row r="441" spans="1:3" ht="15">
      <c r="A441" s="222">
        <v>15714</v>
      </c>
      <c r="B441" s="223" t="s">
        <v>35</v>
      </c>
      <c r="C441" s="222" t="s">
        <v>36</v>
      </c>
    </row>
    <row r="442" spans="1:3" ht="15">
      <c r="A442" s="222">
        <v>15715</v>
      </c>
      <c r="B442" s="223" t="s">
        <v>39</v>
      </c>
      <c r="C442" s="222" t="s">
        <v>40</v>
      </c>
    </row>
    <row r="443" spans="1:3" ht="15">
      <c r="A443" s="222">
        <v>15716</v>
      </c>
      <c r="B443" s="223" t="s">
        <v>35</v>
      </c>
      <c r="C443" s="222" t="s">
        <v>36</v>
      </c>
    </row>
    <row r="444" spans="1:3" ht="15">
      <c r="A444" s="222">
        <v>15717</v>
      </c>
      <c r="B444" s="223" t="s">
        <v>35</v>
      </c>
      <c r="C444" s="222" t="s">
        <v>36</v>
      </c>
    </row>
    <row r="445" spans="1:3" ht="15">
      <c r="A445" s="222">
        <v>15720</v>
      </c>
      <c r="B445" s="223" t="s">
        <v>35</v>
      </c>
      <c r="C445" s="222" t="s">
        <v>36</v>
      </c>
    </row>
    <row r="446" spans="1:3" ht="15">
      <c r="A446" s="222">
        <v>15721</v>
      </c>
      <c r="B446" s="223" t="s">
        <v>41</v>
      </c>
      <c r="C446" s="222" t="s">
        <v>42</v>
      </c>
    </row>
    <row r="447" spans="1:3" ht="15">
      <c r="A447" s="222">
        <v>15722</v>
      </c>
      <c r="B447" s="223" t="s">
        <v>35</v>
      </c>
      <c r="C447" s="222" t="s">
        <v>36</v>
      </c>
    </row>
    <row r="448" spans="1:3" ht="15">
      <c r="A448" s="222">
        <v>15723</v>
      </c>
      <c r="B448" s="223" t="s">
        <v>35</v>
      </c>
      <c r="C448" s="222" t="s">
        <v>36</v>
      </c>
    </row>
    <row r="449" spans="1:3" ht="15">
      <c r="A449" s="222">
        <v>15724</v>
      </c>
      <c r="B449" s="223" t="s">
        <v>35</v>
      </c>
      <c r="C449" s="222" t="s">
        <v>36</v>
      </c>
    </row>
    <row r="450" spans="1:3" ht="15">
      <c r="A450" s="222">
        <v>15725</v>
      </c>
      <c r="B450" s="223" t="s">
        <v>35</v>
      </c>
      <c r="C450" s="222" t="s">
        <v>36</v>
      </c>
    </row>
    <row r="451" spans="1:3" ht="15">
      <c r="A451" s="222">
        <v>15727</v>
      </c>
      <c r="B451" s="223" t="s">
        <v>35</v>
      </c>
      <c r="C451" s="222" t="s">
        <v>36</v>
      </c>
    </row>
    <row r="452" spans="1:3" ht="15">
      <c r="A452" s="222">
        <v>15728</v>
      </c>
      <c r="B452" s="223" t="s">
        <v>35</v>
      </c>
      <c r="C452" s="222" t="s">
        <v>36</v>
      </c>
    </row>
    <row r="453" spans="1:3" ht="15">
      <c r="A453" s="222">
        <v>15729</v>
      </c>
      <c r="B453" s="223" t="s">
        <v>35</v>
      </c>
      <c r="C453" s="222" t="s">
        <v>36</v>
      </c>
    </row>
    <row r="454" spans="1:3" ht="15">
      <c r="A454" s="222">
        <v>15730</v>
      </c>
      <c r="B454" s="223" t="s">
        <v>39</v>
      </c>
      <c r="C454" s="222" t="s">
        <v>40</v>
      </c>
    </row>
    <row r="455" spans="1:3" ht="15">
      <c r="A455" s="222">
        <v>15731</v>
      </c>
      <c r="B455" s="223" t="s">
        <v>35</v>
      </c>
      <c r="C455" s="222" t="s">
        <v>36</v>
      </c>
    </row>
    <row r="456" spans="1:3" ht="15">
      <c r="A456" s="222">
        <v>15732</v>
      </c>
      <c r="B456" s="223" t="s">
        <v>35</v>
      </c>
      <c r="C456" s="222" t="s">
        <v>36</v>
      </c>
    </row>
    <row r="457" spans="1:3" ht="15">
      <c r="A457" s="222">
        <v>15733</v>
      </c>
      <c r="B457" s="223" t="s">
        <v>39</v>
      </c>
      <c r="C457" s="222" t="s">
        <v>40</v>
      </c>
    </row>
    <row r="458" spans="1:3" ht="15">
      <c r="A458" s="222">
        <v>15734</v>
      </c>
      <c r="B458" s="223" t="s">
        <v>35</v>
      </c>
      <c r="C458" s="222" t="s">
        <v>36</v>
      </c>
    </row>
    <row r="459" spans="1:3" ht="15">
      <c r="A459" s="222">
        <v>15736</v>
      </c>
      <c r="B459" s="223" t="s">
        <v>35</v>
      </c>
      <c r="C459" s="222" t="s">
        <v>36</v>
      </c>
    </row>
    <row r="460" spans="1:3" ht="15">
      <c r="A460" s="222">
        <v>15737</v>
      </c>
      <c r="B460" s="223" t="s">
        <v>35</v>
      </c>
      <c r="C460" s="222" t="s">
        <v>36</v>
      </c>
    </row>
    <row r="461" spans="1:3" ht="15">
      <c r="A461" s="222">
        <v>15738</v>
      </c>
      <c r="B461" s="223" t="s">
        <v>35</v>
      </c>
      <c r="C461" s="222" t="s">
        <v>36</v>
      </c>
    </row>
    <row r="462" spans="1:3" ht="15">
      <c r="A462" s="222">
        <v>15739</v>
      </c>
      <c r="B462" s="223" t="s">
        <v>35</v>
      </c>
      <c r="C462" s="222" t="s">
        <v>36</v>
      </c>
    </row>
    <row r="463" spans="1:3" ht="15">
      <c r="A463" s="222">
        <v>15740</v>
      </c>
      <c r="B463" s="223" t="s">
        <v>39</v>
      </c>
      <c r="C463" s="222" t="s">
        <v>40</v>
      </c>
    </row>
    <row r="464" spans="1:3" ht="15">
      <c r="A464" s="222">
        <v>15741</v>
      </c>
      <c r="B464" s="223" t="s">
        <v>35</v>
      </c>
      <c r="C464" s="222" t="s">
        <v>36</v>
      </c>
    </row>
    <row r="465" spans="1:3" ht="15">
      <c r="A465" s="222">
        <v>15742</v>
      </c>
      <c r="B465" s="223" t="s">
        <v>35</v>
      </c>
      <c r="C465" s="222" t="s">
        <v>36</v>
      </c>
    </row>
    <row r="466" spans="1:3" ht="15">
      <c r="A466" s="222">
        <v>15744</v>
      </c>
      <c r="B466" s="223" t="s">
        <v>39</v>
      </c>
      <c r="C466" s="222" t="s">
        <v>40</v>
      </c>
    </row>
    <row r="467" spans="1:3" ht="15">
      <c r="A467" s="222">
        <v>15745</v>
      </c>
      <c r="B467" s="223" t="s">
        <v>35</v>
      </c>
      <c r="C467" s="222" t="s">
        <v>36</v>
      </c>
    </row>
    <row r="468" spans="1:3" ht="15">
      <c r="A468" s="222">
        <v>15746</v>
      </c>
      <c r="B468" s="223" t="s">
        <v>35</v>
      </c>
      <c r="C468" s="222" t="s">
        <v>36</v>
      </c>
    </row>
    <row r="469" spans="1:3" ht="15">
      <c r="A469" s="222">
        <v>15747</v>
      </c>
      <c r="B469" s="223" t="s">
        <v>35</v>
      </c>
      <c r="C469" s="222" t="s">
        <v>36</v>
      </c>
    </row>
    <row r="470" spans="1:3" ht="15">
      <c r="A470" s="222">
        <v>15748</v>
      </c>
      <c r="B470" s="223" t="s">
        <v>35</v>
      </c>
      <c r="C470" s="222" t="s">
        <v>36</v>
      </c>
    </row>
    <row r="471" spans="1:3" ht="15">
      <c r="A471" s="222">
        <v>15750</v>
      </c>
      <c r="B471" s="223" t="s">
        <v>35</v>
      </c>
      <c r="C471" s="222" t="s">
        <v>36</v>
      </c>
    </row>
    <row r="472" spans="1:3" ht="15">
      <c r="A472" s="222">
        <v>15752</v>
      </c>
      <c r="B472" s="223" t="s">
        <v>35</v>
      </c>
      <c r="C472" s="222" t="s">
        <v>36</v>
      </c>
    </row>
    <row r="473" spans="1:3" ht="15">
      <c r="A473" s="222">
        <v>15753</v>
      </c>
      <c r="B473" s="223" t="s">
        <v>41</v>
      </c>
      <c r="C473" s="222" t="s">
        <v>42</v>
      </c>
    </row>
    <row r="474" spans="1:3" ht="15">
      <c r="A474" s="222">
        <v>15754</v>
      </c>
      <c r="B474" s="223" t="s">
        <v>35</v>
      </c>
      <c r="C474" s="222" t="s">
        <v>36</v>
      </c>
    </row>
    <row r="475" spans="1:3" ht="15">
      <c r="A475" s="222">
        <v>15756</v>
      </c>
      <c r="B475" s="223" t="s">
        <v>35</v>
      </c>
      <c r="C475" s="222" t="s">
        <v>36</v>
      </c>
    </row>
    <row r="476" spans="1:3" ht="15">
      <c r="A476" s="222">
        <v>15757</v>
      </c>
      <c r="B476" s="223" t="s">
        <v>41</v>
      </c>
      <c r="C476" s="222" t="s">
        <v>42</v>
      </c>
    </row>
    <row r="477" spans="1:3" ht="15">
      <c r="A477" s="222">
        <v>15758</v>
      </c>
      <c r="B477" s="223" t="s">
        <v>35</v>
      </c>
      <c r="C477" s="222" t="s">
        <v>36</v>
      </c>
    </row>
    <row r="478" spans="1:3" ht="15">
      <c r="A478" s="222">
        <v>15759</v>
      </c>
      <c r="B478" s="223" t="s">
        <v>35</v>
      </c>
      <c r="C478" s="222" t="s">
        <v>36</v>
      </c>
    </row>
    <row r="479" spans="1:3" ht="15">
      <c r="A479" s="222">
        <v>15760</v>
      </c>
      <c r="B479" s="223" t="s">
        <v>35</v>
      </c>
      <c r="C479" s="222" t="s">
        <v>36</v>
      </c>
    </row>
    <row r="480" spans="1:3" ht="15">
      <c r="A480" s="222">
        <v>15761</v>
      </c>
      <c r="B480" s="223" t="s">
        <v>35</v>
      </c>
      <c r="C480" s="222" t="s">
        <v>36</v>
      </c>
    </row>
    <row r="481" spans="1:3" ht="15">
      <c r="A481" s="222">
        <v>15762</v>
      </c>
      <c r="B481" s="223" t="s">
        <v>35</v>
      </c>
      <c r="C481" s="222" t="s">
        <v>36</v>
      </c>
    </row>
    <row r="482" spans="1:3" ht="15">
      <c r="A482" s="222">
        <v>15763</v>
      </c>
      <c r="B482" s="223" t="s">
        <v>35</v>
      </c>
      <c r="C482" s="222" t="s">
        <v>36</v>
      </c>
    </row>
    <row r="483" spans="1:3" ht="15">
      <c r="A483" s="222">
        <v>15764</v>
      </c>
      <c r="B483" s="223" t="s">
        <v>39</v>
      </c>
      <c r="C483" s="222" t="s">
        <v>40</v>
      </c>
    </row>
    <row r="484" spans="1:3" ht="15">
      <c r="A484" s="222">
        <v>15765</v>
      </c>
      <c r="B484" s="223" t="s">
        <v>35</v>
      </c>
      <c r="C484" s="222" t="s">
        <v>36</v>
      </c>
    </row>
    <row r="485" spans="1:3" ht="15">
      <c r="A485" s="222">
        <v>15767</v>
      </c>
      <c r="B485" s="223" t="s">
        <v>39</v>
      </c>
      <c r="C485" s="222" t="s">
        <v>40</v>
      </c>
    </row>
    <row r="486" spans="1:3" ht="15">
      <c r="A486" s="222">
        <v>15770</v>
      </c>
      <c r="B486" s="223" t="s">
        <v>39</v>
      </c>
      <c r="C486" s="222" t="s">
        <v>40</v>
      </c>
    </row>
    <row r="487" spans="1:3" ht="15">
      <c r="A487" s="222">
        <v>15771</v>
      </c>
      <c r="B487" s="223" t="s">
        <v>35</v>
      </c>
      <c r="C487" s="222" t="s">
        <v>36</v>
      </c>
    </row>
    <row r="488" spans="1:3" ht="15">
      <c r="A488" s="222">
        <v>15772</v>
      </c>
      <c r="B488" s="223" t="s">
        <v>35</v>
      </c>
      <c r="C488" s="222" t="s">
        <v>36</v>
      </c>
    </row>
    <row r="489" spans="1:3" ht="15">
      <c r="A489" s="222">
        <v>15773</v>
      </c>
      <c r="B489" s="223" t="s">
        <v>35</v>
      </c>
      <c r="C489" s="222" t="s">
        <v>36</v>
      </c>
    </row>
    <row r="490" spans="1:3" ht="15">
      <c r="A490" s="222">
        <v>15774</v>
      </c>
      <c r="B490" s="223" t="s">
        <v>35</v>
      </c>
      <c r="C490" s="222" t="s">
        <v>36</v>
      </c>
    </row>
    <row r="491" spans="1:3" ht="15">
      <c r="A491" s="222">
        <v>15775</v>
      </c>
      <c r="B491" s="223" t="s">
        <v>35</v>
      </c>
      <c r="C491" s="222" t="s">
        <v>36</v>
      </c>
    </row>
    <row r="492" spans="1:3" ht="15">
      <c r="A492" s="222">
        <v>15776</v>
      </c>
      <c r="B492" s="223" t="s">
        <v>39</v>
      </c>
      <c r="C492" s="222" t="s">
        <v>40</v>
      </c>
    </row>
    <row r="493" spans="1:3" ht="15">
      <c r="A493" s="222">
        <v>15777</v>
      </c>
      <c r="B493" s="223" t="s">
        <v>35</v>
      </c>
      <c r="C493" s="222" t="s">
        <v>36</v>
      </c>
    </row>
    <row r="494" spans="1:3" ht="15">
      <c r="A494" s="222">
        <v>15778</v>
      </c>
      <c r="B494" s="223" t="s">
        <v>39</v>
      </c>
      <c r="C494" s="222" t="s">
        <v>40</v>
      </c>
    </row>
    <row r="495" spans="1:3" ht="15">
      <c r="A495" s="222">
        <v>15779</v>
      </c>
      <c r="B495" s="223" t="s">
        <v>35</v>
      </c>
      <c r="C495" s="222" t="s">
        <v>36</v>
      </c>
    </row>
    <row r="496" spans="1:3" ht="15">
      <c r="A496" s="222">
        <v>15780</v>
      </c>
      <c r="B496" s="223" t="s">
        <v>39</v>
      </c>
      <c r="C496" s="222" t="s">
        <v>40</v>
      </c>
    </row>
    <row r="497" spans="1:3" ht="15">
      <c r="A497" s="222">
        <v>15781</v>
      </c>
      <c r="B497" s="223" t="s">
        <v>39</v>
      </c>
      <c r="C497" s="222" t="s">
        <v>40</v>
      </c>
    </row>
    <row r="498" spans="1:3" ht="15">
      <c r="A498" s="222">
        <v>15783</v>
      </c>
      <c r="B498" s="223" t="s">
        <v>35</v>
      </c>
      <c r="C498" s="222" t="s">
        <v>36</v>
      </c>
    </row>
    <row r="499" spans="1:3" ht="15">
      <c r="A499" s="222">
        <v>15784</v>
      </c>
      <c r="B499" s="223" t="s">
        <v>39</v>
      </c>
      <c r="C499" s="222" t="s">
        <v>40</v>
      </c>
    </row>
    <row r="500" spans="1:3" ht="15">
      <c r="A500" s="222">
        <v>15801</v>
      </c>
      <c r="B500" s="223" t="s">
        <v>41</v>
      </c>
      <c r="C500" s="222" t="s">
        <v>42</v>
      </c>
    </row>
    <row r="501" spans="1:3" ht="15">
      <c r="A501" s="222">
        <v>15821</v>
      </c>
      <c r="B501" s="223" t="s">
        <v>41</v>
      </c>
      <c r="C501" s="222" t="s">
        <v>42</v>
      </c>
    </row>
    <row r="502" spans="1:3" ht="15">
      <c r="A502" s="222">
        <v>15822</v>
      </c>
      <c r="B502" s="223" t="s">
        <v>41</v>
      </c>
      <c r="C502" s="222" t="s">
        <v>42</v>
      </c>
    </row>
    <row r="503" spans="1:3" ht="15">
      <c r="A503" s="222">
        <v>15823</v>
      </c>
      <c r="B503" s="223" t="s">
        <v>41</v>
      </c>
      <c r="C503" s="222" t="s">
        <v>42</v>
      </c>
    </row>
    <row r="504" spans="1:3" ht="15">
      <c r="A504" s="222">
        <v>15824</v>
      </c>
      <c r="B504" s="223" t="s">
        <v>39</v>
      </c>
      <c r="C504" s="222" t="s">
        <v>40</v>
      </c>
    </row>
    <row r="505" spans="1:3" ht="15">
      <c r="A505" s="222">
        <v>15825</v>
      </c>
      <c r="B505" s="223" t="s">
        <v>39</v>
      </c>
      <c r="C505" s="222" t="s">
        <v>40</v>
      </c>
    </row>
    <row r="506" spans="1:3" ht="15">
      <c r="A506" s="222">
        <v>15827</v>
      </c>
      <c r="B506" s="223" t="s">
        <v>41</v>
      </c>
      <c r="C506" s="222" t="s">
        <v>42</v>
      </c>
    </row>
    <row r="507" spans="1:3" ht="15">
      <c r="A507" s="222">
        <v>15828</v>
      </c>
      <c r="B507" s="223" t="s">
        <v>39</v>
      </c>
      <c r="C507" s="222" t="s">
        <v>40</v>
      </c>
    </row>
    <row r="508" spans="1:3" ht="15">
      <c r="A508" s="222">
        <v>15829</v>
      </c>
      <c r="B508" s="223" t="s">
        <v>39</v>
      </c>
      <c r="C508" s="222" t="s">
        <v>40</v>
      </c>
    </row>
    <row r="509" spans="1:3" ht="15">
      <c r="A509" s="222">
        <v>15831</v>
      </c>
      <c r="B509" s="223" t="s">
        <v>41</v>
      </c>
      <c r="C509" s="222" t="s">
        <v>42</v>
      </c>
    </row>
    <row r="510" spans="1:3" ht="15">
      <c r="A510" s="222">
        <v>15832</v>
      </c>
      <c r="B510" s="223" t="s">
        <v>41</v>
      </c>
      <c r="C510" s="222" t="s">
        <v>42</v>
      </c>
    </row>
    <row r="511" spans="1:3" ht="15">
      <c r="A511" s="222">
        <v>15834</v>
      </c>
      <c r="B511" s="223" t="s">
        <v>41</v>
      </c>
      <c r="C511" s="222" t="s">
        <v>42</v>
      </c>
    </row>
    <row r="512" spans="1:3" ht="15">
      <c r="A512" s="222">
        <v>15840</v>
      </c>
      <c r="B512" s="223" t="s">
        <v>39</v>
      </c>
      <c r="C512" s="222" t="s">
        <v>40</v>
      </c>
    </row>
    <row r="513" spans="1:3" ht="15">
      <c r="A513" s="222">
        <v>15841</v>
      </c>
      <c r="B513" s="223" t="s">
        <v>41</v>
      </c>
      <c r="C513" s="222" t="s">
        <v>42</v>
      </c>
    </row>
    <row r="514" spans="1:3" ht="15">
      <c r="A514" s="222">
        <v>15845</v>
      </c>
      <c r="B514" s="223" t="s">
        <v>41</v>
      </c>
      <c r="C514" s="222" t="s">
        <v>42</v>
      </c>
    </row>
    <row r="515" spans="1:3" ht="15">
      <c r="A515" s="222">
        <v>15846</v>
      </c>
      <c r="B515" s="223" t="s">
        <v>41</v>
      </c>
      <c r="C515" s="222" t="s">
        <v>42</v>
      </c>
    </row>
    <row r="516" spans="1:3" ht="15">
      <c r="A516" s="222">
        <v>15847</v>
      </c>
      <c r="B516" s="223" t="s">
        <v>39</v>
      </c>
      <c r="C516" s="222" t="s">
        <v>40</v>
      </c>
    </row>
    <row r="517" spans="1:3" ht="15">
      <c r="A517" s="222">
        <v>15848</v>
      </c>
      <c r="B517" s="223" t="s">
        <v>41</v>
      </c>
      <c r="C517" s="222" t="s">
        <v>42</v>
      </c>
    </row>
    <row r="518" spans="1:3" ht="15">
      <c r="A518" s="222">
        <v>15849</v>
      </c>
      <c r="B518" s="223" t="s">
        <v>41</v>
      </c>
      <c r="C518" s="222" t="s">
        <v>42</v>
      </c>
    </row>
    <row r="519" spans="1:3" ht="15">
      <c r="A519" s="222">
        <v>15851</v>
      </c>
      <c r="B519" s="223" t="s">
        <v>39</v>
      </c>
      <c r="C519" s="222" t="s">
        <v>40</v>
      </c>
    </row>
    <row r="520" spans="1:3" ht="15">
      <c r="A520" s="222">
        <v>15853</v>
      </c>
      <c r="B520" s="223" t="s">
        <v>41</v>
      </c>
      <c r="C520" s="222" t="s">
        <v>42</v>
      </c>
    </row>
    <row r="521" spans="1:3" ht="15">
      <c r="A521" s="222">
        <v>15856</v>
      </c>
      <c r="B521" s="223" t="s">
        <v>41</v>
      </c>
      <c r="C521" s="222" t="s">
        <v>42</v>
      </c>
    </row>
    <row r="522" spans="1:3" ht="15">
      <c r="A522" s="222">
        <v>15857</v>
      </c>
      <c r="B522" s="223" t="s">
        <v>41</v>
      </c>
      <c r="C522" s="222" t="s">
        <v>42</v>
      </c>
    </row>
    <row r="523" spans="1:3" ht="15">
      <c r="A523" s="222">
        <v>15860</v>
      </c>
      <c r="B523" s="223" t="s">
        <v>39</v>
      </c>
      <c r="C523" s="222" t="s">
        <v>40</v>
      </c>
    </row>
    <row r="524" spans="1:3" ht="15">
      <c r="A524" s="222">
        <v>15861</v>
      </c>
      <c r="B524" s="223" t="s">
        <v>41</v>
      </c>
      <c r="C524" s="222" t="s">
        <v>42</v>
      </c>
    </row>
    <row r="525" spans="1:3" ht="15">
      <c r="A525" s="222">
        <v>15863</v>
      </c>
      <c r="B525" s="223" t="s">
        <v>39</v>
      </c>
      <c r="C525" s="222" t="s">
        <v>40</v>
      </c>
    </row>
    <row r="526" spans="1:3" ht="15">
      <c r="A526" s="222">
        <v>15864</v>
      </c>
      <c r="B526" s="223" t="s">
        <v>39</v>
      </c>
      <c r="C526" s="222" t="s">
        <v>40</v>
      </c>
    </row>
    <row r="527" spans="1:3" ht="15">
      <c r="A527" s="222">
        <v>15865</v>
      </c>
      <c r="B527" s="223" t="s">
        <v>39</v>
      </c>
      <c r="C527" s="222" t="s">
        <v>40</v>
      </c>
    </row>
    <row r="528" spans="1:3" ht="15">
      <c r="A528" s="222">
        <v>15866</v>
      </c>
      <c r="B528" s="223" t="s">
        <v>41</v>
      </c>
      <c r="C528" s="222" t="s">
        <v>42</v>
      </c>
    </row>
    <row r="529" spans="1:3" ht="15">
      <c r="A529" s="222">
        <v>15868</v>
      </c>
      <c r="B529" s="223" t="s">
        <v>41</v>
      </c>
      <c r="C529" s="222" t="s">
        <v>42</v>
      </c>
    </row>
    <row r="530" spans="1:3" ht="15">
      <c r="A530" s="222">
        <v>15870</v>
      </c>
      <c r="B530" s="223" t="s">
        <v>41</v>
      </c>
      <c r="C530" s="222" t="s">
        <v>42</v>
      </c>
    </row>
    <row r="531" spans="1:3" ht="15">
      <c r="A531" s="222">
        <v>15901</v>
      </c>
      <c r="B531" s="223" t="s">
        <v>35</v>
      </c>
      <c r="C531" s="222" t="s">
        <v>36</v>
      </c>
    </row>
    <row r="532" spans="1:3" ht="15">
      <c r="A532" s="222">
        <v>15902</v>
      </c>
      <c r="B532" s="223" t="s">
        <v>35</v>
      </c>
      <c r="C532" s="222" t="s">
        <v>36</v>
      </c>
    </row>
    <row r="533" spans="1:3" ht="15">
      <c r="A533" s="222">
        <v>15904</v>
      </c>
      <c r="B533" s="223" t="s">
        <v>35</v>
      </c>
      <c r="C533" s="222" t="s">
        <v>36</v>
      </c>
    </row>
    <row r="534" spans="1:3" ht="15">
      <c r="A534" s="222">
        <v>15905</v>
      </c>
      <c r="B534" s="223" t="s">
        <v>35</v>
      </c>
      <c r="C534" s="222" t="s">
        <v>36</v>
      </c>
    </row>
    <row r="535" spans="1:3" ht="15">
      <c r="A535" s="222">
        <v>15906</v>
      </c>
      <c r="B535" s="223" t="s">
        <v>35</v>
      </c>
      <c r="C535" s="222" t="s">
        <v>36</v>
      </c>
    </row>
    <row r="536" spans="1:3" ht="15">
      <c r="A536" s="222">
        <v>15907</v>
      </c>
      <c r="B536" s="223" t="s">
        <v>35</v>
      </c>
      <c r="C536" s="222" t="s">
        <v>36</v>
      </c>
    </row>
    <row r="537" spans="1:3" ht="15">
      <c r="A537" s="222">
        <v>15909</v>
      </c>
      <c r="B537" s="223" t="s">
        <v>35</v>
      </c>
      <c r="C537" s="222" t="s">
        <v>36</v>
      </c>
    </row>
    <row r="538" spans="1:3" ht="15">
      <c r="A538" s="222">
        <v>15915</v>
      </c>
      <c r="B538" s="223" t="s">
        <v>35</v>
      </c>
      <c r="C538" s="222" t="s">
        <v>36</v>
      </c>
    </row>
    <row r="539" spans="1:3" ht="15">
      <c r="A539" s="222">
        <v>15920</v>
      </c>
      <c r="B539" s="223" t="s">
        <v>35</v>
      </c>
      <c r="C539" s="222" t="s">
        <v>36</v>
      </c>
    </row>
    <row r="540" spans="1:3" ht="15">
      <c r="A540" s="222">
        <v>15921</v>
      </c>
      <c r="B540" s="223" t="s">
        <v>35</v>
      </c>
      <c r="C540" s="222" t="s">
        <v>36</v>
      </c>
    </row>
    <row r="541" spans="1:3" ht="15">
      <c r="A541" s="222">
        <v>15922</v>
      </c>
      <c r="B541" s="223" t="s">
        <v>35</v>
      </c>
      <c r="C541" s="222" t="s">
        <v>36</v>
      </c>
    </row>
    <row r="542" spans="1:3" ht="15">
      <c r="A542" s="222">
        <v>15923</v>
      </c>
      <c r="B542" s="223" t="s">
        <v>35</v>
      </c>
      <c r="C542" s="222" t="s">
        <v>36</v>
      </c>
    </row>
    <row r="543" spans="1:3" ht="15">
      <c r="A543" s="222">
        <v>15924</v>
      </c>
      <c r="B543" s="223" t="s">
        <v>35</v>
      </c>
      <c r="C543" s="222" t="s">
        <v>36</v>
      </c>
    </row>
    <row r="544" spans="1:3" ht="15">
      <c r="A544" s="222">
        <v>15925</v>
      </c>
      <c r="B544" s="223" t="s">
        <v>35</v>
      </c>
      <c r="C544" s="222" t="s">
        <v>36</v>
      </c>
    </row>
    <row r="545" spans="1:3" ht="15">
      <c r="A545" s="222">
        <v>15926</v>
      </c>
      <c r="B545" s="223" t="s">
        <v>35</v>
      </c>
      <c r="C545" s="222" t="s">
        <v>36</v>
      </c>
    </row>
    <row r="546" spans="1:3" ht="15">
      <c r="A546" s="222">
        <v>15927</v>
      </c>
      <c r="B546" s="223" t="s">
        <v>35</v>
      </c>
      <c r="C546" s="222" t="s">
        <v>36</v>
      </c>
    </row>
    <row r="547" spans="1:3" ht="15">
      <c r="A547" s="222">
        <v>15928</v>
      </c>
      <c r="B547" s="223" t="s">
        <v>35</v>
      </c>
      <c r="C547" s="222" t="s">
        <v>36</v>
      </c>
    </row>
    <row r="548" spans="1:3" ht="15">
      <c r="A548" s="222">
        <v>15929</v>
      </c>
      <c r="B548" s="223" t="s">
        <v>35</v>
      </c>
      <c r="C548" s="222" t="s">
        <v>36</v>
      </c>
    </row>
    <row r="549" spans="1:3" ht="15">
      <c r="A549" s="222">
        <v>15930</v>
      </c>
      <c r="B549" s="223" t="s">
        <v>35</v>
      </c>
      <c r="C549" s="222" t="s">
        <v>36</v>
      </c>
    </row>
    <row r="550" spans="1:3" ht="15">
      <c r="A550" s="222">
        <v>15931</v>
      </c>
      <c r="B550" s="223" t="s">
        <v>35</v>
      </c>
      <c r="C550" s="222" t="s">
        <v>36</v>
      </c>
    </row>
    <row r="551" spans="1:3" ht="15">
      <c r="A551" s="222">
        <v>15934</v>
      </c>
      <c r="B551" s="223" t="s">
        <v>35</v>
      </c>
      <c r="C551" s="222" t="s">
        <v>36</v>
      </c>
    </row>
    <row r="552" spans="1:3" ht="15">
      <c r="A552" s="222">
        <v>15935</v>
      </c>
      <c r="B552" s="223" t="s">
        <v>35</v>
      </c>
      <c r="C552" s="222" t="s">
        <v>36</v>
      </c>
    </row>
    <row r="553" spans="1:3" ht="15">
      <c r="A553" s="222">
        <v>15936</v>
      </c>
      <c r="B553" s="223" t="s">
        <v>35</v>
      </c>
      <c r="C553" s="222" t="s">
        <v>36</v>
      </c>
    </row>
    <row r="554" spans="1:3" ht="15">
      <c r="A554" s="222">
        <v>15937</v>
      </c>
      <c r="B554" s="223" t="s">
        <v>35</v>
      </c>
      <c r="C554" s="222" t="s">
        <v>36</v>
      </c>
    </row>
    <row r="555" spans="1:3" ht="15">
      <c r="A555" s="222">
        <v>15938</v>
      </c>
      <c r="B555" s="223" t="s">
        <v>35</v>
      </c>
      <c r="C555" s="222" t="s">
        <v>36</v>
      </c>
    </row>
    <row r="556" spans="1:3" ht="15">
      <c r="A556" s="222">
        <v>15940</v>
      </c>
      <c r="B556" s="223" t="s">
        <v>35</v>
      </c>
      <c r="C556" s="222" t="s">
        <v>36</v>
      </c>
    </row>
    <row r="557" spans="1:3" ht="15">
      <c r="A557" s="222">
        <v>15942</v>
      </c>
      <c r="B557" s="223" t="s">
        <v>35</v>
      </c>
      <c r="C557" s="222" t="s">
        <v>36</v>
      </c>
    </row>
    <row r="558" spans="1:3" ht="15">
      <c r="A558" s="222">
        <v>15943</v>
      </c>
      <c r="B558" s="223" t="s">
        <v>35</v>
      </c>
      <c r="C558" s="222" t="s">
        <v>36</v>
      </c>
    </row>
    <row r="559" spans="1:3" ht="15">
      <c r="A559" s="222">
        <v>15944</v>
      </c>
      <c r="B559" s="223" t="s">
        <v>35</v>
      </c>
      <c r="C559" s="222" t="s">
        <v>36</v>
      </c>
    </row>
    <row r="560" spans="1:3" ht="15">
      <c r="A560" s="222">
        <v>15945</v>
      </c>
      <c r="B560" s="223" t="s">
        <v>35</v>
      </c>
      <c r="C560" s="222" t="s">
        <v>36</v>
      </c>
    </row>
    <row r="561" spans="1:3" ht="15">
      <c r="A561" s="222">
        <v>15946</v>
      </c>
      <c r="B561" s="223" t="s">
        <v>35</v>
      </c>
      <c r="C561" s="222" t="s">
        <v>36</v>
      </c>
    </row>
    <row r="562" spans="1:3" ht="15">
      <c r="A562" s="222">
        <v>15948</v>
      </c>
      <c r="B562" s="223" t="s">
        <v>35</v>
      </c>
      <c r="C562" s="222" t="s">
        <v>36</v>
      </c>
    </row>
    <row r="563" spans="1:3" ht="15">
      <c r="A563" s="222">
        <v>15949</v>
      </c>
      <c r="B563" s="223" t="s">
        <v>35</v>
      </c>
      <c r="C563" s="222" t="s">
        <v>36</v>
      </c>
    </row>
    <row r="564" spans="1:3" ht="15">
      <c r="A564" s="222">
        <v>15951</v>
      </c>
      <c r="B564" s="223" t="s">
        <v>35</v>
      </c>
      <c r="C564" s="222" t="s">
        <v>36</v>
      </c>
    </row>
    <row r="565" spans="1:3" ht="15">
      <c r="A565" s="222">
        <v>15952</v>
      </c>
      <c r="B565" s="223" t="s">
        <v>35</v>
      </c>
      <c r="C565" s="222" t="s">
        <v>36</v>
      </c>
    </row>
    <row r="566" spans="1:3" ht="15">
      <c r="A566" s="222">
        <v>15953</v>
      </c>
      <c r="B566" s="223" t="s">
        <v>35</v>
      </c>
      <c r="C566" s="222" t="s">
        <v>36</v>
      </c>
    </row>
    <row r="567" spans="1:3" ht="15">
      <c r="A567" s="222">
        <v>15954</v>
      </c>
      <c r="B567" s="223" t="s">
        <v>35</v>
      </c>
      <c r="C567" s="222" t="s">
        <v>36</v>
      </c>
    </row>
    <row r="568" spans="1:3" ht="15">
      <c r="A568" s="222">
        <v>15955</v>
      </c>
      <c r="B568" s="223" t="s">
        <v>35</v>
      </c>
      <c r="C568" s="222" t="s">
        <v>36</v>
      </c>
    </row>
    <row r="569" spans="1:3" ht="15">
      <c r="A569" s="222">
        <v>15956</v>
      </c>
      <c r="B569" s="223" t="s">
        <v>35</v>
      </c>
      <c r="C569" s="222" t="s">
        <v>36</v>
      </c>
    </row>
    <row r="570" spans="1:3" ht="15">
      <c r="A570" s="222">
        <v>15957</v>
      </c>
      <c r="B570" s="223" t="s">
        <v>35</v>
      </c>
      <c r="C570" s="222" t="s">
        <v>36</v>
      </c>
    </row>
    <row r="571" spans="1:3" ht="15">
      <c r="A571" s="222">
        <v>15958</v>
      </c>
      <c r="B571" s="223" t="s">
        <v>35</v>
      </c>
      <c r="C571" s="222" t="s">
        <v>36</v>
      </c>
    </row>
    <row r="572" spans="1:3" ht="15">
      <c r="A572" s="222">
        <v>15959</v>
      </c>
      <c r="B572" s="223" t="s">
        <v>35</v>
      </c>
      <c r="C572" s="222" t="s">
        <v>36</v>
      </c>
    </row>
    <row r="573" spans="1:3" ht="15">
      <c r="A573" s="222">
        <v>15960</v>
      </c>
      <c r="B573" s="223" t="s">
        <v>35</v>
      </c>
      <c r="C573" s="222" t="s">
        <v>36</v>
      </c>
    </row>
    <row r="574" spans="1:3" ht="15">
      <c r="A574" s="222">
        <v>15961</v>
      </c>
      <c r="B574" s="223" t="s">
        <v>35</v>
      </c>
      <c r="C574" s="222" t="s">
        <v>36</v>
      </c>
    </row>
    <row r="575" spans="1:3" ht="15">
      <c r="A575" s="222">
        <v>15962</v>
      </c>
      <c r="B575" s="223" t="s">
        <v>35</v>
      </c>
      <c r="C575" s="222" t="s">
        <v>36</v>
      </c>
    </row>
    <row r="576" spans="1:3" ht="15">
      <c r="A576" s="222">
        <v>15963</v>
      </c>
      <c r="B576" s="223" t="s">
        <v>35</v>
      </c>
      <c r="C576" s="222" t="s">
        <v>36</v>
      </c>
    </row>
    <row r="577" spans="1:3" ht="15">
      <c r="A577" s="222">
        <v>16001</v>
      </c>
      <c r="B577" s="223" t="s">
        <v>35</v>
      </c>
      <c r="C577" s="222" t="s">
        <v>36</v>
      </c>
    </row>
    <row r="578" spans="1:3" ht="15">
      <c r="A578" s="222">
        <v>16002</v>
      </c>
      <c r="B578" s="223" t="s">
        <v>35</v>
      </c>
      <c r="C578" s="222" t="s">
        <v>36</v>
      </c>
    </row>
    <row r="579" spans="1:3" ht="15">
      <c r="A579" s="222">
        <v>16003</v>
      </c>
      <c r="B579" s="223" t="s">
        <v>35</v>
      </c>
      <c r="C579" s="222" t="s">
        <v>36</v>
      </c>
    </row>
    <row r="580" spans="1:3" ht="15">
      <c r="A580" s="222">
        <v>16016</v>
      </c>
      <c r="B580" s="223" t="s">
        <v>35</v>
      </c>
      <c r="C580" s="222" t="s">
        <v>36</v>
      </c>
    </row>
    <row r="581" spans="1:3" ht="15">
      <c r="A581" s="222">
        <v>16017</v>
      </c>
      <c r="B581" s="223" t="s">
        <v>35</v>
      </c>
      <c r="C581" s="222" t="s">
        <v>36</v>
      </c>
    </row>
    <row r="582" spans="1:3" ht="15">
      <c r="A582" s="222">
        <v>16018</v>
      </c>
      <c r="B582" s="223" t="s">
        <v>35</v>
      </c>
      <c r="C582" s="222" t="s">
        <v>36</v>
      </c>
    </row>
    <row r="583" spans="1:3" ht="15">
      <c r="A583" s="222">
        <v>16020</v>
      </c>
      <c r="B583" s="223" t="s">
        <v>35</v>
      </c>
      <c r="C583" s="222" t="s">
        <v>36</v>
      </c>
    </row>
    <row r="584" spans="1:3" ht="15">
      <c r="A584" s="222">
        <v>16021</v>
      </c>
      <c r="B584" s="223" t="s">
        <v>35</v>
      </c>
      <c r="C584" s="222" t="s">
        <v>36</v>
      </c>
    </row>
    <row r="585" spans="1:3" ht="15">
      <c r="A585" s="222">
        <v>16022</v>
      </c>
      <c r="B585" s="223" t="s">
        <v>35</v>
      </c>
      <c r="C585" s="222" t="s">
        <v>36</v>
      </c>
    </row>
    <row r="586" spans="1:3" ht="15">
      <c r="A586" s="222">
        <v>16023</v>
      </c>
      <c r="B586" s="223" t="s">
        <v>35</v>
      </c>
      <c r="C586" s="222" t="s">
        <v>36</v>
      </c>
    </row>
    <row r="587" spans="1:3" ht="15">
      <c r="A587" s="222">
        <v>16024</v>
      </c>
      <c r="B587" s="223" t="s">
        <v>35</v>
      </c>
      <c r="C587" s="222" t="s">
        <v>36</v>
      </c>
    </row>
    <row r="588" spans="1:3" ht="15">
      <c r="A588" s="222">
        <v>16025</v>
      </c>
      <c r="B588" s="223" t="s">
        <v>35</v>
      </c>
      <c r="C588" s="222" t="s">
        <v>36</v>
      </c>
    </row>
    <row r="589" spans="1:3" ht="15">
      <c r="A589" s="222">
        <v>16027</v>
      </c>
      <c r="B589" s="223" t="s">
        <v>35</v>
      </c>
      <c r="C589" s="222" t="s">
        <v>36</v>
      </c>
    </row>
    <row r="590" spans="1:3" ht="15">
      <c r="A590" s="222">
        <v>16028</v>
      </c>
      <c r="B590" s="223" t="s">
        <v>35</v>
      </c>
      <c r="C590" s="222" t="s">
        <v>36</v>
      </c>
    </row>
    <row r="591" spans="1:3" ht="15">
      <c r="A591" s="222">
        <v>16029</v>
      </c>
      <c r="B591" s="223" t="s">
        <v>35</v>
      </c>
      <c r="C591" s="222" t="s">
        <v>36</v>
      </c>
    </row>
    <row r="592" spans="1:3" ht="15">
      <c r="A592" s="222">
        <v>16030</v>
      </c>
      <c r="B592" s="223" t="s">
        <v>35</v>
      </c>
      <c r="C592" s="222" t="s">
        <v>36</v>
      </c>
    </row>
    <row r="593" spans="1:3" ht="15">
      <c r="A593" s="222">
        <v>16033</v>
      </c>
      <c r="B593" s="223" t="s">
        <v>35</v>
      </c>
      <c r="C593" s="222" t="s">
        <v>36</v>
      </c>
    </row>
    <row r="594" spans="1:3" ht="15">
      <c r="A594" s="222">
        <v>16034</v>
      </c>
      <c r="B594" s="223" t="s">
        <v>35</v>
      </c>
      <c r="C594" s="222" t="s">
        <v>36</v>
      </c>
    </row>
    <row r="595" spans="1:3" ht="15">
      <c r="A595" s="222">
        <v>16035</v>
      </c>
      <c r="B595" s="223" t="s">
        <v>35</v>
      </c>
      <c r="C595" s="222" t="s">
        <v>36</v>
      </c>
    </row>
    <row r="596" spans="1:3" ht="15">
      <c r="A596" s="222">
        <v>16036</v>
      </c>
      <c r="B596" s="223" t="s">
        <v>39</v>
      </c>
      <c r="C596" s="222" t="s">
        <v>40</v>
      </c>
    </row>
    <row r="597" spans="1:3" ht="15">
      <c r="A597" s="222">
        <v>16037</v>
      </c>
      <c r="B597" s="223" t="s">
        <v>35</v>
      </c>
      <c r="C597" s="222" t="s">
        <v>36</v>
      </c>
    </row>
    <row r="598" spans="1:3" ht="15">
      <c r="A598" s="222">
        <v>16038</v>
      </c>
      <c r="B598" s="223" t="s">
        <v>35</v>
      </c>
      <c r="C598" s="222" t="s">
        <v>36</v>
      </c>
    </row>
    <row r="599" spans="1:3" ht="15">
      <c r="A599" s="222">
        <v>16039</v>
      </c>
      <c r="B599" s="223" t="s">
        <v>35</v>
      </c>
      <c r="C599" s="222" t="s">
        <v>36</v>
      </c>
    </row>
    <row r="600" spans="1:3" ht="15">
      <c r="A600" s="222">
        <v>16040</v>
      </c>
      <c r="B600" s="223" t="s">
        <v>35</v>
      </c>
      <c r="C600" s="222" t="s">
        <v>36</v>
      </c>
    </row>
    <row r="601" spans="1:3" ht="15">
      <c r="A601" s="222">
        <v>16041</v>
      </c>
      <c r="B601" s="223" t="s">
        <v>35</v>
      </c>
      <c r="C601" s="222" t="s">
        <v>36</v>
      </c>
    </row>
    <row r="602" spans="1:3" ht="15">
      <c r="A602" s="222">
        <v>16045</v>
      </c>
      <c r="B602" s="223" t="s">
        <v>35</v>
      </c>
      <c r="C602" s="222" t="s">
        <v>36</v>
      </c>
    </row>
    <row r="603" spans="1:3" ht="15">
      <c r="A603" s="222">
        <v>16046</v>
      </c>
      <c r="B603" s="223" t="s">
        <v>35</v>
      </c>
      <c r="C603" s="222" t="s">
        <v>36</v>
      </c>
    </row>
    <row r="604" spans="1:3" ht="15">
      <c r="A604" s="222">
        <v>16048</v>
      </c>
      <c r="B604" s="223" t="s">
        <v>35</v>
      </c>
      <c r="C604" s="222" t="s">
        <v>36</v>
      </c>
    </row>
    <row r="605" spans="1:3" ht="15">
      <c r="A605" s="222">
        <v>16049</v>
      </c>
      <c r="B605" s="223" t="s">
        <v>35</v>
      </c>
      <c r="C605" s="222" t="s">
        <v>36</v>
      </c>
    </row>
    <row r="606" spans="1:3" ht="15">
      <c r="A606" s="222">
        <v>16050</v>
      </c>
      <c r="B606" s="223" t="s">
        <v>35</v>
      </c>
      <c r="C606" s="222" t="s">
        <v>36</v>
      </c>
    </row>
    <row r="607" spans="1:3" ht="15">
      <c r="A607" s="222">
        <v>16051</v>
      </c>
      <c r="B607" s="223" t="s">
        <v>35</v>
      </c>
      <c r="C607" s="222" t="s">
        <v>36</v>
      </c>
    </row>
    <row r="608" spans="1:3" ht="15">
      <c r="A608" s="222">
        <v>16052</v>
      </c>
      <c r="B608" s="223" t="s">
        <v>35</v>
      </c>
      <c r="C608" s="222" t="s">
        <v>36</v>
      </c>
    </row>
    <row r="609" spans="1:3" ht="15">
      <c r="A609" s="222">
        <v>16053</v>
      </c>
      <c r="B609" s="223" t="s">
        <v>35</v>
      </c>
      <c r="C609" s="222" t="s">
        <v>36</v>
      </c>
    </row>
    <row r="610" spans="1:3" ht="15">
      <c r="A610" s="222">
        <v>16054</v>
      </c>
      <c r="B610" s="223" t="s">
        <v>39</v>
      </c>
      <c r="C610" s="222" t="s">
        <v>40</v>
      </c>
    </row>
    <row r="611" spans="1:3" ht="15">
      <c r="A611" s="222">
        <v>16055</v>
      </c>
      <c r="B611" s="223" t="s">
        <v>35</v>
      </c>
      <c r="C611" s="222" t="s">
        <v>36</v>
      </c>
    </row>
    <row r="612" spans="1:3" ht="15">
      <c r="A612" s="222">
        <v>16056</v>
      </c>
      <c r="B612" s="223" t="s">
        <v>35</v>
      </c>
      <c r="C612" s="222" t="s">
        <v>36</v>
      </c>
    </row>
    <row r="613" spans="1:3" ht="15">
      <c r="A613" s="222">
        <v>16057</v>
      </c>
      <c r="B613" s="223" t="s">
        <v>35</v>
      </c>
      <c r="C613" s="222" t="s">
        <v>36</v>
      </c>
    </row>
    <row r="614" spans="1:3" ht="15">
      <c r="A614" s="222">
        <v>16058</v>
      </c>
      <c r="B614" s="223" t="s">
        <v>35</v>
      </c>
      <c r="C614" s="222" t="s">
        <v>36</v>
      </c>
    </row>
    <row r="615" spans="1:3" ht="15">
      <c r="A615" s="222">
        <v>16059</v>
      </c>
      <c r="B615" s="223" t="s">
        <v>35</v>
      </c>
      <c r="C615" s="222" t="s">
        <v>36</v>
      </c>
    </row>
    <row r="616" spans="1:3" ht="15">
      <c r="A616" s="222">
        <v>16061</v>
      </c>
      <c r="B616" s="223" t="s">
        <v>35</v>
      </c>
      <c r="C616" s="222" t="s">
        <v>36</v>
      </c>
    </row>
    <row r="617" spans="1:3" ht="15">
      <c r="A617" s="222">
        <v>16063</v>
      </c>
      <c r="B617" s="223" t="s">
        <v>35</v>
      </c>
      <c r="C617" s="222" t="s">
        <v>36</v>
      </c>
    </row>
    <row r="618" spans="1:3" ht="15">
      <c r="A618" s="222">
        <v>16066</v>
      </c>
      <c r="B618" s="223" t="s">
        <v>35</v>
      </c>
      <c r="C618" s="222" t="s">
        <v>36</v>
      </c>
    </row>
    <row r="619" spans="1:3" ht="15">
      <c r="A619" s="222">
        <v>16101</v>
      </c>
      <c r="B619" s="223" t="s">
        <v>35</v>
      </c>
      <c r="C619" s="222" t="s">
        <v>36</v>
      </c>
    </row>
    <row r="620" spans="1:3" ht="15">
      <c r="A620" s="222">
        <v>16102</v>
      </c>
      <c r="B620" s="223" t="s">
        <v>35</v>
      </c>
      <c r="C620" s="222" t="s">
        <v>36</v>
      </c>
    </row>
    <row r="621" spans="1:3" ht="15">
      <c r="A621" s="222">
        <v>16103</v>
      </c>
      <c r="B621" s="223" t="s">
        <v>35</v>
      </c>
      <c r="C621" s="222" t="s">
        <v>36</v>
      </c>
    </row>
    <row r="622" spans="1:3" ht="15">
      <c r="A622" s="222">
        <v>16105</v>
      </c>
      <c r="B622" s="223" t="s">
        <v>35</v>
      </c>
      <c r="C622" s="222" t="s">
        <v>36</v>
      </c>
    </row>
    <row r="623" spans="1:3" ht="15">
      <c r="A623" s="222">
        <v>16107</v>
      </c>
      <c r="B623" s="223" t="s">
        <v>35</v>
      </c>
      <c r="C623" s="222" t="s">
        <v>36</v>
      </c>
    </row>
    <row r="624" spans="1:3" ht="15">
      <c r="A624" s="222">
        <v>16108</v>
      </c>
      <c r="B624" s="223" t="s">
        <v>35</v>
      </c>
      <c r="C624" s="222" t="s">
        <v>36</v>
      </c>
    </row>
    <row r="625" spans="1:3" ht="15">
      <c r="A625" s="222">
        <v>16110</v>
      </c>
      <c r="B625" s="223" t="s">
        <v>39</v>
      </c>
      <c r="C625" s="222" t="s">
        <v>40</v>
      </c>
    </row>
    <row r="626" spans="1:3" ht="15">
      <c r="A626" s="222">
        <v>16111</v>
      </c>
      <c r="B626" s="223" t="s">
        <v>39</v>
      </c>
      <c r="C626" s="222" t="s">
        <v>40</v>
      </c>
    </row>
    <row r="627" spans="1:3" ht="15">
      <c r="A627" s="222">
        <v>16112</v>
      </c>
      <c r="B627" s="223" t="s">
        <v>35</v>
      </c>
      <c r="C627" s="222" t="s">
        <v>36</v>
      </c>
    </row>
    <row r="628" spans="1:3" ht="15">
      <c r="A628" s="222">
        <v>16113</v>
      </c>
      <c r="B628" s="223" t="s">
        <v>39</v>
      </c>
      <c r="C628" s="222" t="s">
        <v>40</v>
      </c>
    </row>
    <row r="629" spans="1:3" ht="15">
      <c r="A629" s="222">
        <v>16114</v>
      </c>
      <c r="B629" s="223" t="s">
        <v>39</v>
      </c>
      <c r="C629" s="222" t="s">
        <v>40</v>
      </c>
    </row>
    <row r="630" spans="1:3" ht="15">
      <c r="A630" s="222">
        <v>16115</v>
      </c>
      <c r="B630" s="223" t="s">
        <v>35</v>
      </c>
      <c r="C630" s="222" t="s">
        <v>36</v>
      </c>
    </row>
    <row r="631" spans="1:3" ht="15">
      <c r="A631" s="222">
        <v>16116</v>
      </c>
      <c r="B631" s="223" t="s">
        <v>35</v>
      </c>
      <c r="C631" s="222" t="s">
        <v>36</v>
      </c>
    </row>
    <row r="632" spans="1:3" ht="15">
      <c r="A632" s="222">
        <v>16117</v>
      </c>
      <c r="B632" s="223" t="s">
        <v>35</v>
      </c>
      <c r="C632" s="222" t="s">
        <v>36</v>
      </c>
    </row>
    <row r="633" spans="1:3" ht="15">
      <c r="A633" s="222">
        <v>16120</v>
      </c>
      <c r="B633" s="223" t="s">
        <v>35</v>
      </c>
      <c r="C633" s="222" t="s">
        <v>36</v>
      </c>
    </row>
    <row r="634" spans="1:3" ht="15">
      <c r="A634" s="222">
        <v>16121</v>
      </c>
      <c r="B634" s="223" t="s">
        <v>39</v>
      </c>
      <c r="C634" s="222" t="s">
        <v>40</v>
      </c>
    </row>
    <row r="635" spans="1:3" ht="15">
      <c r="A635" s="222">
        <v>16123</v>
      </c>
      <c r="B635" s="223" t="s">
        <v>35</v>
      </c>
      <c r="C635" s="222" t="s">
        <v>36</v>
      </c>
    </row>
    <row r="636" spans="1:3" ht="15">
      <c r="A636" s="222">
        <v>16124</v>
      </c>
      <c r="B636" s="223" t="s">
        <v>39</v>
      </c>
      <c r="C636" s="222" t="s">
        <v>40</v>
      </c>
    </row>
    <row r="637" spans="1:3" ht="15">
      <c r="A637" s="222">
        <v>16125</v>
      </c>
      <c r="B637" s="223" t="s">
        <v>39</v>
      </c>
      <c r="C637" s="222" t="s">
        <v>40</v>
      </c>
    </row>
    <row r="638" spans="1:3" ht="15">
      <c r="A638" s="222">
        <v>16127</v>
      </c>
      <c r="B638" s="223" t="s">
        <v>39</v>
      </c>
      <c r="C638" s="222" t="s">
        <v>40</v>
      </c>
    </row>
    <row r="639" spans="1:3" ht="15">
      <c r="A639" s="222">
        <v>16130</v>
      </c>
      <c r="B639" s="223" t="s">
        <v>39</v>
      </c>
      <c r="C639" s="222" t="s">
        <v>40</v>
      </c>
    </row>
    <row r="640" spans="1:3" ht="15">
      <c r="A640" s="222">
        <v>16131</v>
      </c>
      <c r="B640" s="223" t="s">
        <v>39</v>
      </c>
      <c r="C640" s="222" t="s">
        <v>40</v>
      </c>
    </row>
    <row r="641" spans="1:3" ht="15">
      <c r="A641" s="222">
        <v>16132</v>
      </c>
      <c r="B641" s="223" t="s">
        <v>35</v>
      </c>
      <c r="C641" s="222" t="s">
        <v>36</v>
      </c>
    </row>
    <row r="642" spans="1:3" ht="15">
      <c r="A642" s="222">
        <v>16133</v>
      </c>
      <c r="B642" s="223" t="s">
        <v>39</v>
      </c>
      <c r="C642" s="222" t="s">
        <v>40</v>
      </c>
    </row>
    <row r="643" spans="1:3" ht="15">
      <c r="A643" s="222">
        <v>16134</v>
      </c>
      <c r="B643" s="223" t="s">
        <v>39</v>
      </c>
      <c r="C643" s="222" t="s">
        <v>40</v>
      </c>
    </row>
    <row r="644" spans="1:3" ht="15">
      <c r="A644" s="222">
        <v>16136</v>
      </c>
      <c r="B644" s="223" t="s">
        <v>35</v>
      </c>
      <c r="C644" s="222" t="s">
        <v>36</v>
      </c>
    </row>
    <row r="645" spans="1:3" ht="15">
      <c r="A645" s="222">
        <v>16137</v>
      </c>
      <c r="B645" s="223" t="s">
        <v>39</v>
      </c>
      <c r="C645" s="222" t="s">
        <v>40</v>
      </c>
    </row>
    <row r="646" spans="1:3" ht="15">
      <c r="A646" s="222">
        <v>16140</v>
      </c>
      <c r="B646" s="223" t="s">
        <v>35</v>
      </c>
      <c r="C646" s="222" t="s">
        <v>36</v>
      </c>
    </row>
    <row r="647" spans="1:3" ht="15">
      <c r="A647" s="222">
        <v>16141</v>
      </c>
      <c r="B647" s="223" t="s">
        <v>35</v>
      </c>
      <c r="C647" s="222" t="s">
        <v>36</v>
      </c>
    </row>
    <row r="648" spans="1:3" ht="15">
      <c r="A648" s="222">
        <v>16142</v>
      </c>
      <c r="B648" s="223" t="s">
        <v>35</v>
      </c>
      <c r="C648" s="222" t="s">
        <v>36</v>
      </c>
    </row>
    <row r="649" spans="1:3" ht="15">
      <c r="A649" s="222">
        <v>16143</v>
      </c>
      <c r="B649" s="223" t="s">
        <v>35</v>
      </c>
      <c r="C649" s="222" t="s">
        <v>36</v>
      </c>
    </row>
    <row r="650" spans="1:3" ht="15">
      <c r="A650" s="222">
        <v>16145</v>
      </c>
      <c r="B650" s="223" t="s">
        <v>39</v>
      </c>
      <c r="C650" s="222" t="s">
        <v>40</v>
      </c>
    </row>
    <row r="651" spans="1:3" ht="15">
      <c r="A651" s="222">
        <v>16146</v>
      </c>
      <c r="B651" s="223" t="s">
        <v>39</v>
      </c>
      <c r="C651" s="222" t="s">
        <v>40</v>
      </c>
    </row>
    <row r="652" spans="1:3" ht="15">
      <c r="A652" s="222">
        <v>16148</v>
      </c>
      <c r="B652" s="223" t="s">
        <v>39</v>
      </c>
      <c r="C652" s="222" t="s">
        <v>40</v>
      </c>
    </row>
    <row r="653" spans="1:3" ht="15">
      <c r="A653" s="222">
        <v>16150</v>
      </c>
      <c r="B653" s="223" t="s">
        <v>39</v>
      </c>
      <c r="C653" s="222" t="s">
        <v>40</v>
      </c>
    </row>
    <row r="654" spans="1:3" ht="15">
      <c r="A654" s="222">
        <v>16151</v>
      </c>
      <c r="B654" s="223" t="s">
        <v>39</v>
      </c>
      <c r="C654" s="222" t="s">
        <v>40</v>
      </c>
    </row>
    <row r="655" spans="1:3" ht="15">
      <c r="A655" s="222">
        <v>16153</v>
      </c>
      <c r="B655" s="223" t="s">
        <v>39</v>
      </c>
      <c r="C655" s="222" t="s">
        <v>40</v>
      </c>
    </row>
    <row r="656" spans="1:3" ht="15">
      <c r="A656" s="222">
        <v>16154</v>
      </c>
      <c r="B656" s="223" t="s">
        <v>39</v>
      </c>
      <c r="C656" s="222" t="s">
        <v>40</v>
      </c>
    </row>
    <row r="657" spans="1:3" ht="15">
      <c r="A657" s="222">
        <v>16155</v>
      </c>
      <c r="B657" s="223" t="s">
        <v>35</v>
      </c>
      <c r="C657" s="222" t="s">
        <v>36</v>
      </c>
    </row>
    <row r="658" spans="1:3" ht="15">
      <c r="A658" s="222">
        <v>16156</v>
      </c>
      <c r="B658" s="223" t="s">
        <v>35</v>
      </c>
      <c r="C658" s="222" t="s">
        <v>36</v>
      </c>
    </row>
    <row r="659" spans="1:3" ht="15">
      <c r="A659" s="222">
        <v>16157</v>
      </c>
      <c r="B659" s="223" t="s">
        <v>35</v>
      </c>
      <c r="C659" s="222" t="s">
        <v>36</v>
      </c>
    </row>
    <row r="660" spans="1:3" ht="15">
      <c r="A660" s="222">
        <v>16159</v>
      </c>
      <c r="B660" s="223" t="s">
        <v>39</v>
      </c>
      <c r="C660" s="222" t="s">
        <v>40</v>
      </c>
    </row>
    <row r="661" spans="1:3" ht="15">
      <c r="A661" s="222">
        <v>16160</v>
      </c>
      <c r="B661" s="223" t="s">
        <v>35</v>
      </c>
      <c r="C661" s="222" t="s">
        <v>36</v>
      </c>
    </row>
    <row r="662" spans="1:3" ht="15">
      <c r="A662" s="222">
        <v>16161</v>
      </c>
      <c r="B662" s="223" t="s">
        <v>39</v>
      </c>
      <c r="C662" s="222" t="s">
        <v>40</v>
      </c>
    </row>
    <row r="663" spans="1:3" ht="15">
      <c r="A663" s="222">
        <v>16172</v>
      </c>
      <c r="B663" s="223" t="s">
        <v>35</v>
      </c>
      <c r="C663" s="222" t="s">
        <v>36</v>
      </c>
    </row>
    <row r="664" spans="1:3" ht="15">
      <c r="A664" s="222">
        <v>16201</v>
      </c>
      <c r="B664" s="223" t="s">
        <v>35</v>
      </c>
      <c r="C664" s="222" t="s">
        <v>36</v>
      </c>
    </row>
    <row r="665" spans="1:3" ht="15">
      <c r="A665" s="222">
        <v>16210</v>
      </c>
      <c r="B665" s="223" t="s">
        <v>35</v>
      </c>
      <c r="C665" s="222" t="s">
        <v>36</v>
      </c>
    </row>
    <row r="666" spans="1:3" ht="15">
      <c r="A666" s="222">
        <v>16211</v>
      </c>
      <c r="B666" s="223" t="s">
        <v>35</v>
      </c>
      <c r="C666" s="222" t="s">
        <v>36</v>
      </c>
    </row>
    <row r="667" spans="1:3" ht="15">
      <c r="A667" s="222">
        <v>16212</v>
      </c>
      <c r="B667" s="223" t="s">
        <v>35</v>
      </c>
      <c r="C667" s="222" t="s">
        <v>36</v>
      </c>
    </row>
    <row r="668" spans="1:3" ht="15">
      <c r="A668" s="222">
        <v>16213</v>
      </c>
      <c r="B668" s="223" t="s">
        <v>39</v>
      </c>
      <c r="C668" s="222" t="s">
        <v>40</v>
      </c>
    </row>
    <row r="669" spans="1:3" ht="15">
      <c r="A669" s="222">
        <v>16214</v>
      </c>
      <c r="B669" s="223" t="s">
        <v>39</v>
      </c>
      <c r="C669" s="222" t="s">
        <v>40</v>
      </c>
    </row>
    <row r="670" spans="1:3" ht="15">
      <c r="A670" s="222">
        <v>16215</v>
      </c>
      <c r="B670" s="223" t="s">
        <v>35</v>
      </c>
      <c r="C670" s="222" t="s">
        <v>36</v>
      </c>
    </row>
    <row r="671" spans="1:3" ht="15">
      <c r="A671" s="222">
        <v>16217</v>
      </c>
      <c r="B671" s="223" t="s">
        <v>39</v>
      </c>
      <c r="C671" s="222" t="s">
        <v>40</v>
      </c>
    </row>
    <row r="672" spans="1:3" ht="15">
      <c r="A672" s="222">
        <v>16218</v>
      </c>
      <c r="B672" s="223" t="s">
        <v>35</v>
      </c>
      <c r="C672" s="222" t="s">
        <v>36</v>
      </c>
    </row>
    <row r="673" spans="1:3" ht="15">
      <c r="A673" s="222">
        <v>16220</v>
      </c>
      <c r="B673" s="223" t="s">
        <v>39</v>
      </c>
      <c r="C673" s="222" t="s">
        <v>40</v>
      </c>
    </row>
    <row r="674" spans="1:3" ht="15">
      <c r="A674" s="222">
        <v>16221</v>
      </c>
      <c r="B674" s="223" t="s">
        <v>39</v>
      </c>
      <c r="C674" s="222" t="s">
        <v>40</v>
      </c>
    </row>
    <row r="675" spans="1:3" ht="15">
      <c r="A675" s="222">
        <v>16222</v>
      </c>
      <c r="B675" s="223" t="s">
        <v>35</v>
      </c>
      <c r="C675" s="222" t="s">
        <v>36</v>
      </c>
    </row>
    <row r="676" spans="1:3" ht="15">
      <c r="A676" s="222">
        <v>16223</v>
      </c>
      <c r="B676" s="223" t="s">
        <v>35</v>
      </c>
      <c r="C676" s="222" t="s">
        <v>36</v>
      </c>
    </row>
    <row r="677" spans="1:3" ht="15">
      <c r="A677" s="222">
        <v>16224</v>
      </c>
      <c r="B677" s="223" t="s">
        <v>39</v>
      </c>
      <c r="C677" s="222" t="s">
        <v>40</v>
      </c>
    </row>
    <row r="678" spans="1:3" ht="15">
      <c r="A678" s="222">
        <v>16225</v>
      </c>
      <c r="B678" s="223" t="s">
        <v>39</v>
      </c>
      <c r="C678" s="222" t="s">
        <v>40</v>
      </c>
    </row>
    <row r="679" spans="1:3" ht="15">
      <c r="A679" s="222">
        <v>16226</v>
      </c>
      <c r="B679" s="223" t="s">
        <v>35</v>
      </c>
      <c r="C679" s="222" t="s">
        <v>36</v>
      </c>
    </row>
    <row r="680" spans="1:3" ht="15">
      <c r="A680" s="222">
        <v>16228</v>
      </c>
      <c r="B680" s="223" t="s">
        <v>35</v>
      </c>
      <c r="C680" s="222" t="s">
        <v>36</v>
      </c>
    </row>
    <row r="681" spans="1:3" ht="15">
      <c r="A681" s="222">
        <v>16229</v>
      </c>
      <c r="B681" s="223" t="s">
        <v>35</v>
      </c>
      <c r="C681" s="222" t="s">
        <v>36</v>
      </c>
    </row>
    <row r="682" spans="1:3" ht="15">
      <c r="A682" s="222">
        <v>16230</v>
      </c>
      <c r="B682" s="223" t="s">
        <v>39</v>
      </c>
      <c r="C682" s="222" t="s">
        <v>40</v>
      </c>
    </row>
    <row r="683" spans="1:3" ht="15">
      <c r="A683" s="222">
        <v>16232</v>
      </c>
      <c r="B683" s="223" t="s">
        <v>39</v>
      </c>
      <c r="C683" s="222" t="s">
        <v>40</v>
      </c>
    </row>
    <row r="684" spans="1:3" ht="15">
      <c r="A684" s="222">
        <v>16233</v>
      </c>
      <c r="B684" s="223" t="s">
        <v>39</v>
      </c>
      <c r="C684" s="222" t="s">
        <v>40</v>
      </c>
    </row>
    <row r="685" spans="1:3" ht="15">
      <c r="A685" s="222">
        <v>16234</v>
      </c>
      <c r="B685" s="223" t="s">
        <v>39</v>
      </c>
      <c r="C685" s="222" t="s">
        <v>40</v>
      </c>
    </row>
    <row r="686" spans="1:3" ht="15">
      <c r="A686" s="222">
        <v>16235</v>
      </c>
      <c r="B686" s="223" t="s">
        <v>39</v>
      </c>
      <c r="C686" s="222" t="s">
        <v>40</v>
      </c>
    </row>
    <row r="687" spans="1:3" ht="15">
      <c r="A687" s="222">
        <v>16236</v>
      </c>
      <c r="B687" s="223" t="s">
        <v>35</v>
      </c>
      <c r="C687" s="222" t="s">
        <v>36</v>
      </c>
    </row>
    <row r="688" spans="1:3" ht="15">
      <c r="A688" s="222">
        <v>16238</v>
      </c>
      <c r="B688" s="223" t="s">
        <v>35</v>
      </c>
      <c r="C688" s="222" t="s">
        <v>36</v>
      </c>
    </row>
    <row r="689" spans="1:3" ht="15">
      <c r="A689" s="222">
        <v>16239</v>
      </c>
      <c r="B689" s="223" t="s">
        <v>39</v>
      </c>
      <c r="C689" s="222" t="s">
        <v>40</v>
      </c>
    </row>
    <row r="690" spans="1:3" ht="15">
      <c r="A690" s="222">
        <v>16240</v>
      </c>
      <c r="B690" s="223" t="s">
        <v>39</v>
      </c>
      <c r="C690" s="222" t="s">
        <v>40</v>
      </c>
    </row>
    <row r="691" spans="1:3" ht="15">
      <c r="A691" s="222">
        <v>16242</v>
      </c>
      <c r="B691" s="223" t="s">
        <v>39</v>
      </c>
      <c r="C691" s="222" t="s">
        <v>40</v>
      </c>
    </row>
    <row r="692" spans="1:3" ht="15">
      <c r="A692" s="222">
        <v>16244</v>
      </c>
      <c r="B692" s="223" t="s">
        <v>35</v>
      </c>
      <c r="C692" s="222" t="s">
        <v>36</v>
      </c>
    </row>
    <row r="693" spans="1:3" ht="15">
      <c r="A693" s="222">
        <v>16245</v>
      </c>
      <c r="B693" s="223" t="s">
        <v>35</v>
      </c>
      <c r="C693" s="222" t="s">
        <v>36</v>
      </c>
    </row>
    <row r="694" spans="1:3" ht="15">
      <c r="A694" s="222">
        <v>16246</v>
      </c>
      <c r="B694" s="223" t="s">
        <v>35</v>
      </c>
      <c r="C694" s="222" t="s">
        <v>36</v>
      </c>
    </row>
    <row r="695" spans="1:3" ht="15">
      <c r="A695" s="222">
        <v>16248</v>
      </c>
      <c r="B695" s="223" t="s">
        <v>39</v>
      </c>
      <c r="C695" s="222" t="s">
        <v>40</v>
      </c>
    </row>
    <row r="696" spans="1:3" ht="15">
      <c r="A696" s="222">
        <v>16249</v>
      </c>
      <c r="B696" s="223" t="s">
        <v>35</v>
      </c>
      <c r="C696" s="222" t="s">
        <v>36</v>
      </c>
    </row>
    <row r="697" spans="1:3" ht="15">
      <c r="A697" s="222">
        <v>16250</v>
      </c>
      <c r="B697" s="223" t="s">
        <v>35</v>
      </c>
      <c r="C697" s="222" t="s">
        <v>36</v>
      </c>
    </row>
    <row r="698" spans="1:3" ht="15">
      <c r="A698" s="222">
        <v>16253</v>
      </c>
      <c r="B698" s="223" t="s">
        <v>35</v>
      </c>
      <c r="C698" s="222" t="s">
        <v>36</v>
      </c>
    </row>
    <row r="699" spans="1:3" ht="15">
      <c r="A699" s="222">
        <v>16254</v>
      </c>
      <c r="B699" s="223" t="s">
        <v>39</v>
      </c>
      <c r="C699" s="222" t="s">
        <v>40</v>
      </c>
    </row>
    <row r="700" spans="1:3" ht="15">
      <c r="A700" s="222">
        <v>16255</v>
      </c>
      <c r="B700" s="223" t="s">
        <v>39</v>
      </c>
      <c r="C700" s="222" t="s">
        <v>40</v>
      </c>
    </row>
    <row r="701" spans="1:3" ht="15">
      <c r="A701" s="222">
        <v>16256</v>
      </c>
      <c r="B701" s="223" t="s">
        <v>35</v>
      </c>
      <c r="C701" s="222" t="s">
        <v>36</v>
      </c>
    </row>
    <row r="702" spans="1:3" ht="15">
      <c r="A702" s="222">
        <v>16257</v>
      </c>
      <c r="B702" s="223" t="s">
        <v>39</v>
      </c>
      <c r="C702" s="222" t="s">
        <v>40</v>
      </c>
    </row>
    <row r="703" spans="1:3" ht="15">
      <c r="A703" s="222">
        <v>16258</v>
      </c>
      <c r="B703" s="223" t="s">
        <v>39</v>
      </c>
      <c r="C703" s="222" t="s">
        <v>40</v>
      </c>
    </row>
    <row r="704" spans="1:3" ht="15">
      <c r="A704" s="222">
        <v>16259</v>
      </c>
      <c r="B704" s="223" t="s">
        <v>35</v>
      </c>
      <c r="C704" s="222" t="s">
        <v>36</v>
      </c>
    </row>
    <row r="705" spans="1:3" ht="15">
      <c r="A705" s="222">
        <v>16260</v>
      </c>
      <c r="B705" s="223" t="s">
        <v>39</v>
      </c>
      <c r="C705" s="222" t="s">
        <v>40</v>
      </c>
    </row>
    <row r="706" spans="1:3" ht="15">
      <c r="A706" s="222">
        <v>16261</v>
      </c>
      <c r="B706" s="223" t="s">
        <v>35</v>
      </c>
      <c r="C706" s="222" t="s">
        <v>36</v>
      </c>
    </row>
    <row r="707" spans="1:3" ht="15">
      <c r="A707" s="222">
        <v>16262</v>
      </c>
      <c r="B707" s="223" t="s">
        <v>35</v>
      </c>
      <c r="C707" s="222" t="s">
        <v>36</v>
      </c>
    </row>
    <row r="708" spans="1:3" ht="15">
      <c r="A708" s="222">
        <v>16263</v>
      </c>
      <c r="B708" s="223" t="s">
        <v>35</v>
      </c>
      <c r="C708" s="222" t="s">
        <v>36</v>
      </c>
    </row>
    <row r="709" spans="1:3" ht="15">
      <c r="A709" s="222">
        <v>16301</v>
      </c>
      <c r="B709" s="223" t="s">
        <v>39</v>
      </c>
      <c r="C709" s="222" t="s">
        <v>40</v>
      </c>
    </row>
    <row r="710" spans="1:3" ht="15">
      <c r="A710" s="222">
        <v>16311</v>
      </c>
      <c r="B710" s="223" t="s">
        <v>39</v>
      </c>
      <c r="C710" s="222" t="s">
        <v>40</v>
      </c>
    </row>
    <row r="711" spans="1:3" ht="15">
      <c r="A711" s="222">
        <v>16312</v>
      </c>
      <c r="B711" s="223" t="s">
        <v>39</v>
      </c>
      <c r="C711" s="222" t="s">
        <v>40</v>
      </c>
    </row>
    <row r="712" spans="1:3" ht="15">
      <c r="A712" s="222">
        <v>16313</v>
      </c>
      <c r="B712" s="223" t="s">
        <v>39</v>
      </c>
      <c r="C712" s="222" t="s">
        <v>40</v>
      </c>
    </row>
    <row r="713" spans="1:3" ht="15">
      <c r="A713" s="222">
        <v>16314</v>
      </c>
      <c r="B713" s="223" t="s">
        <v>39</v>
      </c>
      <c r="C713" s="222" t="s">
        <v>40</v>
      </c>
    </row>
    <row r="714" spans="1:3" ht="15">
      <c r="A714" s="222">
        <v>16316</v>
      </c>
      <c r="B714" s="223" t="s">
        <v>39</v>
      </c>
      <c r="C714" s="222" t="s">
        <v>40</v>
      </c>
    </row>
    <row r="715" spans="1:3" ht="15">
      <c r="A715" s="222">
        <v>16317</v>
      </c>
      <c r="B715" s="223" t="s">
        <v>39</v>
      </c>
      <c r="C715" s="222" t="s">
        <v>40</v>
      </c>
    </row>
    <row r="716" spans="1:3" ht="15">
      <c r="A716" s="222">
        <v>16319</v>
      </c>
      <c r="B716" s="223" t="s">
        <v>39</v>
      </c>
      <c r="C716" s="222" t="s">
        <v>40</v>
      </c>
    </row>
    <row r="717" spans="1:3" ht="15">
      <c r="A717" s="222">
        <v>16321</v>
      </c>
      <c r="B717" s="223" t="s">
        <v>39</v>
      </c>
      <c r="C717" s="222" t="s">
        <v>40</v>
      </c>
    </row>
    <row r="718" spans="1:3" ht="15">
      <c r="A718" s="222">
        <v>16322</v>
      </c>
      <c r="B718" s="223" t="s">
        <v>39</v>
      </c>
      <c r="C718" s="222" t="s">
        <v>40</v>
      </c>
    </row>
    <row r="719" spans="1:3" ht="15">
      <c r="A719" s="222">
        <v>16323</v>
      </c>
      <c r="B719" s="223" t="s">
        <v>39</v>
      </c>
      <c r="C719" s="222" t="s">
        <v>40</v>
      </c>
    </row>
    <row r="720" spans="1:3" ht="15">
      <c r="A720" s="222">
        <v>16326</v>
      </c>
      <c r="B720" s="223" t="s">
        <v>39</v>
      </c>
      <c r="C720" s="222" t="s">
        <v>40</v>
      </c>
    </row>
    <row r="721" spans="1:3" ht="15">
      <c r="A721" s="222">
        <v>16327</v>
      </c>
      <c r="B721" s="223" t="s">
        <v>39</v>
      </c>
      <c r="C721" s="222" t="s">
        <v>40</v>
      </c>
    </row>
    <row r="722" spans="1:3" ht="15">
      <c r="A722" s="222">
        <v>16328</v>
      </c>
      <c r="B722" s="223" t="s">
        <v>39</v>
      </c>
      <c r="C722" s="222" t="s">
        <v>40</v>
      </c>
    </row>
    <row r="723" spans="1:3" ht="15">
      <c r="A723" s="222">
        <v>16329</v>
      </c>
      <c r="B723" s="223" t="s">
        <v>39</v>
      </c>
      <c r="C723" s="222" t="s">
        <v>40</v>
      </c>
    </row>
    <row r="724" spans="1:3" ht="15">
      <c r="A724" s="222">
        <v>16331</v>
      </c>
      <c r="B724" s="223" t="s">
        <v>39</v>
      </c>
      <c r="C724" s="222" t="s">
        <v>40</v>
      </c>
    </row>
    <row r="725" spans="1:3" ht="15">
      <c r="A725" s="222">
        <v>16332</v>
      </c>
      <c r="B725" s="223" t="s">
        <v>39</v>
      </c>
      <c r="C725" s="222" t="s">
        <v>40</v>
      </c>
    </row>
    <row r="726" spans="1:3" ht="15">
      <c r="A726" s="222">
        <v>16333</v>
      </c>
      <c r="B726" s="223" t="s">
        <v>41</v>
      </c>
      <c r="C726" s="222" t="s">
        <v>42</v>
      </c>
    </row>
    <row r="727" spans="1:3" ht="15">
      <c r="A727" s="222">
        <v>16334</v>
      </c>
      <c r="B727" s="223" t="s">
        <v>39</v>
      </c>
      <c r="C727" s="222" t="s">
        <v>40</v>
      </c>
    </row>
    <row r="728" spans="1:3" ht="15">
      <c r="A728" s="222">
        <v>16335</v>
      </c>
      <c r="B728" s="223" t="s">
        <v>39</v>
      </c>
      <c r="C728" s="222" t="s">
        <v>40</v>
      </c>
    </row>
    <row r="729" spans="1:3" ht="15">
      <c r="A729" s="222">
        <v>16340</v>
      </c>
      <c r="B729" s="223" t="s">
        <v>39</v>
      </c>
      <c r="C729" s="222" t="s">
        <v>40</v>
      </c>
    </row>
    <row r="730" spans="1:3" ht="15">
      <c r="A730" s="222">
        <v>16341</v>
      </c>
      <c r="B730" s="223" t="s">
        <v>39</v>
      </c>
      <c r="C730" s="222" t="s">
        <v>40</v>
      </c>
    </row>
    <row r="731" spans="1:3" ht="15">
      <c r="A731" s="222">
        <v>16342</v>
      </c>
      <c r="B731" s="223" t="s">
        <v>39</v>
      </c>
      <c r="C731" s="222" t="s">
        <v>40</v>
      </c>
    </row>
    <row r="732" spans="1:3" ht="15">
      <c r="A732" s="222">
        <v>16343</v>
      </c>
      <c r="B732" s="223" t="s">
        <v>39</v>
      </c>
      <c r="C732" s="222" t="s">
        <v>40</v>
      </c>
    </row>
    <row r="733" spans="1:3" ht="15">
      <c r="A733" s="222">
        <v>16344</v>
      </c>
      <c r="B733" s="223" t="s">
        <v>39</v>
      </c>
      <c r="C733" s="222" t="s">
        <v>40</v>
      </c>
    </row>
    <row r="734" spans="1:3" ht="15">
      <c r="A734" s="222">
        <v>16345</v>
      </c>
      <c r="B734" s="223" t="s">
        <v>39</v>
      </c>
      <c r="C734" s="222" t="s">
        <v>40</v>
      </c>
    </row>
    <row r="735" spans="1:3" ht="15">
      <c r="A735" s="222">
        <v>16346</v>
      </c>
      <c r="B735" s="223" t="s">
        <v>39</v>
      </c>
      <c r="C735" s="222" t="s">
        <v>40</v>
      </c>
    </row>
    <row r="736" spans="1:3" ht="15">
      <c r="A736" s="222">
        <v>16347</v>
      </c>
      <c r="B736" s="223" t="s">
        <v>39</v>
      </c>
      <c r="C736" s="222" t="s">
        <v>40</v>
      </c>
    </row>
    <row r="737" spans="1:3" ht="15">
      <c r="A737" s="222">
        <v>16350</v>
      </c>
      <c r="B737" s="223" t="s">
        <v>39</v>
      </c>
      <c r="C737" s="222" t="s">
        <v>40</v>
      </c>
    </row>
    <row r="738" spans="1:3" ht="15">
      <c r="A738" s="222">
        <v>16351</v>
      </c>
      <c r="B738" s="223" t="s">
        <v>39</v>
      </c>
      <c r="C738" s="222" t="s">
        <v>40</v>
      </c>
    </row>
    <row r="739" spans="1:3" ht="15">
      <c r="A739" s="222">
        <v>16352</v>
      </c>
      <c r="B739" s="223" t="s">
        <v>39</v>
      </c>
      <c r="C739" s="222" t="s">
        <v>40</v>
      </c>
    </row>
    <row r="740" spans="1:3" ht="15">
      <c r="A740" s="222">
        <v>16353</v>
      </c>
      <c r="B740" s="223" t="s">
        <v>39</v>
      </c>
      <c r="C740" s="222" t="s">
        <v>40</v>
      </c>
    </row>
    <row r="741" spans="1:3" ht="15">
      <c r="A741" s="222">
        <v>16354</v>
      </c>
      <c r="B741" s="223" t="s">
        <v>39</v>
      </c>
      <c r="C741" s="222" t="s">
        <v>40</v>
      </c>
    </row>
    <row r="742" spans="1:3" ht="15">
      <c r="A742" s="222">
        <v>16360</v>
      </c>
      <c r="B742" s="223" t="s">
        <v>39</v>
      </c>
      <c r="C742" s="222" t="s">
        <v>40</v>
      </c>
    </row>
    <row r="743" spans="1:3" ht="15">
      <c r="A743" s="222">
        <v>16361</v>
      </c>
      <c r="B743" s="223" t="s">
        <v>39</v>
      </c>
      <c r="C743" s="222" t="s">
        <v>40</v>
      </c>
    </row>
    <row r="744" spans="1:3" ht="15">
      <c r="A744" s="222">
        <v>16362</v>
      </c>
      <c r="B744" s="223" t="s">
        <v>39</v>
      </c>
      <c r="C744" s="222" t="s">
        <v>40</v>
      </c>
    </row>
    <row r="745" spans="1:3" ht="15">
      <c r="A745" s="222">
        <v>16364</v>
      </c>
      <c r="B745" s="223" t="s">
        <v>39</v>
      </c>
      <c r="C745" s="222" t="s">
        <v>40</v>
      </c>
    </row>
    <row r="746" spans="1:3" ht="15">
      <c r="A746" s="222">
        <v>16365</v>
      </c>
      <c r="B746" s="223" t="s">
        <v>39</v>
      </c>
      <c r="C746" s="222" t="s">
        <v>40</v>
      </c>
    </row>
    <row r="747" spans="1:3" ht="15">
      <c r="A747" s="222">
        <v>16366</v>
      </c>
      <c r="B747" s="223" t="s">
        <v>39</v>
      </c>
      <c r="C747" s="222" t="s">
        <v>40</v>
      </c>
    </row>
    <row r="748" spans="1:3" ht="15">
      <c r="A748" s="222">
        <v>16367</v>
      </c>
      <c r="B748" s="223" t="s">
        <v>39</v>
      </c>
      <c r="C748" s="222" t="s">
        <v>40</v>
      </c>
    </row>
    <row r="749" spans="1:3" ht="15">
      <c r="A749" s="222">
        <v>16368</v>
      </c>
      <c r="B749" s="223" t="s">
        <v>39</v>
      </c>
      <c r="C749" s="222" t="s">
        <v>40</v>
      </c>
    </row>
    <row r="750" spans="1:3" ht="15">
      <c r="A750" s="222">
        <v>16369</v>
      </c>
      <c r="B750" s="223" t="s">
        <v>39</v>
      </c>
      <c r="C750" s="222" t="s">
        <v>40</v>
      </c>
    </row>
    <row r="751" spans="1:3" ht="15">
      <c r="A751" s="222">
        <v>16370</v>
      </c>
      <c r="B751" s="223" t="s">
        <v>39</v>
      </c>
      <c r="C751" s="222" t="s">
        <v>40</v>
      </c>
    </row>
    <row r="752" spans="1:3" ht="15">
      <c r="A752" s="222">
        <v>16371</v>
      </c>
      <c r="B752" s="223" t="s">
        <v>39</v>
      </c>
      <c r="C752" s="222" t="s">
        <v>40</v>
      </c>
    </row>
    <row r="753" spans="1:3" ht="15">
      <c r="A753" s="222">
        <v>16372</v>
      </c>
      <c r="B753" s="223" t="s">
        <v>39</v>
      </c>
      <c r="C753" s="222" t="s">
        <v>40</v>
      </c>
    </row>
    <row r="754" spans="1:3" ht="15">
      <c r="A754" s="222">
        <v>16373</v>
      </c>
      <c r="B754" s="223" t="s">
        <v>39</v>
      </c>
      <c r="C754" s="222" t="s">
        <v>40</v>
      </c>
    </row>
    <row r="755" spans="1:3" ht="15">
      <c r="A755" s="222">
        <v>16374</v>
      </c>
      <c r="B755" s="223" t="s">
        <v>39</v>
      </c>
      <c r="C755" s="222" t="s">
        <v>40</v>
      </c>
    </row>
    <row r="756" spans="1:3" ht="15">
      <c r="A756" s="222">
        <v>16375</v>
      </c>
      <c r="B756" s="223" t="s">
        <v>39</v>
      </c>
      <c r="C756" s="222" t="s">
        <v>40</v>
      </c>
    </row>
    <row r="757" spans="1:3" ht="15">
      <c r="A757" s="222">
        <v>16388</v>
      </c>
      <c r="B757" s="223" t="s">
        <v>39</v>
      </c>
      <c r="C757" s="222" t="s">
        <v>40</v>
      </c>
    </row>
    <row r="758" spans="1:3" ht="15">
      <c r="A758" s="222">
        <v>16401</v>
      </c>
      <c r="B758" s="223" t="s">
        <v>39</v>
      </c>
      <c r="C758" s="222" t="s">
        <v>40</v>
      </c>
    </row>
    <row r="759" spans="1:3" ht="15">
      <c r="A759" s="222">
        <v>16402</v>
      </c>
      <c r="B759" s="223" t="s">
        <v>39</v>
      </c>
      <c r="C759" s="222" t="s">
        <v>40</v>
      </c>
    </row>
    <row r="760" spans="1:3" ht="15">
      <c r="A760" s="222">
        <v>16403</v>
      </c>
      <c r="B760" s="223" t="s">
        <v>39</v>
      </c>
      <c r="C760" s="222" t="s">
        <v>40</v>
      </c>
    </row>
    <row r="761" spans="1:3" ht="15">
      <c r="A761" s="222">
        <v>16404</v>
      </c>
      <c r="B761" s="223" t="s">
        <v>39</v>
      </c>
      <c r="C761" s="222" t="s">
        <v>40</v>
      </c>
    </row>
    <row r="762" spans="1:3" ht="15">
      <c r="A762" s="222">
        <v>16405</v>
      </c>
      <c r="B762" s="223" t="s">
        <v>39</v>
      </c>
      <c r="C762" s="222" t="s">
        <v>40</v>
      </c>
    </row>
    <row r="763" spans="1:3" ht="15">
      <c r="A763" s="222">
        <v>16406</v>
      </c>
      <c r="B763" s="223" t="s">
        <v>39</v>
      </c>
      <c r="C763" s="222" t="s">
        <v>40</v>
      </c>
    </row>
    <row r="764" spans="1:3" ht="15">
      <c r="A764" s="222">
        <v>16407</v>
      </c>
      <c r="B764" s="223" t="s">
        <v>39</v>
      </c>
      <c r="C764" s="222" t="s">
        <v>40</v>
      </c>
    </row>
    <row r="765" spans="1:3" ht="15">
      <c r="A765" s="222">
        <v>16410</v>
      </c>
      <c r="B765" s="223" t="s">
        <v>39</v>
      </c>
      <c r="C765" s="222" t="s">
        <v>40</v>
      </c>
    </row>
    <row r="766" spans="1:3" ht="15">
      <c r="A766" s="222">
        <v>16411</v>
      </c>
      <c r="B766" s="223" t="s">
        <v>39</v>
      </c>
      <c r="C766" s="222" t="s">
        <v>40</v>
      </c>
    </row>
    <row r="767" spans="1:3" ht="15">
      <c r="A767" s="222">
        <v>16412</v>
      </c>
      <c r="B767" s="223" t="s">
        <v>39</v>
      </c>
      <c r="C767" s="222" t="s">
        <v>40</v>
      </c>
    </row>
    <row r="768" spans="1:3" ht="15">
      <c r="A768" s="222">
        <v>16413</v>
      </c>
      <c r="B768" s="223" t="s">
        <v>39</v>
      </c>
      <c r="C768" s="222" t="s">
        <v>40</v>
      </c>
    </row>
    <row r="769" spans="1:3" ht="15">
      <c r="A769" s="222">
        <v>16415</v>
      </c>
      <c r="B769" s="223" t="s">
        <v>39</v>
      </c>
      <c r="C769" s="222" t="s">
        <v>40</v>
      </c>
    </row>
    <row r="770" spans="1:3" ht="15">
      <c r="A770" s="222">
        <v>16416</v>
      </c>
      <c r="B770" s="223" t="s">
        <v>39</v>
      </c>
      <c r="C770" s="222" t="s">
        <v>40</v>
      </c>
    </row>
    <row r="771" spans="1:3" ht="15">
      <c r="A771" s="222">
        <v>16417</v>
      </c>
      <c r="B771" s="223" t="s">
        <v>39</v>
      </c>
      <c r="C771" s="222" t="s">
        <v>40</v>
      </c>
    </row>
    <row r="772" spans="1:3" ht="15">
      <c r="A772" s="222">
        <v>16420</v>
      </c>
      <c r="B772" s="223" t="s">
        <v>39</v>
      </c>
      <c r="C772" s="222" t="s">
        <v>40</v>
      </c>
    </row>
    <row r="773" spans="1:3" ht="15">
      <c r="A773" s="222">
        <v>16421</v>
      </c>
      <c r="B773" s="223" t="s">
        <v>39</v>
      </c>
      <c r="C773" s="222" t="s">
        <v>40</v>
      </c>
    </row>
    <row r="774" spans="1:3" ht="15">
      <c r="A774" s="222">
        <v>16422</v>
      </c>
      <c r="B774" s="223" t="s">
        <v>39</v>
      </c>
      <c r="C774" s="222" t="s">
        <v>40</v>
      </c>
    </row>
    <row r="775" spans="1:3" ht="15">
      <c r="A775" s="222">
        <v>16423</v>
      </c>
      <c r="B775" s="223" t="s">
        <v>39</v>
      </c>
      <c r="C775" s="222" t="s">
        <v>40</v>
      </c>
    </row>
    <row r="776" spans="1:3" ht="15">
      <c r="A776" s="222">
        <v>16424</v>
      </c>
      <c r="B776" s="223" t="s">
        <v>39</v>
      </c>
      <c r="C776" s="222" t="s">
        <v>40</v>
      </c>
    </row>
    <row r="777" spans="1:3" ht="15">
      <c r="A777" s="222">
        <v>16426</v>
      </c>
      <c r="B777" s="223" t="s">
        <v>39</v>
      </c>
      <c r="C777" s="222" t="s">
        <v>40</v>
      </c>
    </row>
    <row r="778" spans="1:3" ht="15">
      <c r="A778" s="222">
        <v>16427</v>
      </c>
      <c r="B778" s="223" t="s">
        <v>39</v>
      </c>
      <c r="C778" s="222" t="s">
        <v>40</v>
      </c>
    </row>
    <row r="779" spans="1:3" ht="15">
      <c r="A779" s="222">
        <v>16428</v>
      </c>
      <c r="B779" s="223" t="s">
        <v>39</v>
      </c>
      <c r="C779" s="222" t="s">
        <v>40</v>
      </c>
    </row>
    <row r="780" spans="1:3" ht="15">
      <c r="A780" s="222">
        <v>16430</v>
      </c>
      <c r="B780" s="223" t="s">
        <v>39</v>
      </c>
      <c r="C780" s="222" t="s">
        <v>40</v>
      </c>
    </row>
    <row r="781" spans="1:3" ht="15">
      <c r="A781" s="222">
        <v>16432</v>
      </c>
      <c r="B781" s="223" t="s">
        <v>39</v>
      </c>
      <c r="C781" s="222" t="s">
        <v>40</v>
      </c>
    </row>
    <row r="782" spans="1:3" ht="15">
      <c r="A782" s="222">
        <v>16433</v>
      </c>
      <c r="B782" s="223" t="s">
        <v>39</v>
      </c>
      <c r="C782" s="222" t="s">
        <v>40</v>
      </c>
    </row>
    <row r="783" spans="1:3" ht="15">
      <c r="A783" s="222">
        <v>16434</v>
      </c>
      <c r="B783" s="223" t="s">
        <v>39</v>
      </c>
      <c r="C783" s="222" t="s">
        <v>40</v>
      </c>
    </row>
    <row r="784" spans="1:3" ht="15">
      <c r="A784" s="222">
        <v>16435</v>
      </c>
      <c r="B784" s="223" t="s">
        <v>39</v>
      </c>
      <c r="C784" s="222" t="s">
        <v>40</v>
      </c>
    </row>
    <row r="785" spans="1:3" ht="15">
      <c r="A785" s="222">
        <v>16436</v>
      </c>
      <c r="B785" s="223" t="s">
        <v>39</v>
      </c>
      <c r="C785" s="222" t="s">
        <v>40</v>
      </c>
    </row>
    <row r="786" spans="1:3" ht="15">
      <c r="A786" s="222">
        <v>16438</v>
      </c>
      <c r="B786" s="223" t="s">
        <v>39</v>
      </c>
      <c r="C786" s="222" t="s">
        <v>40</v>
      </c>
    </row>
    <row r="787" spans="1:3" ht="15">
      <c r="A787" s="222">
        <v>16440</v>
      </c>
      <c r="B787" s="223" t="s">
        <v>39</v>
      </c>
      <c r="C787" s="222" t="s">
        <v>40</v>
      </c>
    </row>
    <row r="788" spans="1:3" ht="15">
      <c r="A788" s="222">
        <v>16441</v>
      </c>
      <c r="B788" s="223" t="s">
        <v>39</v>
      </c>
      <c r="C788" s="222" t="s">
        <v>40</v>
      </c>
    </row>
    <row r="789" spans="1:3" ht="15">
      <c r="A789" s="222">
        <v>16442</v>
      </c>
      <c r="B789" s="223" t="s">
        <v>39</v>
      </c>
      <c r="C789" s="222" t="s">
        <v>40</v>
      </c>
    </row>
    <row r="790" spans="1:3" ht="15">
      <c r="A790" s="222">
        <v>16443</v>
      </c>
      <c r="B790" s="223" t="s">
        <v>39</v>
      </c>
      <c r="C790" s="222" t="s">
        <v>40</v>
      </c>
    </row>
    <row r="791" spans="1:3" ht="15">
      <c r="A791" s="222">
        <v>16444</v>
      </c>
      <c r="B791" s="223" t="s">
        <v>39</v>
      </c>
      <c r="C791" s="222" t="s">
        <v>40</v>
      </c>
    </row>
    <row r="792" spans="1:3" ht="15">
      <c r="A792" s="222">
        <v>16475</v>
      </c>
      <c r="B792" s="223" t="s">
        <v>39</v>
      </c>
      <c r="C792" s="222" t="s">
        <v>40</v>
      </c>
    </row>
    <row r="793" spans="1:3" ht="15">
      <c r="A793" s="222">
        <v>16501</v>
      </c>
      <c r="B793" s="223" t="s">
        <v>39</v>
      </c>
      <c r="C793" s="222" t="s">
        <v>40</v>
      </c>
    </row>
    <row r="794" spans="1:3" ht="15">
      <c r="A794" s="222">
        <v>16502</v>
      </c>
      <c r="B794" s="223" t="s">
        <v>39</v>
      </c>
      <c r="C794" s="222" t="s">
        <v>40</v>
      </c>
    </row>
    <row r="795" spans="1:3" ht="15">
      <c r="A795" s="222">
        <v>16503</v>
      </c>
      <c r="B795" s="223" t="s">
        <v>39</v>
      </c>
      <c r="C795" s="222" t="s">
        <v>40</v>
      </c>
    </row>
    <row r="796" spans="1:3" ht="15">
      <c r="A796" s="222">
        <v>16504</v>
      </c>
      <c r="B796" s="223" t="s">
        <v>39</v>
      </c>
      <c r="C796" s="222" t="s">
        <v>40</v>
      </c>
    </row>
    <row r="797" spans="1:3" ht="15">
      <c r="A797" s="222">
        <v>16505</v>
      </c>
      <c r="B797" s="223" t="s">
        <v>39</v>
      </c>
      <c r="C797" s="222" t="s">
        <v>40</v>
      </c>
    </row>
    <row r="798" spans="1:3" ht="15">
      <c r="A798" s="222">
        <v>16506</v>
      </c>
      <c r="B798" s="223" t="s">
        <v>39</v>
      </c>
      <c r="C798" s="222" t="s">
        <v>40</v>
      </c>
    </row>
    <row r="799" spans="1:3" ht="15">
      <c r="A799" s="222">
        <v>16507</v>
      </c>
      <c r="B799" s="223" t="s">
        <v>39</v>
      </c>
      <c r="C799" s="222" t="s">
        <v>40</v>
      </c>
    </row>
    <row r="800" spans="1:3" ht="15">
      <c r="A800" s="222">
        <v>16508</v>
      </c>
      <c r="B800" s="223" t="s">
        <v>39</v>
      </c>
      <c r="C800" s="222" t="s">
        <v>40</v>
      </c>
    </row>
    <row r="801" spans="1:3" ht="15">
      <c r="A801" s="222">
        <v>16509</v>
      </c>
      <c r="B801" s="223" t="s">
        <v>39</v>
      </c>
      <c r="C801" s="222" t="s">
        <v>40</v>
      </c>
    </row>
    <row r="802" spans="1:3" ht="15">
      <c r="A802" s="222">
        <v>16510</v>
      </c>
      <c r="B802" s="223" t="s">
        <v>39</v>
      </c>
      <c r="C802" s="222" t="s">
        <v>40</v>
      </c>
    </row>
    <row r="803" spans="1:3" ht="15">
      <c r="A803" s="222">
        <v>16511</v>
      </c>
      <c r="B803" s="223" t="s">
        <v>39</v>
      </c>
      <c r="C803" s="222" t="s">
        <v>40</v>
      </c>
    </row>
    <row r="804" spans="1:3" ht="15">
      <c r="A804" s="222">
        <v>16512</v>
      </c>
      <c r="B804" s="223" t="s">
        <v>39</v>
      </c>
      <c r="C804" s="222" t="s">
        <v>40</v>
      </c>
    </row>
    <row r="805" spans="1:3" ht="15">
      <c r="A805" s="222">
        <v>16514</v>
      </c>
      <c r="B805" s="223" t="s">
        <v>39</v>
      </c>
      <c r="C805" s="222" t="s">
        <v>40</v>
      </c>
    </row>
    <row r="806" spans="1:3" ht="15">
      <c r="A806" s="222">
        <v>16515</v>
      </c>
      <c r="B806" s="223" t="s">
        <v>39</v>
      </c>
      <c r="C806" s="222" t="s">
        <v>40</v>
      </c>
    </row>
    <row r="807" spans="1:3" ht="15">
      <c r="A807" s="222">
        <v>16522</v>
      </c>
      <c r="B807" s="223" t="s">
        <v>39</v>
      </c>
      <c r="C807" s="222" t="s">
        <v>40</v>
      </c>
    </row>
    <row r="808" spans="1:3" ht="15">
      <c r="A808" s="222">
        <v>16530</v>
      </c>
      <c r="B808" s="223" t="s">
        <v>39</v>
      </c>
      <c r="C808" s="222" t="s">
        <v>40</v>
      </c>
    </row>
    <row r="809" spans="1:3" ht="15">
      <c r="A809" s="222">
        <v>16531</v>
      </c>
      <c r="B809" s="223" t="s">
        <v>39</v>
      </c>
      <c r="C809" s="222" t="s">
        <v>40</v>
      </c>
    </row>
    <row r="810" spans="1:3" ht="15">
      <c r="A810" s="222">
        <v>16532</v>
      </c>
      <c r="B810" s="223" t="s">
        <v>39</v>
      </c>
      <c r="C810" s="222" t="s">
        <v>40</v>
      </c>
    </row>
    <row r="811" spans="1:3" ht="15">
      <c r="A811" s="222">
        <v>16533</v>
      </c>
      <c r="B811" s="223" t="s">
        <v>39</v>
      </c>
      <c r="C811" s="222" t="s">
        <v>40</v>
      </c>
    </row>
    <row r="812" spans="1:3" ht="15">
      <c r="A812" s="222">
        <v>16534</v>
      </c>
      <c r="B812" s="223" t="s">
        <v>39</v>
      </c>
      <c r="C812" s="222" t="s">
        <v>40</v>
      </c>
    </row>
    <row r="813" spans="1:3" ht="15">
      <c r="A813" s="222">
        <v>16538</v>
      </c>
      <c r="B813" s="223" t="s">
        <v>39</v>
      </c>
      <c r="C813" s="222" t="s">
        <v>40</v>
      </c>
    </row>
    <row r="814" spans="1:3" ht="15">
      <c r="A814" s="222">
        <v>16541</v>
      </c>
      <c r="B814" s="223" t="s">
        <v>39</v>
      </c>
      <c r="C814" s="222" t="s">
        <v>40</v>
      </c>
    </row>
    <row r="815" spans="1:3" ht="15">
      <c r="A815" s="222">
        <v>16544</v>
      </c>
      <c r="B815" s="223" t="s">
        <v>39</v>
      </c>
      <c r="C815" s="222" t="s">
        <v>40</v>
      </c>
    </row>
    <row r="816" spans="1:3" ht="15">
      <c r="A816" s="222">
        <v>16546</v>
      </c>
      <c r="B816" s="223" t="s">
        <v>39</v>
      </c>
      <c r="C816" s="222" t="s">
        <v>40</v>
      </c>
    </row>
    <row r="817" spans="1:3" ht="15">
      <c r="A817" s="222">
        <v>16550</v>
      </c>
      <c r="B817" s="223" t="s">
        <v>39</v>
      </c>
      <c r="C817" s="222" t="s">
        <v>40</v>
      </c>
    </row>
    <row r="818" spans="1:3" ht="15">
      <c r="A818" s="222">
        <v>16553</v>
      </c>
      <c r="B818" s="223" t="s">
        <v>39</v>
      </c>
      <c r="C818" s="222" t="s">
        <v>40</v>
      </c>
    </row>
    <row r="819" spans="1:3" ht="15">
      <c r="A819" s="222">
        <v>16554</v>
      </c>
      <c r="B819" s="223" t="s">
        <v>39</v>
      </c>
      <c r="C819" s="222" t="s">
        <v>40</v>
      </c>
    </row>
    <row r="820" spans="1:3" ht="15">
      <c r="A820" s="222">
        <v>16563</v>
      </c>
      <c r="B820" s="223" t="s">
        <v>39</v>
      </c>
      <c r="C820" s="222" t="s">
        <v>40</v>
      </c>
    </row>
    <row r="821" spans="1:3" ht="15">
      <c r="A821" s="222">
        <v>16565</v>
      </c>
      <c r="B821" s="223" t="s">
        <v>39</v>
      </c>
      <c r="C821" s="222" t="s">
        <v>40</v>
      </c>
    </row>
    <row r="822" spans="1:3" ht="15">
      <c r="A822" s="222">
        <v>16601</v>
      </c>
      <c r="B822" s="223" t="s">
        <v>35</v>
      </c>
      <c r="C822" s="222" t="s">
        <v>36</v>
      </c>
    </row>
    <row r="823" spans="1:3" ht="15">
      <c r="A823" s="222">
        <v>16602</v>
      </c>
      <c r="B823" s="223" t="s">
        <v>35</v>
      </c>
      <c r="C823" s="222" t="s">
        <v>36</v>
      </c>
    </row>
    <row r="824" spans="1:3" ht="15">
      <c r="A824" s="222">
        <v>16603</v>
      </c>
      <c r="B824" s="223" t="s">
        <v>35</v>
      </c>
      <c r="C824" s="222" t="s">
        <v>36</v>
      </c>
    </row>
    <row r="825" spans="1:3" ht="15">
      <c r="A825" s="222">
        <v>16611</v>
      </c>
      <c r="B825" s="223" t="s">
        <v>43</v>
      </c>
      <c r="C825" s="222" t="s">
        <v>44</v>
      </c>
    </row>
    <row r="826" spans="1:3" ht="15">
      <c r="A826" s="222">
        <v>16613</v>
      </c>
      <c r="B826" s="223" t="s">
        <v>35</v>
      </c>
      <c r="C826" s="222" t="s">
        <v>36</v>
      </c>
    </row>
    <row r="827" spans="1:3" ht="15">
      <c r="A827" s="222">
        <v>16616</v>
      </c>
      <c r="B827" s="223" t="s">
        <v>41</v>
      </c>
      <c r="C827" s="222" t="s">
        <v>42</v>
      </c>
    </row>
    <row r="828" spans="1:3" ht="15">
      <c r="A828" s="222">
        <v>16617</v>
      </c>
      <c r="B828" s="223" t="s">
        <v>35</v>
      </c>
      <c r="C828" s="222" t="s">
        <v>36</v>
      </c>
    </row>
    <row r="829" spans="1:3" ht="15">
      <c r="A829" s="222">
        <v>16619</v>
      </c>
      <c r="B829" s="223" t="s">
        <v>35</v>
      </c>
      <c r="C829" s="222" t="s">
        <v>36</v>
      </c>
    </row>
    <row r="830" spans="1:3" ht="15">
      <c r="A830" s="222">
        <v>16620</v>
      </c>
      <c r="B830" s="223" t="s">
        <v>41</v>
      </c>
      <c r="C830" s="222" t="s">
        <v>42</v>
      </c>
    </row>
    <row r="831" spans="1:3" ht="15">
      <c r="A831" s="222">
        <v>16621</v>
      </c>
      <c r="B831" s="223" t="s">
        <v>43</v>
      </c>
      <c r="C831" s="222" t="s">
        <v>44</v>
      </c>
    </row>
    <row r="832" spans="1:3" ht="15">
      <c r="A832" s="222">
        <v>16622</v>
      </c>
      <c r="B832" s="223" t="s">
        <v>43</v>
      </c>
      <c r="C832" s="222" t="s">
        <v>44</v>
      </c>
    </row>
    <row r="833" spans="1:3" ht="15">
      <c r="A833" s="222">
        <v>16623</v>
      </c>
      <c r="B833" s="223" t="s">
        <v>43</v>
      </c>
      <c r="C833" s="222" t="s">
        <v>44</v>
      </c>
    </row>
    <row r="834" spans="1:3" ht="15">
      <c r="A834" s="222">
        <v>16624</v>
      </c>
      <c r="B834" s="223" t="s">
        <v>35</v>
      </c>
      <c r="C834" s="222" t="s">
        <v>36</v>
      </c>
    </row>
    <row r="835" spans="1:3" ht="15">
      <c r="A835" s="222">
        <v>16625</v>
      </c>
      <c r="B835" s="223" t="s">
        <v>35</v>
      </c>
      <c r="C835" s="222" t="s">
        <v>36</v>
      </c>
    </row>
    <row r="836" spans="1:3" ht="15">
      <c r="A836" s="222">
        <v>16627</v>
      </c>
      <c r="B836" s="223" t="s">
        <v>41</v>
      </c>
      <c r="C836" s="222" t="s">
        <v>42</v>
      </c>
    </row>
    <row r="837" spans="1:3" ht="15">
      <c r="A837" s="222">
        <v>16629</v>
      </c>
      <c r="B837" s="223" t="s">
        <v>35</v>
      </c>
      <c r="C837" s="222" t="s">
        <v>36</v>
      </c>
    </row>
    <row r="838" spans="1:3" ht="15">
      <c r="A838" s="222">
        <v>16630</v>
      </c>
      <c r="B838" s="223" t="s">
        <v>35</v>
      </c>
      <c r="C838" s="222" t="s">
        <v>36</v>
      </c>
    </row>
    <row r="839" spans="1:3" ht="15">
      <c r="A839" s="222">
        <v>16631</v>
      </c>
      <c r="B839" s="223" t="s">
        <v>35</v>
      </c>
      <c r="C839" s="222" t="s">
        <v>36</v>
      </c>
    </row>
    <row r="840" spans="1:3" ht="15">
      <c r="A840" s="222">
        <v>16633</v>
      </c>
      <c r="B840" s="223" t="s">
        <v>35</v>
      </c>
      <c r="C840" s="222" t="s">
        <v>36</v>
      </c>
    </row>
    <row r="841" spans="1:3" ht="15">
      <c r="A841" s="222">
        <v>16634</v>
      </c>
      <c r="B841" s="223" t="s">
        <v>43</v>
      </c>
      <c r="C841" s="222" t="s">
        <v>44</v>
      </c>
    </row>
    <row r="842" spans="1:3" ht="15">
      <c r="A842" s="222">
        <v>16635</v>
      </c>
      <c r="B842" s="223" t="s">
        <v>35</v>
      </c>
      <c r="C842" s="222" t="s">
        <v>36</v>
      </c>
    </row>
    <row r="843" spans="1:3" ht="15">
      <c r="A843" s="222">
        <v>16636</v>
      </c>
      <c r="B843" s="223" t="s">
        <v>35</v>
      </c>
      <c r="C843" s="222" t="s">
        <v>36</v>
      </c>
    </row>
    <row r="844" spans="1:3" ht="15">
      <c r="A844" s="222">
        <v>16637</v>
      </c>
      <c r="B844" s="223" t="s">
        <v>35</v>
      </c>
      <c r="C844" s="222" t="s">
        <v>36</v>
      </c>
    </row>
    <row r="845" spans="1:3" ht="15">
      <c r="A845" s="222">
        <v>16638</v>
      </c>
      <c r="B845" s="223" t="s">
        <v>43</v>
      </c>
      <c r="C845" s="222" t="s">
        <v>44</v>
      </c>
    </row>
    <row r="846" spans="1:3" ht="15">
      <c r="A846" s="222">
        <v>16639</v>
      </c>
      <c r="B846" s="223" t="s">
        <v>35</v>
      </c>
      <c r="C846" s="222" t="s">
        <v>36</v>
      </c>
    </row>
    <row r="847" spans="1:3" ht="15">
      <c r="A847" s="222">
        <v>16640</v>
      </c>
      <c r="B847" s="223" t="s">
        <v>35</v>
      </c>
      <c r="C847" s="222" t="s">
        <v>36</v>
      </c>
    </row>
    <row r="848" spans="1:3" ht="15">
      <c r="A848" s="222">
        <v>16641</v>
      </c>
      <c r="B848" s="223" t="s">
        <v>35</v>
      </c>
      <c r="C848" s="222" t="s">
        <v>36</v>
      </c>
    </row>
    <row r="849" spans="1:3" ht="15">
      <c r="A849" s="222">
        <v>16644</v>
      </c>
      <c r="B849" s="223" t="s">
        <v>35</v>
      </c>
      <c r="C849" s="222" t="s">
        <v>36</v>
      </c>
    </row>
    <row r="850" spans="1:3" ht="15">
      <c r="A850" s="222">
        <v>16645</v>
      </c>
      <c r="B850" s="223" t="s">
        <v>41</v>
      </c>
      <c r="C850" s="222" t="s">
        <v>42</v>
      </c>
    </row>
    <row r="851" spans="1:3" ht="15">
      <c r="A851" s="222">
        <v>16646</v>
      </c>
      <c r="B851" s="223" t="s">
        <v>35</v>
      </c>
      <c r="C851" s="222" t="s">
        <v>36</v>
      </c>
    </row>
    <row r="852" spans="1:3" ht="15">
      <c r="A852" s="222">
        <v>16647</v>
      </c>
      <c r="B852" s="223" t="s">
        <v>43</v>
      </c>
      <c r="C852" s="222" t="s">
        <v>44</v>
      </c>
    </row>
    <row r="853" spans="1:3" ht="15">
      <c r="A853" s="222">
        <v>16648</v>
      </c>
      <c r="B853" s="223" t="s">
        <v>35</v>
      </c>
      <c r="C853" s="222" t="s">
        <v>36</v>
      </c>
    </row>
    <row r="854" spans="1:3" ht="15">
      <c r="A854" s="222">
        <v>16650</v>
      </c>
      <c r="B854" s="223" t="s">
        <v>35</v>
      </c>
      <c r="C854" s="222" t="s">
        <v>36</v>
      </c>
    </row>
    <row r="855" spans="1:3" ht="15">
      <c r="A855" s="222">
        <v>16651</v>
      </c>
      <c r="B855" s="223" t="s">
        <v>41</v>
      </c>
      <c r="C855" s="222" t="s">
        <v>42</v>
      </c>
    </row>
    <row r="856" spans="1:3" ht="15">
      <c r="A856" s="222">
        <v>16652</v>
      </c>
      <c r="B856" s="223" t="s">
        <v>43</v>
      </c>
      <c r="C856" s="222" t="s">
        <v>44</v>
      </c>
    </row>
    <row r="857" spans="1:3" ht="15">
      <c r="A857" s="222">
        <v>16654</v>
      </c>
      <c r="B857" s="223" t="s">
        <v>43</v>
      </c>
      <c r="C857" s="222" t="s">
        <v>44</v>
      </c>
    </row>
    <row r="858" spans="1:3" ht="15">
      <c r="A858" s="222">
        <v>16655</v>
      </c>
      <c r="B858" s="223" t="s">
        <v>35</v>
      </c>
      <c r="C858" s="222" t="s">
        <v>36</v>
      </c>
    </row>
    <row r="859" spans="1:3" ht="15">
      <c r="A859" s="222">
        <v>16656</v>
      </c>
      <c r="B859" s="223" t="s">
        <v>41</v>
      </c>
      <c r="C859" s="222" t="s">
        <v>42</v>
      </c>
    </row>
    <row r="860" spans="1:3" ht="15">
      <c r="A860" s="222">
        <v>16657</v>
      </c>
      <c r="B860" s="223" t="s">
        <v>43</v>
      </c>
      <c r="C860" s="222" t="s">
        <v>44</v>
      </c>
    </row>
    <row r="861" spans="1:3" ht="15">
      <c r="A861" s="222">
        <v>16659</v>
      </c>
      <c r="B861" s="223" t="s">
        <v>35</v>
      </c>
      <c r="C861" s="222" t="s">
        <v>36</v>
      </c>
    </row>
    <row r="862" spans="1:3" ht="15">
      <c r="A862" s="222">
        <v>16660</v>
      </c>
      <c r="B862" s="223" t="s">
        <v>35</v>
      </c>
      <c r="C862" s="222" t="s">
        <v>36</v>
      </c>
    </row>
    <row r="863" spans="1:3" ht="15">
      <c r="A863" s="222">
        <v>16661</v>
      </c>
      <c r="B863" s="223" t="s">
        <v>41</v>
      </c>
      <c r="C863" s="222" t="s">
        <v>42</v>
      </c>
    </row>
    <row r="864" spans="1:3" ht="15">
      <c r="A864" s="222">
        <v>16662</v>
      </c>
      <c r="B864" s="223" t="s">
        <v>35</v>
      </c>
      <c r="C864" s="222" t="s">
        <v>36</v>
      </c>
    </row>
    <row r="865" spans="1:3" ht="15">
      <c r="A865" s="222">
        <v>16663</v>
      </c>
      <c r="B865" s="223" t="s">
        <v>41</v>
      </c>
      <c r="C865" s="222" t="s">
        <v>42</v>
      </c>
    </row>
    <row r="866" spans="1:3" ht="15">
      <c r="A866" s="222">
        <v>16664</v>
      </c>
      <c r="B866" s="223" t="s">
        <v>35</v>
      </c>
      <c r="C866" s="222" t="s">
        <v>36</v>
      </c>
    </row>
    <row r="867" spans="1:3" ht="15">
      <c r="A867" s="222">
        <v>16665</v>
      </c>
      <c r="B867" s="223" t="s">
        <v>35</v>
      </c>
      <c r="C867" s="222" t="s">
        <v>36</v>
      </c>
    </row>
    <row r="868" spans="1:3" ht="15">
      <c r="A868" s="222">
        <v>16666</v>
      </c>
      <c r="B868" s="223" t="s">
        <v>41</v>
      </c>
      <c r="C868" s="222" t="s">
        <v>42</v>
      </c>
    </row>
    <row r="869" spans="1:3" ht="15">
      <c r="A869" s="222">
        <v>16667</v>
      </c>
      <c r="B869" s="223" t="s">
        <v>35</v>
      </c>
      <c r="C869" s="222" t="s">
        <v>36</v>
      </c>
    </row>
    <row r="870" spans="1:3" ht="15">
      <c r="A870" s="222">
        <v>16668</v>
      </c>
      <c r="B870" s="223" t="s">
        <v>35</v>
      </c>
      <c r="C870" s="222" t="s">
        <v>36</v>
      </c>
    </row>
    <row r="871" spans="1:3" ht="15">
      <c r="A871" s="222">
        <v>16669</v>
      </c>
      <c r="B871" s="223" t="s">
        <v>43</v>
      </c>
      <c r="C871" s="222" t="s">
        <v>44</v>
      </c>
    </row>
    <row r="872" spans="1:3" ht="15">
      <c r="A872" s="222">
        <v>16670</v>
      </c>
      <c r="B872" s="223" t="s">
        <v>35</v>
      </c>
      <c r="C872" s="222" t="s">
        <v>36</v>
      </c>
    </row>
    <row r="873" spans="1:3" ht="15">
      <c r="A873" s="222">
        <v>16671</v>
      </c>
      <c r="B873" s="223" t="s">
        <v>41</v>
      </c>
      <c r="C873" s="222" t="s">
        <v>42</v>
      </c>
    </row>
    <row r="874" spans="1:3" ht="15">
      <c r="A874" s="222">
        <v>16672</v>
      </c>
      <c r="B874" s="223" t="s">
        <v>35</v>
      </c>
      <c r="C874" s="222" t="s">
        <v>36</v>
      </c>
    </row>
    <row r="875" spans="1:3" ht="15">
      <c r="A875" s="222">
        <v>16673</v>
      </c>
      <c r="B875" s="223" t="s">
        <v>35</v>
      </c>
      <c r="C875" s="222" t="s">
        <v>36</v>
      </c>
    </row>
    <row r="876" spans="1:3" ht="15">
      <c r="A876" s="222">
        <v>16674</v>
      </c>
      <c r="B876" s="223" t="s">
        <v>43</v>
      </c>
      <c r="C876" s="222" t="s">
        <v>44</v>
      </c>
    </row>
    <row r="877" spans="1:3" ht="15">
      <c r="A877" s="222">
        <v>16675</v>
      </c>
      <c r="B877" s="223" t="s">
        <v>35</v>
      </c>
      <c r="C877" s="222" t="s">
        <v>36</v>
      </c>
    </row>
    <row r="878" spans="1:3" ht="15">
      <c r="A878" s="222">
        <v>16677</v>
      </c>
      <c r="B878" s="223" t="s">
        <v>43</v>
      </c>
      <c r="C878" s="222" t="s">
        <v>44</v>
      </c>
    </row>
    <row r="879" spans="1:3" ht="15">
      <c r="A879" s="222">
        <v>16678</v>
      </c>
      <c r="B879" s="223" t="s">
        <v>35</v>
      </c>
      <c r="C879" s="222" t="s">
        <v>36</v>
      </c>
    </row>
    <row r="880" spans="1:3" ht="15">
      <c r="A880" s="222">
        <v>16679</v>
      </c>
      <c r="B880" s="223" t="s">
        <v>35</v>
      </c>
      <c r="C880" s="222" t="s">
        <v>36</v>
      </c>
    </row>
    <row r="881" spans="1:3" ht="15">
      <c r="A881" s="222">
        <v>16680</v>
      </c>
      <c r="B881" s="223" t="s">
        <v>41</v>
      </c>
      <c r="C881" s="222" t="s">
        <v>42</v>
      </c>
    </row>
    <row r="882" spans="1:3" ht="15">
      <c r="A882" s="222">
        <v>16681</v>
      </c>
      <c r="B882" s="223" t="s">
        <v>41</v>
      </c>
      <c r="C882" s="222" t="s">
        <v>42</v>
      </c>
    </row>
    <row r="883" spans="1:3" ht="15">
      <c r="A883" s="222">
        <v>16682</v>
      </c>
      <c r="B883" s="223" t="s">
        <v>35</v>
      </c>
      <c r="C883" s="222" t="s">
        <v>36</v>
      </c>
    </row>
    <row r="884" spans="1:3" ht="15">
      <c r="A884" s="222">
        <v>16683</v>
      </c>
      <c r="B884" s="223" t="s">
        <v>43</v>
      </c>
      <c r="C884" s="222" t="s">
        <v>44</v>
      </c>
    </row>
    <row r="885" spans="1:3" ht="15">
      <c r="A885" s="222">
        <v>16684</v>
      </c>
      <c r="B885" s="223" t="s">
        <v>41</v>
      </c>
      <c r="C885" s="222" t="s">
        <v>42</v>
      </c>
    </row>
    <row r="886" spans="1:3" ht="15">
      <c r="A886" s="222">
        <v>16685</v>
      </c>
      <c r="B886" s="223" t="s">
        <v>43</v>
      </c>
      <c r="C886" s="222" t="s">
        <v>44</v>
      </c>
    </row>
    <row r="887" spans="1:3" ht="15">
      <c r="A887" s="222">
        <v>16686</v>
      </c>
      <c r="B887" s="223" t="s">
        <v>35</v>
      </c>
      <c r="C887" s="222" t="s">
        <v>36</v>
      </c>
    </row>
    <row r="888" spans="1:3" ht="15">
      <c r="A888" s="222">
        <v>16689</v>
      </c>
      <c r="B888" s="223" t="s">
        <v>37</v>
      </c>
      <c r="C888" s="222" t="s">
        <v>38</v>
      </c>
    </row>
    <row r="889" spans="1:3" ht="15">
      <c r="A889" s="222">
        <v>16691</v>
      </c>
      <c r="B889" s="223" t="s">
        <v>37</v>
      </c>
      <c r="C889" s="222" t="s">
        <v>38</v>
      </c>
    </row>
    <row r="890" spans="1:3" ht="15">
      <c r="A890" s="222">
        <v>16692</v>
      </c>
      <c r="B890" s="223" t="s">
        <v>41</v>
      </c>
      <c r="C890" s="222" t="s">
        <v>42</v>
      </c>
    </row>
    <row r="891" spans="1:3" ht="15">
      <c r="A891" s="222">
        <v>16693</v>
      </c>
      <c r="B891" s="223" t="s">
        <v>35</v>
      </c>
      <c r="C891" s="222" t="s">
        <v>36</v>
      </c>
    </row>
    <row r="892" spans="1:3" ht="15">
      <c r="A892" s="222">
        <v>16694</v>
      </c>
      <c r="B892" s="223" t="s">
        <v>43</v>
      </c>
      <c r="C892" s="222" t="s">
        <v>44</v>
      </c>
    </row>
    <row r="893" spans="1:3" ht="15">
      <c r="A893" s="222">
        <v>16695</v>
      </c>
      <c r="B893" s="223" t="s">
        <v>35</v>
      </c>
      <c r="C893" s="222" t="s">
        <v>36</v>
      </c>
    </row>
    <row r="894" spans="1:3" ht="15">
      <c r="A894" s="222">
        <v>16698</v>
      </c>
      <c r="B894" s="223" t="s">
        <v>41</v>
      </c>
      <c r="C894" s="222" t="s">
        <v>42</v>
      </c>
    </row>
    <row r="895" spans="1:3" ht="15">
      <c r="A895" s="222">
        <v>16699</v>
      </c>
      <c r="B895" s="223" t="s">
        <v>35</v>
      </c>
      <c r="C895" s="222" t="s">
        <v>36</v>
      </c>
    </row>
    <row r="896" spans="1:3" ht="15">
      <c r="A896" s="222">
        <v>16701</v>
      </c>
      <c r="B896" s="223" t="s">
        <v>41</v>
      </c>
      <c r="C896" s="222" t="s">
        <v>42</v>
      </c>
    </row>
    <row r="897" spans="1:3" ht="15">
      <c r="A897" s="222">
        <v>16720</v>
      </c>
      <c r="B897" s="223" t="s">
        <v>41</v>
      </c>
      <c r="C897" s="222" t="s">
        <v>42</v>
      </c>
    </row>
    <row r="898" spans="1:3" ht="15">
      <c r="A898" s="222">
        <v>16724</v>
      </c>
      <c r="B898" s="223" t="s">
        <v>41</v>
      </c>
      <c r="C898" s="222" t="s">
        <v>42</v>
      </c>
    </row>
    <row r="899" spans="1:3" ht="15">
      <c r="A899" s="222">
        <v>16725</v>
      </c>
      <c r="B899" s="223" t="s">
        <v>41</v>
      </c>
      <c r="C899" s="222" t="s">
        <v>42</v>
      </c>
    </row>
    <row r="900" spans="1:3" ht="15">
      <c r="A900" s="222">
        <v>16726</v>
      </c>
      <c r="B900" s="223" t="s">
        <v>41</v>
      </c>
      <c r="C900" s="222" t="s">
        <v>42</v>
      </c>
    </row>
    <row r="901" spans="1:3" ht="15">
      <c r="A901" s="222">
        <v>16727</v>
      </c>
      <c r="B901" s="223" t="s">
        <v>41</v>
      </c>
      <c r="C901" s="222" t="s">
        <v>42</v>
      </c>
    </row>
    <row r="902" spans="1:3" ht="15">
      <c r="A902" s="222">
        <v>16728</v>
      </c>
      <c r="B902" s="223" t="s">
        <v>41</v>
      </c>
      <c r="C902" s="222" t="s">
        <v>42</v>
      </c>
    </row>
    <row r="903" spans="1:3" ht="15">
      <c r="A903" s="222">
        <v>16729</v>
      </c>
      <c r="B903" s="223" t="s">
        <v>41</v>
      </c>
      <c r="C903" s="222" t="s">
        <v>42</v>
      </c>
    </row>
    <row r="904" spans="1:3" ht="15">
      <c r="A904" s="222">
        <v>16730</v>
      </c>
      <c r="B904" s="223" t="s">
        <v>41</v>
      </c>
      <c r="C904" s="222" t="s">
        <v>42</v>
      </c>
    </row>
    <row r="905" spans="1:3" ht="15">
      <c r="A905" s="222">
        <v>16731</v>
      </c>
      <c r="B905" s="223" t="s">
        <v>41</v>
      </c>
      <c r="C905" s="222" t="s">
        <v>42</v>
      </c>
    </row>
    <row r="906" spans="1:3" ht="15">
      <c r="A906" s="222">
        <v>16732</v>
      </c>
      <c r="B906" s="223" t="s">
        <v>41</v>
      </c>
      <c r="C906" s="222" t="s">
        <v>42</v>
      </c>
    </row>
    <row r="907" spans="1:3" ht="15">
      <c r="A907" s="222">
        <v>16733</v>
      </c>
      <c r="B907" s="223" t="s">
        <v>41</v>
      </c>
      <c r="C907" s="222" t="s">
        <v>42</v>
      </c>
    </row>
    <row r="908" spans="1:3" ht="15">
      <c r="A908" s="222">
        <v>16734</v>
      </c>
      <c r="B908" s="223" t="s">
        <v>41</v>
      </c>
      <c r="C908" s="222" t="s">
        <v>42</v>
      </c>
    </row>
    <row r="909" spans="1:3" ht="15">
      <c r="A909" s="222">
        <v>16735</v>
      </c>
      <c r="B909" s="223" t="s">
        <v>41</v>
      </c>
      <c r="C909" s="222" t="s">
        <v>42</v>
      </c>
    </row>
    <row r="910" spans="1:3" ht="15">
      <c r="A910" s="222">
        <v>16738</v>
      </c>
      <c r="B910" s="223" t="s">
        <v>41</v>
      </c>
      <c r="C910" s="222" t="s">
        <v>42</v>
      </c>
    </row>
    <row r="911" spans="1:3" ht="15">
      <c r="A911" s="222">
        <v>16740</v>
      </c>
      <c r="B911" s="223" t="s">
        <v>41</v>
      </c>
      <c r="C911" s="222" t="s">
        <v>42</v>
      </c>
    </row>
    <row r="912" spans="1:3" ht="15">
      <c r="A912" s="222">
        <v>16743</v>
      </c>
      <c r="B912" s="223" t="s">
        <v>41</v>
      </c>
      <c r="C912" s="222" t="s">
        <v>42</v>
      </c>
    </row>
    <row r="913" spans="1:3" ht="15">
      <c r="A913" s="222">
        <v>16744</v>
      </c>
      <c r="B913" s="223" t="s">
        <v>41</v>
      </c>
      <c r="C913" s="222" t="s">
        <v>42</v>
      </c>
    </row>
    <row r="914" spans="1:3" ht="15">
      <c r="A914" s="222">
        <v>16745</v>
      </c>
      <c r="B914" s="223" t="s">
        <v>41</v>
      </c>
      <c r="C914" s="222" t="s">
        <v>42</v>
      </c>
    </row>
    <row r="915" spans="1:3" ht="15">
      <c r="A915" s="222">
        <v>16746</v>
      </c>
      <c r="B915" s="223" t="s">
        <v>41</v>
      </c>
      <c r="C915" s="222" t="s">
        <v>42</v>
      </c>
    </row>
    <row r="916" spans="1:3" ht="15">
      <c r="A916" s="222">
        <v>16748</v>
      </c>
      <c r="B916" s="223" t="s">
        <v>41</v>
      </c>
      <c r="C916" s="222" t="s">
        <v>42</v>
      </c>
    </row>
    <row r="917" spans="1:3" ht="15">
      <c r="A917" s="222">
        <v>16749</v>
      </c>
      <c r="B917" s="223" t="s">
        <v>41</v>
      </c>
      <c r="C917" s="222" t="s">
        <v>42</v>
      </c>
    </row>
    <row r="918" spans="1:3" ht="15">
      <c r="A918" s="222">
        <v>16750</v>
      </c>
      <c r="B918" s="223" t="s">
        <v>41</v>
      </c>
      <c r="C918" s="222" t="s">
        <v>42</v>
      </c>
    </row>
    <row r="919" spans="1:3" ht="15">
      <c r="A919" s="222">
        <v>16801</v>
      </c>
      <c r="B919" s="223" t="s">
        <v>43</v>
      </c>
      <c r="C919" s="222" t="s">
        <v>44</v>
      </c>
    </row>
    <row r="920" spans="1:3" ht="15">
      <c r="A920" s="222">
        <v>16802</v>
      </c>
      <c r="B920" s="223" t="s">
        <v>43</v>
      </c>
      <c r="C920" s="222" t="s">
        <v>44</v>
      </c>
    </row>
    <row r="921" spans="1:3" ht="15">
      <c r="A921" s="222">
        <v>16803</v>
      </c>
      <c r="B921" s="223" t="s">
        <v>43</v>
      </c>
      <c r="C921" s="222" t="s">
        <v>44</v>
      </c>
    </row>
    <row r="922" spans="1:3" ht="15">
      <c r="A922" s="222">
        <v>16804</v>
      </c>
      <c r="B922" s="223" t="s">
        <v>43</v>
      </c>
      <c r="C922" s="222" t="s">
        <v>44</v>
      </c>
    </row>
    <row r="923" spans="1:3" ht="15">
      <c r="A923" s="222">
        <v>16805</v>
      </c>
      <c r="B923" s="223" t="s">
        <v>43</v>
      </c>
      <c r="C923" s="222" t="s">
        <v>44</v>
      </c>
    </row>
    <row r="924" spans="1:3" ht="15">
      <c r="A924" s="222">
        <v>16820</v>
      </c>
      <c r="B924" s="223" t="s">
        <v>43</v>
      </c>
      <c r="C924" s="222" t="s">
        <v>44</v>
      </c>
    </row>
    <row r="925" spans="1:3" ht="15">
      <c r="A925" s="222">
        <v>16821</v>
      </c>
      <c r="B925" s="223" t="s">
        <v>41</v>
      </c>
      <c r="C925" s="222" t="s">
        <v>42</v>
      </c>
    </row>
    <row r="926" spans="1:3" ht="15">
      <c r="A926" s="222">
        <v>16822</v>
      </c>
      <c r="B926" s="223" t="s">
        <v>43</v>
      </c>
      <c r="C926" s="222" t="s">
        <v>44</v>
      </c>
    </row>
    <row r="927" spans="1:3" ht="15">
      <c r="A927" s="222">
        <v>16823</v>
      </c>
      <c r="B927" s="223" t="s">
        <v>43</v>
      </c>
      <c r="C927" s="222" t="s">
        <v>44</v>
      </c>
    </row>
    <row r="928" spans="1:3" ht="15">
      <c r="A928" s="222">
        <v>16825</v>
      </c>
      <c r="B928" s="223" t="s">
        <v>41</v>
      </c>
      <c r="C928" s="222" t="s">
        <v>42</v>
      </c>
    </row>
    <row r="929" spans="1:3" ht="15">
      <c r="A929" s="222">
        <v>16826</v>
      </c>
      <c r="B929" s="223" t="s">
        <v>43</v>
      </c>
      <c r="C929" s="222" t="s">
        <v>44</v>
      </c>
    </row>
    <row r="930" spans="1:3" ht="15">
      <c r="A930" s="222">
        <v>16827</v>
      </c>
      <c r="B930" s="223" t="s">
        <v>43</v>
      </c>
      <c r="C930" s="222" t="s">
        <v>44</v>
      </c>
    </row>
    <row r="931" spans="1:3" ht="15">
      <c r="A931" s="222">
        <v>16828</v>
      </c>
      <c r="B931" s="223" t="s">
        <v>43</v>
      </c>
      <c r="C931" s="222" t="s">
        <v>44</v>
      </c>
    </row>
    <row r="932" spans="1:3" ht="15">
      <c r="A932" s="222">
        <v>16829</v>
      </c>
      <c r="B932" s="223" t="s">
        <v>43</v>
      </c>
      <c r="C932" s="222" t="s">
        <v>44</v>
      </c>
    </row>
    <row r="933" spans="1:3" ht="15">
      <c r="A933" s="222">
        <v>16830</v>
      </c>
      <c r="B933" s="223" t="s">
        <v>41</v>
      </c>
      <c r="C933" s="222" t="s">
        <v>42</v>
      </c>
    </row>
    <row r="934" spans="1:3" ht="15">
      <c r="A934" s="222">
        <v>16832</v>
      </c>
      <c r="B934" s="223" t="s">
        <v>43</v>
      </c>
      <c r="C934" s="222" t="s">
        <v>44</v>
      </c>
    </row>
    <row r="935" spans="1:3" ht="15">
      <c r="A935" s="222">
        <v>16833</v>
      </c>
      <c r="B935" s="223" t="s">
        <v>41</v>
      </c>
      <c r="C935" s="222" t="s">
        <v>42</v>
      </c>
    </row>
    <row r="936" spans="1:3" ht="15">
      <c r="A936" s="222">
        <v>16834</v>
      </c>
      <c r="B936" s="223" t="s">
        <v>41</v>
      </c>
      <c r="C936" s="222" t="s">
        <v>42</v>
      </c>
    </row>
    <row r="937" spans="1:3" ht="15">
      <c r="A937" s="222">
        <v>16835</v>
      </c>
      <c r="B937" s="223" t="s">
        <v>43</v>
      </c>
      <c r="C937" s="222" t="s">
        <v>44</v>
      </c>
    </row>
    <row r="938" spans="1:3" ht="15">
      <c r="A938" s="222">
        <v>16836</v>
      </c>
      <c r="B938" s="223" t="s">
        <v>41</v>
      </c>
      <c r="C938" s="222" t="s">
        <v>42</v>
      </c>
    </row>
    <row r="939" spans="1:3" ht="15">
      <c r="A939" s="222">
        <v>16837</v>
      </c>
      <c r="B939" s="223" t="s">
        <v>41</v>
      </c>
      <c r="C939" s="222" t="s">
        <v>42</v>
      </c>
    </row>
    <row r="940" spans="1:3" ht="15">
      <c r="A940" s="222">
        <v>16838</v>
      </c>
      <c r="B940" s="223" t="s">
        <v>41</v>
      </c>
      <c r="C940" s="222" t="s">
        <v>42</v>
      </c>
    </row>
    <row r="941" spans="1:3" ht="15">
      <c r="A941" s="222">
        <v>16839</v>
      </c>
      <c r="B941" s="223" t="s">
        <v>41</v>
      </c>
      <c r="C941" s="222" t="s">
        <v>42</v>
      </c>
    </row>
    <row r="942" spans="1:3" ht="15">
      <c r="A942" s="222">
        <v>16840</v>
      </c>
      <c r="B942" s="223" t="s">
        <v>41</v>
      </c>
      <c r="C942" s="222" t="s">
        <v>42</v>
      </c>
    </row>
    <row r="943" spans="1:3" ht="15">
      <c r="A943" s="222">
        <v>16841</v>
      </c>
      <c r="B943" s="223" t="s">
        <v>43</v>
      </c>
      <c r="C943" s="222" t="s">
        <v>44</v>
      </c>
    </row>
    <row r="944" spans="1:3" ht="15">
      <c r="A944" s="222">
        <v>16843</v>
      </c>
      <c r="B944" s="223" t="s">
        <v>41</v>
      </c>
      <c r="C944" s="222" t="s">
        <v>42</v>
      </c>
    </row>
    <row r="945" spans="1:3" ht="15">
      <c r="A945" s="222">
        <v>16844</v>
      </c>
      <c r="B945" s="223" t="s">
        <v>43</v>
      </c>
      <c r="C945" s="222" t="s">
        <v>44</v>
      </c>
    </row>
    <row r="946" spans="1:3" ht="15">
      <c r="A946" s="222">
        <v>16845</v>
      </c>
      <c r="B946" s="223" t="s">
        <v>41</v>
      </c>
      <c r="C946" s="222" t="s">
        <v>42</v>
      </c>
    </row>
    <row r="947" spans="1:3" ht="15">
      <c r="A947" s="222">
        <v>16847</v>
      </c>
      <c r="B947" s="223" t="s">
        <v>41</v>
      </c>
      <c r="C947" s="222" t="s">
        <v>42</v>
      </c>
    </row>
    <row r="948" spans="1:3" ht="15">
      <c r="A948" s="222">
        <v>16848</v>
      </c>
      <c r="B948" s="223" t="s">
        <v>43</v>
      </c>
      <c r="C948" s="222" t="s">
        <v>44</v>
      </c>
    </row>
    <row r="949" spans="1:3" ht="15">
      <c r="A949" s="222">
        <v>16849</v>
      </c>
      <c r="B949" s="223" t="s">
        <v>41</v>
      </c>
      <c r="C949" s="222" t="s">
        <v>42</v>
      </c>
    </row>
    <row r="950" spans="1:3" ht="15">
      <c r="A950" s="222">
        <v>16850</v>
      </c>
      <c r="B950" s="223" t="s">
        <v>41</v>
      </c>
      <c r="C950" s="222" t="s">
        <v>42</v>
      </c>
    </row>
    <row r="951" spans="1:3" ht="15">
      <c r="A951" s="222">
        <v>16851</v>
      </c>
      <c r="B951" s="223" t="s">
        <v>43</v>
      </c>
      <c r="C951" s="222" t="s">
        <v>44</v>
      </c>
    </row>
    <row r="952" spans="1:3" ht="15">
      <c r="A952" s="222">
        <v>16852</v>
      </c>
      <c r="B952" s="223" t="s">
        <v>43</v>
      </c>
      <c r="C952" s="222" t="s">
        <v>44</v>
      </c>
    </row>
    <row r="953" spans="1:3" ht="15">
      <c r="A953" s="222">
        <v>16853</v>
      </c>
      <c r="B953" s="223" t="s">
        <v>43</v>
      </c>
      <c r="C953" s="222" t="s">
        <v>44</v>
      </c>
    </row>
    <row r="954" spans="1:3" ht="15">
      <c r="A954" s="222">
        <v>16854</v>
      </c>
      <c r="B954" s="223" t="s">
        <v>43</v>
      </c>
      <c r="C954" s="222" t="s">
        <v>44</v>
      </c>
    </row>
    <row r="955" spans="1:3" ht="15">
      <c r="A955" s="222">
        <v>16855</v>
      </c>
      <c r="B955" s="223" t="s">
        <v>41</v>
      </c>
      <c r="C955" s="222" t="s">
        <v>42</v>
      </c>
    </row>
    <row r="956" spans="1:3" ht="15">
      <c r="A956" s="222">
        <v>16856</v>
      </c>
      <c r="B956" s="223" t="s">
        <v>41</v>
      </c>
      <c r="C956" s="222" t="s">
        <v>42</v>
      </c>
    </row>
    <row r="957" spans="1:3" ht="15">
      <c r="A957" s="222">
        <v>16858</v>
      </c>
      <c r="B957" s="223" t="s">
        <v>41</v>
      </c>
      <c r="C957" s="222" t="s">
        <v>42</v>
      </c>
    </row>
    <row r="958" spans="1:3" ht="15">
      <c r="A958" s="222">
        <v>16859</v>
      </c>
      <c r="B958" s="223" t="s">
        <v>43</v>
      </c>
      <c r="C958" s="222" t="s">
        <v>44</v>
      </c>
    </row>
    <row r="959" spans="1:3" ht="15">
      <c r="A959" s="222">
        <v>16860</v>
      </c>
      <c r="B959" s="223" t="s">
        <v>43</v>
      </c>
      <c r="C959" s="222" t="s">
        <v>44</v>
      </c>
    </row>
    <row r="960" spans="1:3" ht="15">
      <c r="A960" s="222">
        <v>16861</v>
      </c>
      <c r="B960" s="223" t="s">
        <v>41</v>
      </c>
      <c r="C960" s="222" t="s">
        <v>42</v>
      </c>
    </row>
    <row r="961" spans="1:3" ht="15">
      <c r="A961" s="222">
        <v>16863</v>
      </c>
      <c r="B961" s="223" t="s">
        <v>41</v>
      </c>
      <c r="C961" s="222" t="s">
        <v>42</v>
      </c>
    </row>
    <row r="962" spans="1:3" ht="15">
      <c r="A962" s="222">
        <v>16864</v>
      </c>
      <c r="B962" s="223" t="s">
        <v>41</v>
      </c>
      <c r="C962" s="222" t="s">
        <v>42</v>
      </c>
    </row>
    <row r="963" spans="1:3" ht="15">
      <c r="A963" s="222">
        <v>16865</v>
      </c>
      <c r="B963" s="223" t="s">
        <v>43</v>
      </c>
      <c r="C963" s="222" t="s">
        <v>44</v>
      </c>
    </row>
    <row r="964" spans="1:3" ht="15">
      <c r="A964" s="222">
        <v>16866</v>
      </c>
      <c r="B964" s="223" t="s">
        <v>43</v>
      </c>
      <c r="C964" s="222" t="s">
        <v>44</v>
      </c>
    </row>
    <row r="965" spans="1:3" ht="15">
      <c r="A965" s="222">
        <v>16868</v>
      </c>
      <c r="B965" s="223" t="s">
        <v>43</v>
      </c>
      <c r="C965" s="222" t="s">
        <v>44</v>
      </c>
    </row>
    <row r="966" spans="1:3" ht="15">
      <c r="A966" s="222">
        <v>16870</v>
      </c>
      <c r="B966" s="223" t="s">
        <v>43</v>
      </c>
      <c r="C966" s="222" t="s">
        <v>44</v>
      </c>
    </row>
    <row r="967" spans="1:3" ht="15">
      <c r="A967" s="222">
        <v>16871</v>
      </c>
      <c r="B967" s="223" t="s">
        <v>43</v>
      </c>
      <c r="C967" s="222" t="s">
        <v>44</v>
      </c>
    </row>
    <row r="968" spans="1:3" ht="15">
      <c r="A968" s="222">
        <v>16872</v>
      </c>
      <c r="B968" s="223" t="s">
        <v>43</v>
      </c>
      <c r="C968" s="222" t="s">
        <v>44</v>
      </c>
    </row>
    <row r="969" spans="1:3" ht="15">
      <c r="A969" s="222">
        <v>16873</v>
      </c>
      <c r="B969" s="223" t="s">
        <v>41</v>
      </c>
      <c r="C969" s="222" t="s">
        <v>42</v>
      </c>
    </row>
    <row r="970" spans="1:3" ht="15">
      <c r="A970" s="222">
        <v>16874</v>
      </c>
      <c r="B970" s="223" t="s">
        <v>43</v>
      </c>
      <c r="C970" s="222" t="s">
        <v>44</v>
      </c>
    </row>
    <row r="971" spans="1:3" ht="15">
      <c r="A971" s="222">
        <v>16875</v>
      </c>
      <c r="B971" s="223" t="s">
        <v>43</v>
      </c>
      <c r="C971" s="222" t="s">
        <v>44</v>
      </c>
    </row>
    <row r="972" spans="1:3" ht="15">
      <c r="A972" s="222">
        <v>16876</v>
      </c>
      <c r="B972" s="223" t="s">
        <v>41</v>
      </c>
      <c r="C972" s="222" t="s">
        <v>42</v>
      </c>
    </row>
    <row r="973" spans="1:3" ht="15">
      <c r="A973" s="222">
        <v>16877</v>
      </c>
      <c r="B973" s="223" t="s">
        <v>43</v>
      </c>
      <c r="C973" s="222" t="s">
        <v>44</v>
      </c>
    </row>
    <row r="974" spans="1:3" ht="15">
      <c r="A974" s="222">
        <v>16878</v>
      </c>
      <c r="B974" s="223" t="s">
        <v>41</v>
      </c>
      <c r="C974" s="222" t="s">
        <v>42</v>
      </c>
    </row>
    <row r="975" spans="1:3" ht="15">
      <c r="A975" s="222">
        <v>16879</v>
      </c>
      <c r="B975" s="223" t="s">
        <v>41</v>
      </c>
      <c r="C975" s="222" t="s">
        <v>42</v>
      </c>
    </row>
    <row r="976" spans="1:3" ht="15">
      <c r="A976" s="222">
        <v>16881</v>
      </c>
      <c r="B976" s="223" t="s">
        <v>41</v>
      </c>
      <c r="C976" s="222" t="s">
        <v>42</v>
      </c>
    </row>
    <row r="977" spans="1:3" ht="15">
      <c r="A977" s="222">
        <v>16882</v>
      </c>
      <c r="B977" s="223" t="s">
        <v>43</v>
      </c>
      <c r="C977" s="222" t="s">
        <v>44</v>
      </c>
    </row>
    <row r="978" spans="1:3" ht="15">
      <c r="A978" s="222">
        <v>16901</v>
      </c>
      <c r="B978" s="223" t="s">
        <v>41</v>
      </c>
      <c r="C978" s="222" t="s">
        <v>42</v>
      </c>
    </row>
    <row r="979" spans="1:3" ht="15">
      <c r="A979" s="222">
        <v>16910</v>
      </c>
      <c r="B979" s="223" t="s">
        <v>45</v>
      </c>
      <c r="C979" s="222" t="s">
        <v>46</v>
      </c>
    </row>
    <row r="980" spans="1:3" ht="15">
      <c r="A980" s="222">
        <v>16911</v>
      </c>
      <c r="B980" s="223" t="s">
        <v>41</v>
      </c>
      <c r="C980" s="222" t="s">
        <v>42</v>
      </c>
    </row>
    <row r="981" spans="1:3" ht="15">
      <c r="A981" s="222">
        <v>16912</v>
      </c>
      <c r="B981" s="223" t="s">
        <v>41</v>
      </c>
      <c r="C981" s="222" t="s">
        <v>42</v>
      </c>
    </row>
    <row r="982" spans="1:3" ht="15">
      <c r="A982" s="222">
        <v>16914</v>
      </c>
      <c r="B982" s="223" t="s">
        <v>45</v>
      </c>
      <c r="C982" s="222" t="s">
        <v>46</v>
      </c>
    </row>
    <row r="983" spans="1:3" ht="15">
      <c r="A983" s="222">
        <v>16915</v>
      </c>
      <c r="B983" s="223" t="s">
        <v>41</v>
      </c>
      <c r="C983" s="222" t="s">
        <v>42</v>
      </c>
    </row>
    <row r="984" spans="1:3" ht="15">
      <c r="A984" s="222">
        <v>16917</v>
      </c>
      <c r="B984" s="223" t="s">
        <v>41</v>
      </c>
      <c r="C984" s="222" t="s">
        <v>42</v>
      </c>
    </row>
    <row r="985" spans="1:3" ht="15">
      <c r="A985" s="222">
        <v>16918</v>
      </c>
      <c r="B985" s="223" t="s">
        <v>41</v>
      </c>
      <c r="C985" s="222" t="s">
        <v>42</v>
      </c>
    </row>
    <row r="986" spans="1:3" ht="15">
      <c r="A986" s="222">
        <v>16920</v>
      </c>
      <c r="B986" s="223" t="s">
        <v>41</v>
      </c>
      <c r="C986" s="222" t="s">
        <v>42</v>
      </c>
    </row>
    <row r="987" spans="1:3" ht="15">
      <c r="A987" s="222">
        <v>16921</v>
      </c>
      <c r="B987" s="223" t="s">
        <v>41</v>
      </c>
      <c r="C987" s="222" t="s">
        <v>42</v>
      </c>
    </row>
    <row r="988" spans="1:3" ht="15">
      <c r="A988" s="222">
        <v>16922</v>
      </c>
      <c r="B988" s="223" t="s">
        <v>41</v>
      </c>
      <c r="C988" s="222" t="s">
        <v>42</v>
      </c>
    </row>
    <row r="989" spans="1:3" ht="15">
      <c r="A989" s="222">
        <v>16923</v>
      </c>
      <c r="B989" s="223" t="s">
        <v>41</v>
      </c>
      <c r="C989" s="222" t="s">
        <v>42</v>
      </c>
    </row>
    <row r="990" spans="1:3" ht="15">
      <c r="A990" s="222">
        <v>16925</v>
      </c>
      <c r="B990" s="223" t="s">
        <v>45</v>
      </c>
      <c r="C990" s="222" t="s">
        <v>46</v>
      </c>
    </row>
    <row r="991" spans="1:3" ht="15">
      <c r="A991" s="222">
        <v>16926</v>
      </c>
      <c r="B991" s="223" t="s">
        <v>45</v>
      </c>
      <c r="C991" s="222" t="s">
        <v>46</v>
      </c>
    </row>
    <row r="992" spans="1:3" ht="15">
      <c r="A992" s="222">
        <v>16927</v>
      </c>
      <c r="B992" s="223" t="s">
        <v>41</v>
      </c>
      <c r="C992" s="222" t="s">
        <v>42</v>
      </c>
    </row>
    <row r="993" spans="1:3" ht="15">
      <c r="A993" s="222">
        <v>16928</v>
      </c>
      <c r="B993" s="223" t="s">
        <v>41</v>
      </c>
      <c r="C993" s="222" t="s">
        <v>42</v>
      </c>
    </row>
    <row r="994" spans="1:3" ht="15">
      <c r="A994" s="222">
        <v>16929</v>
      </c>
      <c r="B994" s="223" t="s">
        <v>41</v>
      </c>
      <c r="C994" s="222" t="s">
        <v>42</v>
      </c>
    </row>
    <row r="995" spans="1:3" ht="15">
      <c r="A995" s="222">
        <v>16930</v>
      </c>
      <c r="B995" s="223" t="s">
        <v>41</v>
      </c>
      <c r="C995" s="222" t="s">
        <v>42</v>
      </c>
    </row>
    <row r="996" spans="1:3" ht="15">
      <c r="A996" s="222">
        <v>16932</v>
      </c>
      <c r="B996" s="223" t="s">
        <v>41</v>
      </c>
      <c r="C996" s="222" t="s">
        <v>42</v>
      </c>
    </row>
    <row r="997" spans="1:3" ht="15">
      <c r="A997" s="222">
        <v>16933</v>
      </c>
      <c r="B997" s="223" t="s">
        <v>41</v>
      </c>
      <c r="C997" s="222" t="s">
        <v>42</v>
      </c>
    </row>
    <row r="998" spans="1:3" ht="15">
      <c r="A998" s="222">
        <v>16935</v>
      </c>
      <c r="B998" s="223" t="s">
        <v>41</v>
      </c>
      <c r="C998" s="222" t="s">
        <v>42</v>
      </c>
    </row>
    <row r="999" spans="1:3" ht="15">
      <c r="A999" s="222">
        <v>16936</v>
      </c>
      <c r="B999" s="223" t="s">
        <v>41</v>
      </c>
      <c r="C999" s="222" t="s">
        <v>42</v>
      </c>
    </row>
    <row r="1000" spans="1:3" ht="15">
      <c r="A1000" s="222">
        <v>16937</v>
      </c>
      <c r="B1000" s="223" t="s">
        <v>41</v>
      </c>
      <c r="C1000" s="222" t="s">
        <v>42</v>
      </c>
    </row>
    <row r="1001" spans="1:3" ht="15">
      <c r="A1001" s="222">
        <v>16938</v>
      </c>
      <c r="B1001" s="223" t="s">
        <v>41</v>
      </c>
      <c r="C1001" s="222" t="s">
        <v>42</v>
      </c>
    </row>
    <row r="1002" spans="1:3" ht="15">
      <c r="A1002" s="222">
        <v>16939</v>
      </c>
      <c r="B1002" s="223" t="s">
        <v>41</v>
      </c>
      <c r="C1002" s="222" t="s">
        <v>42</v>
      </c>
    </row>
    <row r="1003" spans="1:3" ht="15">
      <c r="A1003" s="222">
        <v>16940</v>
      </c>
      <c r="B1003" s="223" t="s">
        <v>41</v>
      </c>
      <c r="C1003" s="222" t="s">
        <v>42</v>
      </c>
    </row>
    <row r="1004" spans="1:3" ht="15">
      <c r="A1004" s="222">
        <v>16941</v>
      </c>
      <c r="B1004" s="223" t="s">
        <v>41</v>
      </c>
      <c r="C1004" s="222" t="s">
        <v>42</v>
      </c>
    </row>
    <row r="1005" spans="1:3" ht="15">
      <c r="A1005" s="222">
        <v>16942</v>
      </c>
      <c r="B1005" s="223" t="s">
        <v>41</v>
      </c>
      <c r="C1005" s="222" t="s">
        <v>42</v>
      </c>
    </row>
    <row r="1006" spans="1:3" ht="15">
      <c r="A1006" s="222">
        <v>16943</v>
      </c>
      <c r="B1006" s="223" t="s">
        <v>41</v>
      </c>
      <c r="C1006" s="222" t="s">
        <v>42</v>
      </c>
    </row>
    <row r="1007" spans="1:3" ht="15">
      <c r="A1007" s="222">
        <v>16945</v>
      </c>
      <c r="B1007" s="223" t="s">
        <v>45</v>
      </c>
      <c r="C1007" s="222" t="s">
        <v>46</v>
      </c>
    </row>
    <row r="1008" spans="1:3" ht="15">
      <c r="A1008" s="222">
        <v>16946</v>
      </c>
      <c r="B1008" s="223" t="s">
        <v>41</v>
      </c>
      <c r="C1008" s="222" t="s">
        <v>42</v>
      </c>
    </row>
    <row r="1009" spans="1:3" ht="15">
      <c r="A1009" s="222">
        <v>16947</v>
      </c>
      <c r="B1009" s="223" t="s">
        <v>45</v>
      </c>
      <c r="C1009" s="222" t="s">
        <v>46</v>
      </c>
    </row>
    <row r="1010" spans="1:3" ht="15">
      <c r="A1010" s="222">
        <v>16948</v>
      </c>
      <c r="B1010" s="223" t="s">
        <v>41</v>
      </c>
      <c r="C1010" s="222" t="s">
        <v>42</v>
      </c>
    </row>
    <row r="1011" spans="1:3" ht="15">
      <c r="A1011" s="222">
        <v>16950</v>
      </c>
      <c r="B1011" s="223" t="s">
        <v>41</v>
      </c>
      <c r="C1011" s="222" t="s">
        <v>42</v>
      </c>
    </row>
    <row r="1012" spans="1:3" ht="15">
      <c r="A1012" s="222">
        <v>17001</v>
      </c>
      <c r="B1012" s="223" t="s">
        <v>37</v>
      </c>
      <c r="C1012" s="222" t="s">
        <v>38</v>
      </c>
    </row>
    <row r="1013" spans="1:3" ht="15">
      <c r="A1013" s="222">
        <v>17002</v>
      </c>
      <c r="B1013" s="223" t="s">
        <v>43</v>
      </c>
      <c r="C1013" s="222" t="s">
        <v>44</v>
      </c>
    </row>
    <row r="1014" spans="1:3" ht="15">
      <c r="A1014" s="222">
        <v>17003</v>
      </c>
      <c r="B1014" s="223" t="s">
        <v>47</v>
      </c>
      <c r="C1014" s="222" t="s">
        <v>48</v>
      </c>
    </row>
    <row r="1015" spans="1:3" ht="15">
      <c r="A1015" s="222">
        <v>17004</v>
      </c>
      <c r="B1015" s="223" t="s">
        <v>43</v>
      </c>
      <c r="C1015" s="222" t="s">
        <v>44</v>
      </c>
    </row>
    <row r="1016" spans="1:3" ht="15">
      <c r="A1016" s="222">
        <v>17005</v>
      </c>
      <c r="B1016" s="223" t="s">
        <v>43</v>
      </c>
      <c r="C1016" s="222" t="s">
        <v>44</v>
      </c>
    </row>
    <row r="1017" spans="1:3" ht="15">
      <c r="A1017" s="222">
        <v>17006</v>
      </c>
      <c r="B1017" s="223" t="s">
        <v>43</v>
      </c>
      <c r="C1017" s="222" t="s">
        <v>44</v>
      </c>
    </row>
    <row r="1018" spans="1:3" ht="15">
      <c r="A1018" s="222">
        <v>17007</v>
      </c>
      <c r="B1018" s="223" t="s">
        <v>37</v>
      </c>
      <c r="C1018" s="222" t="s">
        <v>38</v>
      </c>
    </row>
    <row r="1019" spans="1:3" ht="15">
      <c r="A1019" s="222">
        <v>17008</v>
      </c>
      <c r="B1019" s="223" t="s">
        <v>37</v>
      </c>
      <c r="C1019" s="222" t="s">
        <v>38</v>
      </c>
    </row>
    <row r="1020" spans="1:3" ht="15">
      <c r="A1020" s="222">
        <v>17009</v>
      </c>
      <c r="B1020" s="223" t="s">
        <v>43</v>
      </c>
      <c r="C1020" s="222" t="s">
        <v>44</v>
      </c>
    </row>
    <row r="1021" spans="1:3" ht="15">
      <c r="A1021" s="222">
        <v>17010</v>
      </c>
      <c r="B1021" s="223" t="s">
        <v>47</v>
      </c>
      <c r="C1021" s="222" t="s">
        <v>48</v>
      </c>
    </row>
    <row r="1022" spans="1:3" ht="15">
      <c r="A1022" s="222">
        <v>17011</v>
      </c>
      <c r="B1022" s="223" t="s">
        <v>37</v>
      </c>
      <c r="C1022" s="222" t="s">
        <v>38</v>
      </c>
    </row>
    <row r="1023" spans="1:3" ht="15">
      <c r="A1023" s="222">
        <v>17012</v>
      </c>
      <c r="B1023" s="223" t="s">
        <v>37</v>
      </c>
      <c r="C1023" s="222" t="s">
        <v>38</v>
      </c>
    </row>
    <row r="1024" spans="1:3" ht="15">
      <c r="A1024" s="222">
        <v>17013</v>
      </c>
      <c r="B1024" s="223" t="s">
        <v>37</v>
      </c>
      <c r="C1024" s="222" t="s">
        <v>38</v>
      </c>
    </row>
    <row r="1025" spans="1:3" ht="15">
      <c r="A1025" s="222">
        <v>17014</v>
      </c>
      <c r="B1025" s="223" t="s">
        <v>43</v>
      </c>
      <c r="C1025" s="222" t="s">
        <v>44</v>
      </c>
    </row>
    <row r="1026" spans="1:3" ht="15">
      <c r="A1026" s="222">
        <v>17015</v>
      </c>
      <c r="B1026" s="223" t="s">
        <v>37</v>
      </c>
      <c r="C1026" s="222" t="s">
        <v>38</v>
      </c>
    </row>
    <row r="1027" spans="1:3" ht="15">
      <c r="A1027" s="222">
        <v>17016</v>
      </c>
      <c r="B1027" s="223" t="s">
        <v>47</v>
      </c>
      <c r="C1027" s="222" t="s">
        <v>48</v>
      </c>
    </row>
    <row r="1028" spans="1:3" ht="15">
      <c r="A1028" s="222">
        <v>17017</v>
      </c>
      <c r="B1028" s="223" t="s">
        <v>43</v>
      </c>
      <c r="C1028" s="222" t="s">
        <v>44</v>
      </c>
    </row>
    <row r="1029" spans="1:3" ht="15">
      <c r="A1029" s="222">
        <v>17018</v>
      </c>
      <c r="B1029" s="223" t="s">
        <v>43</v>
      </c>
      <c r="C1029" s="222" t="s">
        <v>44</v>
      </c>
    </row>
    <row r="1030" spans="1:3" ht="15">
      <c r="A1030" s="222">
        <v>17019</v>
      </c>
      <c r="B1030" s="223" t="s">
        <v>37</v>
      </c>
      <c r="C1030" s="222" t="s">
        <v>38</v>
      </c>
    </row>
    <row r="1031" spans="1:3" ht="15">
      <c r="A1031" s="222">
        <v>17020</v>
      </c>
      <c r="B1031" s="223" t="s">
        <v>43</v>
      </c>
      <c r="C1031" s="222" t="s">
        <v>44</v>
      </c>
    </row>
    <row r="1032" spans="1:3" ht="15">
      <c r="A1032" s="222">
        <v>17021</v>
      </c>
      <c r="B1032" s="223" t="s">
        <v>43</v>
      </c>
      <c r="C1032" s="222" t="s">
        <v>44</v>
      </c>
    </row>
    <row r="1033" spans="1:3" ht="15">
      <c r="A1033" s="222">
        <v>17022</v>
      </c>
      <c r="B1033" s="223" t="s">
        <v>47</v>
      </c>
      <c r="C1033" s="222" t="s">
        <v>48</v>
      </c>
    </row>
    <row r="1034" spans="1:3" ht="15">
      <c r="A1034" s="222">
        <v>17023</v>
      </c>
      <c r="B1034" s="223" t="s">
        <v>43</v>
      </c>
      <c r="C1034" s="222" t="s">
        <v>44</v>
      </c>
    </row>
    <row r="1035" spans="1:3" ht="15">
      <c r="A1035" s="222">
        <v>17024</v>
      </c>
      <c r="B1035" s="223" t="s">
        <v>43</v>
      </c>
      <c r="C1035" s="222" t="s">
        <v>44</v>
      </c>
    </row>
    <row r="1036" spans="1:3" ht="15">
      <c r="A1036" s="222">
        <v>17025</v>
      </c>
      <c r="B1036" s="223" t="s">
        <v>37</v>
      </c>
      <c r="C1036" s="222" t="s">
        <v>38</v>
      </c>
    </row>
    <row r="1037" spans="1:3" ht="15">
      <c r="A1037" s="222">
        <v>17026</v>
      </c>
      <c r="B1037" s="223" t="s">
        <v>47</v>
      </c>
      <c r="C1037" s="222" t="s">
        <v>48</v>
      </c>
    </row>
    <row r="1038" spans="1:3" ht="15">
      <c r="A1038" s="222">
        <v>17027</v>
      </c>
      <c r="B1038" s="223" t="s">
        <v>37</v>
      </c>
      <c r="C1038" s="222" t="s">
        <v>38</v>
      </c>
    </row>
    <row r="1039" spans="1:3" ht="15">
      <c r="A1039" s="222">
        <v>17028</v>
      </c>
      <c r="B1039" s="223" t="s">
        <v>43</v>
      </c>
      <c r="C1039" s="222" t="s">
        <v>44</v>
      </c>
    </row>
    <row r="1040" spans="1:3" ht="15">
      <c r="A1040" s="222">
        <v>17029</v>
      </c>
      <c r="B1040" s="223" t="s">
        <v>43</v>
      </c>
      <c r="C1040" s="222" t="s">
        <v>44</v>
      </c>
    </row>
    <row r="1041" spans="1:3" ht="15">
      <c r="A1041" s="222">
        <v>17030</v>
      </c>
      <c r="B1041" s="223" t="s">
        <v>43</v>
      </c>
      <c r="C1041" s="222" t="s">
        <v>44</v>
      </c>
    </row>
    <row r="1042" spans="1:3" ht="15">
      <c r="A1042" s="222">
        <v>17032</v>
      </c>
      <c r="B1042" s="223" t="s">
        <v>43</v>
      </c>
      <c r="C1042" s="222" t="s">
        <v>44</v>
      </c>
    </row>
    <row r="1043" spans="1:3" ht="15">
      <c r="A1043" s="222">
        <v>17033</v>
      </c>
      <c r="B1043" s="223" t="s">
        <v>43</v>
      </c>
      <c r="C1043" s="222" t="s">
        <v>44</v>
      </c>
    </row>
    <row r="1044" spans="1:3" ht="15">
      <c r="A1044" s="222">
        <v>17034</v>
      </c>
      <c r="B1044" s="223" t="s">
        <v>43</v>
      </c>
      <c r="C1044" s="222" t="s">
        <v>44</v>
      </c>
    </row>
    <row r="1045" spans="1:3" ht="15">
      <c r="A1045" s="222">
        <v>17035</v>
      </c>
      <c r="B1045" s="223" t="s">
        <v>43</v>
      </c>
      <c r="C1045" s="222" t="s">
        <v>44</v>
      </c>
    </row>
    <row r="1046" spans="1:3" ht="15">
      <c r="A1046" s="222">
        <v>17036</v>
      </c>
      <c r="B1046" s="223" t="s">
        <v>43</v>
      </c>
      <c r="C1046" s="222" t="s">
        <v>44</v>
      </c>
    </row>
    <row r="1047" spans="1:3" ht="15">
      <c r="A1047" s="222">
        <v>17037</v>
      </c>
      <c r="B1047" s="223" t="s">
        <v>43</v>
      </c>
      <c r="C1047" s="222" t="s">
        <v>44</v>
      </c>
    </row>
    <row r="1048" spans="1:3" ht="15">
      <c r="A1048" s="222">
        <v>17038</v>
      </c>
      <c r="B1048" s="223" t="s">
        <v>47</v>
      </c>
      <c r="C1048" s="222" t="s">
        <v>48</v>
      </c>
    </row>
    <row r="1049" spans="1:3" ht="15">
      <c r="A1049" s="222">
        <v>17039</v>
      </c>
      <c r="B1049" s="223" t="s">
        <v>47</v>
      </c>
      <c r="C1049" s="222" t="s">
        <v>48</v>
      </c>
    </row>
    <row r="1050" spans="1:3" ht="15">
      <c r="A1050" s="222">
        <v>17040</v>
      </c>
      <c r="B1050" s="223" t="s">
        <v>43</v>
      </c>
      <c r="C1050" s="222" t="s">
        <v>44</v>
      </c>
    </row>
    <row r="1051" spans="1:3" ht="15">
      <c r="A1051" s="222">
        <v>17041</v>
      </c>
      <c r="B1051" s="223" t="s">
        <v>47</v>
      </c>
      <c r="C1051" s="222" t="s">
        <v>48</v>
      </c>
    </row>
    <row r="1052" spans="1:3" ht="15">
      <c r="A1052" s="222">
        <v>17042</v>
      </c>
      <c r="B1052" s="223" t="s">
        <v>47</v>
      </c>
      <c r="C1052" s="222" t="s">
        <v>48</v>
      </c>
    </row>
    <row r="1053" spans="1:3" ht="15">
      <c r="A1053" s="222">
        <v>17043</v>
      </c>
      <c r="B1053" s="223" t="s">
        <v>37</v>
      </c>
      <c r="C1053" s="222" t="s">
        <v>38</v>
      </c>
    </row>
    <row r="1054" spans="1:3" ht="15">
      <c r="A1054" s="222">
        <v>17044</v>
      </c>
      <c r="B1054" s="223" t="s">
        <v>43</v>
      </c>
      <c r="C1054" s="222" t="s">
        <v>44</v>
      </c>
    </row>
    <row r="1055" spans="1:3" ht="15">
      <c r="A1055" s="222">
        <v>17045</v>
      </c>
      <c r="B1055" s="223" t="s">
        <v>43</v>
      </c>
      <c r="C1055" s="222" t="s">
        <v>44</v>
      </c>
    </row>
    <row r="1056" spans="1:3" ht="15">
      <c r="A1056" s="222">
        <v>17046</v>
      </c>
      <c r="B1056" s="223" t="s">
        <v>47</v>
      </c>
      <c r="C1056" s="222" t="s">
        <v>48</v>
      </c>
    </row>
    <row r="1057" spans="1:3" ht="15">
      <c r="A1057" s="222">
        <v>17047</v>
      </c>
      <c r="B1057" s="223" t="s">
        <v>43</v>
      </c>
      <c r="C1057" s="222" t="s">
        <v>44</v>
      </c>
    </row>
    <row r="1058" spans="1:3" ht="15">
      <c r="A1058" s="222">
        <v>17048</v>
      </c>
      <c r="B1058" s="223" t="s">
        <v>43</v>
      </c>
      <c r="C1058" s="222" t="s">
        <v>44</v>
      </c>
    </row>
    <row r="1059" spans="1:3" ht="15">
      <c r="A1059" s="222">
        <v>17049</v>
      </c>
      <c r="B1059" s="223" t="s">
        <v>43</v>
      </c>
      <c r="C1059" s="222" t="s">
        <v>44</v>
      </c>
    </row>
    <row r="1060" spans="1:3" ht="15">
      <c r="A1060" s="222">
        <v>17050</v>
      </c>
      <c r="B1060" s="223" t="s">
        <v>37</v>
      </c>
      <c r="C1060" s="222" t="s">
        <v>38</v>
      </c>
    </row>
    <row r="1061" spans="1:3" ht="15">
      <c r="A1061" s="222">
        <v>17051</v>
      </c>
      <c r="B1061" s="223" t="s">
        <v>43</v>
      </c>
      <c r="C1061" s="222" t="s">
        <v>44</v>
      </c>
    </row>
    <row r="1062" spans="1:3" ht="15">
      <c r="A1062" s="222">
        <v>17052</v>
      </c>
      <c r="B1062" s="223" t="s">
        <v>43</v>
      </c>
      <c r="C1062" s="222" t="s">
        <v>44</v>
      </c>
    </row>
    <row r="1063" spans="1:3" ht="15">
      <c r="A1063" s="222">
        <v>17053</v>
      </c>
      <c r="B1063" s="223" t="s">
        <v>43</v>
      </c>
      <c r="C1063" s="222" t="s">
        <v>44</v>
      </c>
    </row>
    <row r="1064" spans="1:3" ht="15">
      <c r="A1064" s="222">
        <v>17054</v>
      </c>
      <c r="B1064" s="223" t="s">
        <v>43</v>
      </c>
      <c r="C1064" s="222" t="s">
        <v>44</v>
      </c>
    </row>
    <row r="1065" spans="1:3" ht="15">
      <c r="A1065" s="222">
        <v>17055</v>
      </c>
      <c r="B1065" s="223" t="s">
        <v>37</v>
      </c>
      <c r="C1065" s="222" t="s">
        <v>38</v>
      </c>
    </row>
    <row r="1066" spans="1:3" ht="15">
      <c r="A1066" s="222">
        <v>17056</v>
      </c>
      <c r="B1066" s="223" t="s">
        <v>43</v>
      </c>
      <c r="C1066" s="222" t="s">
        <v>44</v>
      </c>
    </row>
    <row r="1067" spans="1:3" ht="15">
      <c r="A1067" s="222">
        <v>17057</v>
      </c>
      <c r="B1067" s="223" t="s">
        <v>43</v>
      </c>
      <c r="C1067" s="222" t="s">
        <v>44</v>
      </c>
    </row>
    <row r="1068" spans="1:3" ht="15">
      <c r="A1068" s="222">
        <v>17058</v>
      </c>
      <c r="B1068" s="223" t="s">
        <v>43</v>
      </c>
      <c r="C1068" s="222" t="s">
        <v>44</v>
      </c>
    </row>
    <row r="1069" spans="1:3" ht="15">
      <c r="A1069" s="222">
        <v>17059</v>
      </c>
      <c r="B1069" s="223" t="s">
        <v>43</v>
      </c>
      <c r="C1069" s="222" t="s">
        <v>44</v>
      </c>
    </row>
    <row r="1070" spans="1:3" ht="15">
      <c r="A1070" s="222">
        <v>17060</v>
      </c>
      <c r="B1070" s="223" t="s">
        <v>43</v>
      </c>
      <c r="C1070" s="222" t="s">
        <v>44</v>
      </c>
    </row>
    <row r="1071" spans="1:3" ht="15">
      <c r="A1071" s="222">
        <v>17061</v>
      </c>
      <c r="B1071" s="223" t="s">
        <v>43</v>
      </c>
      <c r="C1071" s="222" t="s">
        <v>44</v>
      </c>
    </row>
    <row r="1072" spans="1:3" ht="15">
      <c r="A1072" s="222">
        <v>17062</v>
      </c>
      <c r="B1072" s="223" t="s">
        <v>43</v>
      </c>
      <c r="C1072" s="222" t="s">
        <v>44</v>
      </c>
    </row>
    <row r="1073" spans="1:3" ht="15">
      <c r="A1073" s="222">
        <v>17063</v>
      </c>
      <c r="B1073" s="223" t="s">
        <v>43</v>
      </c>
      <c r="C1073" s="222" t="s">
        <v>44</v>
      </c>
    </row>
    <row r="1074" spans="1:3" ht="15">
      <c r="A1074" s="222">
        <v>17064</v>
      </c>
      <c r="B1074" s="223" t="s">
        <v>47</v>
      </c>
      <c r="C1074" s="222" t="s">
        <v>48</v>
      </c>
    </row>
    <row r="1075" spans="1:3" ht="15">
      <c r="A1075" s="222">
        <v>17065</v>
      </c>
      <c r="B1075" s="223" t="s">
        <v>37</v>
      </c>
      <c r="C1075" s="222" t="s">
        <v>38</v>
      </c>
    </row>
    <row r="1076" spans="1:3" ht="15">
      <c r="A1076" s="222">
        <v>17066</v>
      </c>
      <c r="B1076" s="223" t="s">
        <v>43</v>
      </c>
      <c r="C1076" s="222" t="s">
        <v>44</v>
      </c>
    </row>
    <row r="1077" spans="1:3" ht="15">
      <c r="A1077" s="222">
        <v>17067</v>
      </c>
      <c r="B1077" s="223" t="s">
        <v>47</v>
      </c>
      <c r="C1077" s="222" t="s">
        <v>48</v>
      </c>
    </row>
    <row r="1078" spans="1:3" ht="15">
      <c r="A1078" s="222">
        <v>17068</v>
      </c>
      <c r="B1078" s="223" t="s">
        <v>43</v>
      </c>
      <c r="C1078" s="222" t="s">
        <v>44</v>
      </c>
    </row>
    <row r="1079" spans="1:3" ht="15">
      <c r="A1079" s="222">
        <v>17069</v>
      </c>
      <c r="B1079" s="223" t="s">
        <v>43</v>
      </c>
      <c r="C1079" s="222" t="s">
        <v>44</v>
      </c>
    </row>
    <row r="1080" spans="1:3" ht="15">
      <c r="A1080" s="222">
        <v>17070</v>
      </c>
      <c r="B1080" s="223" t="s">
        <v>37</v>
      </c>
      <c r="C1080" s="222" t="s">
        <v>38</v>
      </c>
    </row>
    <row r="1081" spans="1:3" ht="15">
      <c r="A1081" s="222">
        <v>17071</v>
      </c>
      <c r="B1081" s="223" t="s">
        <v>43</v>
      </c>
      <c r="C1081" s="222" t="s">
        <v>44</v>
      </c>
    </row>
    <row r="1082" spans="1:3" ht="15">
      <c r="A1082" s="222">
        <v>17072</v>
      </c>
      <c r="B1082" s="223" t="s">
        <v>37</v>
      </c>
      <c r="C1082" s="222" t="s">
        <v>38</v>
      </c>
    </row>
    <row r="1083" spans="1:3" ht="15">
      <c r="A1083" s="222">
        <v>17073</v>
      </c>
      <c r="B1083" s="223" t="s">
        <v>47</v>
      </c>
      <c r="C1083" s="222" t="s">
        <v>48</v>
      </c>
    </row>
    <row r="1084" spans="1:3" ht="15">
      <c r="A1084" s="222">
        <v>17074</v>
      </c>
      <c r="B1084" s="223" t="s">
        <v>43</v>
      </c>
      <c r="C1084" s="222" t="s">
        <v>44</v>
      </c>
    </row>
    <row r="1085" spans="1:3" ht="15">
      <c r="A1085" s="222">
        <v>17075</v>
      </c>
      <c r="B1085" s="223" t="s">
        <v>43</v>
      </c>
      <c r="C1085" s="222" t="s">
        <v>44</v>
      </c>
    </row>
    <row r="1086" spans="1:3" ht="15">
      <c r="A1086" s="222">
        <v>17076</v>
      </c>
      <c r="B1086" s="223" t="s">
        <v>43</v>
      </c>
      <c r="C1086" s="222" t="s">
        <v>44</v>
      </c>
    </row>
    <row r="1087" spans="1:3" ht="15">
      <c r="A1087" s="222">
        <v>17077</v>
      </c>
      <c r="B1087" s="223" t="s">
        <v>47</v>
      </c>
      <c r="C1087" s="222" t="s">
        <v>48</v>
      </c>
    </row>
    <row r="1088" spans="1:3" ht="15">
      <c r="A1088" s="222">
        <v>17078</v>
      </c>
      <c r="B1088" s="223" t="s">
        <v>47</v>
      </c>
      <c r="C1088" s="222" t="s">
        <v>48</v>
      </c>
    </row>
    <row r="1089" spans="1:3" ht="15">
      <c r="A1089" s="222">
        <v>17080</v>
      </c>
      <c r="B1089" s="223" t="s">
        <v>43</v>
      </c>
      <c r="C1089" s="222" t="s">
        <v>44</v>
      </c>
    </row>
    <row r="1090" spans="1:3" ht="15">
      <c r="A1090" s="222">
        <v>17081</v>
      </c>
      <c r="B1090" s="223" t="s">
        <v>37</v>
      </c>
      <c r="C1090" s="222" t="s">
        <v>38</v>
      </c>
    </row>
    <row r="1091" spans="1:3" ht="15">
      <c r="A1091" s="222">
        <v>17082</v>
      </c>
      <c r="B1091" s="223" t="s">
        <v>43</v>
      </c>
      <c r="C1091" s="222" t="s">
        <v>44</v>
      </c>
    </row>
    <row r="1092" spans="1:3" ht="15">
      <c r="A1092" s="222">
        <v>17083</v>
      </c>
      <c r="B1092" s="223" t="s">
        <v>47</v>
      </c>
      <c r="C1092" s="222" t="s">
        <v>48</v>
      </c>
    </row>
    <row r="1093" spans="1:3" ht="15">
      <c r="A1093" s="222">
        <v>17084</v>
      </c>
      <c r="B1093" s="223" t="s">
        <v>43</v>
      </c>
      <c r="C1093" s="222" t="s">
        <v>44</v>
      </c>
    </row>
    <row r="1094" spans="1:3" ht="15">
      <c r="A1094" s="222">
        <v>17085</v>
      </c>
      <c r="B1094" s="223" t="s">
        <v>47</v>
      </c>
      <c r="C1094" s="222" t="s">
        <v>48</v>
      </c>
    </row>
    <row r="1095" spans="1:3" ht="15">
      <c r="A1095" s="222">
        <v>17086</v>
      </c>
      <c r="B1095" s="223" t="s">
        <v>43</v>
      </c>
      <c r="C1095" s="222" t="s">
        <v>44</v>
      </c>
    </row>
    <row r="1096" spans="1:3" ht="15">
      <c r="A1096" s="222">
        <v>17087</v>
      </c>
      <c r="B1096" s="223" t="s">
        <v>47</v>
      </c>
      <c r="C1096" s="222" t="s">
        <v>48</v>
      </c>
    </row>
    <row r="1097" spans="1:3" ht="15">
      <c r="A1097" s="222">
        <v>17088</v>
      </c>
      <c r="B1097" s="223" t="s">
        <v>47</v>
      </c>
      <c r="C1097" s="222" t="s">
        <v>48</v>
      </c>
    </row>
    <row r="1098" spans="1:3" ht="15">
      <c r="A1098" s="222">
        <v>17089</v>
      </c>
      <c r="B1098" s="223" t="s">
        <v>37</v>
      </c>
      <c r="C1098" s="222" t="s">
        <v>38</v>
      </c>
    </row>
    <row r="1099" spans="1:3" ht="15">
      <c r="A1099" s="222">
        <v>17090</v>
      </c>
      <c r="B1099" s="223" t="s">
        <v>43</v>
      </c>
      <c r="C1099" s="222" t="s">
        <v>44</v>
      </c>
    </row>
    <row r="1100" spans="1:3" ht="15">
      <c r="A1100" s="222">
        <v>17091</v>
      </c>
      <c r="B1100" s="223" t="s">
        <v>47</v>
      </c>
      <c r="C1100" s="222" t="s">
        <v>48</v>
      </c>
    </row>
    <row r="1101" spans="1:3" ht="15">
      <c r="A1101" s="222">
        <v>17093</v>
      </c>
      <c r="B1101" s="223" t="s">
        <v>37</v>
      </c>
      <c r="C1101" s="222" t="s">
        <v>38</v>
      </c>
    </row>
    <row r="1102" spans="1:3" ht="15">
      <c r="A1102" s="222">
        <v>17094</v>
      </c>
      <c r="B1102" s="223" t="s">
        <v>43</v>
      </c>
      <c r="C1102" s="222" t="s">
        <v>44</v>
      </c>
    </row>
    <row r="1103" spans="1:3" ht="15">
      <c r="A1103" s="222">
        <v>17097</v>
      </c>
      <c r="B1103" s="223" t="s">
        <v>43</v>
      </c>
      <c r="C1103" s="222" t="s">
        <v>44</v>
      </c>
    </row>
    <row r="1104" spans="1:3" ht="15">
      <c r="A1104" s="222">
        <v>17098</v>
      </c>
      <c r="B1104" s="223" t="s">
        <v>43</v>
      </c>
      <c r="C1104" s="222" t="s">
        <v>44</v>
      </c>
    </row>
    <row r="1105" spans="1:3" ht="15">
      <c r="A1105" s="222">
        <v>17099</v>
      </c>
      <c r="B1105" s="223" t="s">
        <v>43</v>
      </c>
      <c r="C1105" s="222" t="s">
        <v>44</v>
      </c>
    </row>
    <row r="1106" spans="1:3" ht="15">
      <c r="A1106" s="222">
        <v>17101</v>
      </c>
      <c r="B1106" s="223" t="s">
        <v>43</v>
      </c>
      <c r="C1106" s="222" t="s">
        <v>44</v>
      </c>
    </row>
    <row r="1107" spans="1:3" ht="15">
      <c r="A1107" s="222">
        <v>17102</v>
      </c>
      <c r="B1107" s="223" t="s">
        <v>43</v>
      </c>
      <c r="C1107" s="222" t="s">
        <v>44</v>
      </c>
    </row>
    <row r="1108" spans="1:3" ht="15">
      <c r="A1108" s="222">
        <v>17103</v>
      </c>
      <c r="B1108" s="223" t="s">
        <v>43</v>
      </c>
      <c r="C1108" s="222" t="s">
        <v>44</v>
      </c>
    </row>
    <row r="1109" spans="1:3" ht="15">
      <c r="A1109" s="222">
        <v>17104</v>
      </c>
      <c r="B1109" s="223" t="s">
        <v>43</v>
      </c>
      <c r="C1109" s="222" t="s">
        <v>44</v>
      </c>
    </row>
    <row r="1110" spans="1:3" ht="15">
      <c r="A1110" s="222">
        <v>17105</v>
      </c>
      <c r="B1110" s="223" t="s">
        <v>37</v>
      </c>
      <c r="C1110" s="222" t="s">
        <v>38</v>
      </c>
    </row>
    <row r="1111" spans="1:3" ht="15">
      <c r="A1111" s="222">
        <v>17106</v>
      </c>
      <c r="B1111" s="223" t="s">
        <v>37</v>
      </c>
      <c r="C1111" s="222" t="s">
        <v>38</v>
      </c>
    </row>
    <row r="1112" spans="1:3" ht="15">
      <c r="A1112" s="222">
        <v>17107</v>
      </c>
      <c r="B1112" s="223" t="s">
        <v>37</v>
      </c>
      <c r="C1112" s="222" t="s">
        <v>38</v>
      </c>
    </row>
    <row r="1113" spans="1:3" ht="15">
      <c r="A1113" s="222">
        <v>17108</v>
      </c>
      <c r="B1113" s="223" t="s">
        <v>37</v>
      </c>
      <c r="C1113" s="222" t="s">
        <v>38</v>
      </c>
    </row>
    <row r="1114" spans="1:3" ht="15">
      <c r="A1114" s="222">
        <v>17109</v>
      </c>
      <c r="B1114" s="223" t="s">
        <v>43</v>
      </c>
      <c r="C1114" s="222" t="s">
        <v>44</v>
      </c>
    </row>
    <row r="1115" spans="1:3" ht="15">
      <c r="A1115" s="222">
        <v>17110</v>
      </c>
      <c r="B1115" s="223" t="s">
        <v>43</v>
      </c>
      <c r="C1115" s="222" t="s">
        <v>44</v>
      </c>
    </row>
    <row r="1116" spans="1:3" ht="15">
      <c r="A1116" s="222">
        <v>17111</v>
      </c>
      <c r="B1116" s="223" t="s">
        <v>43</v>
      </c>
      <c r="C1116" s="222" t="s">
        <v>44</v>
      </c>
    </row>
    <row r="1117" spans="1:3" ht="15">
      <c r="A1117" s="222">
        <v>17112</v>
      </c>
      <c r="B1117" s="223" t="s">
        <v>43</v>
      </c>
      <c r="C1117" s="222" t="s">
        <v>44</v>
      </c>
    </row>
    <row r="1118" spans="1:3" ht="15">
      <c r="A1118" s="222">
        <v>17113</v>
      </c>
      <c r="B1118" s="223" t="s">
        <v>43</v>
      </c>
      <c r="C1118" s="222" t="s">
        <v>44</v>
      </c>
    </row>
    <row r="1119" spans="1:3" ht="15">
      <c r="A1119" s="222">
        <v>17120</v>
      </c>
      <c r="B1119" s="223" t="s">
        <v>43</v>
      </c>
      <c r="C1119" s="222" t="s">
        <v>44</v>
      </c>
    </row>
    <row r="1120" spans="1:3" ht="15">
      <c r="A1120" s="222">
        <v>17121</v>
      </c>
      <c r="B1120" s="223" t="s">
        <v>37</v>
      </c>
      <c r="C1120" s="222" t="s">
        <v>38</v>
      </c>
    </row>
    <row r="1121" spans="1:3" ht="15">
      <c r="A1121" s="222">
        <v>17122</v>
      </c>
      <c r="B1121" s="223" t="s">
        <v>37</v>
      </c>
      <c r="C1121" s="222" t="s">
        <v>38</v>
      </c>
    </row>
    <row r="1122" spans="1:3" ht="15">
      <c r="A1122" s="222">
        <v>17123</v>
      </c>
      <c r="B1122" s="223" t="s">
        <v>37</v>
      </c>
      <c r="C1122" s="222" t="s">
        <v>38</v>
      </c>
    </row>
    <row r="1123" spans="1:3" ht="15">
      <c r="A1123" s="222">
        <v>17124</v>
      </c>
      <c r="B1123" s="223" t="s">
        <v>37</v>
      </c>
      <c r="C1123" s="222" t="s">
        <v>38</v>
      </c>
    </row>
    <row r="1124" spans="1:3" ht="15">
      <c r="A1124" s="222">
        <v>17125</v>
      </c>
      <c r="B1124" s="223" t="s">
        <v>37</v>
      </c>
      <c r="C1124" s="222" t="s">
        <v>38</v>
      </c>
    </row>
    <row r="1125" spans="1:3" ht="15">
      <c r="A1125" s="222">
        <v>17126</v>
      </c>
      <c r="B1125" s="223" t="s">
        <v>37</v>
      </c>
      <c r="C1125" s="222" t="s">
        <v>38</v>
      </c>
    </row>
    <row r="1126" spans="1:3" ht="15">
      <c r="A1126" s="222">
        <v>17127</v>
      </c>
      <c r="B1126" s="223" t="s">
        <v>37</v>
      </c>
      <c r="C1126" s="222" t="s">
        <v>38</v>
      </c>
    </row>
    <row r="1127" spans="1:3" ht="15">
      <c r="A1127" s="222">
        <v>17128</v>
      </c>
      <c r="B1127" s="223" t="s">
        <v>37</v>
      </c>
      <c r="C1127" s="222" t="s">
        <v>38</v>
      </c>
    </row>
    <row r="1128" spans="1:3" ht="15">
      <c r="A1128" s="222">
        <v>17129</v>
      </c>
      <c r="B1128" s="223" t="s">
        <v>37</v>
      </c>
      <c r="C1128" s="222" t="s">
        <v>38</v>
      </c>
    </row>
    <row r="1129" spans="1:3" ht="15">
      <c r="A1129" s="222">
        <v>17130</v>
      </c>
      <c r="B1129" s="223" t="s">
        <v>37</v>
      </c>
      <c r="C1129" s="222" t="s">
        <v>38</v>
      </c>
    </row>
    <row r="1130" spans="1:3" ht="15">
      <c r="A1130" s="222">
        <v>17140</v>
      </c>
      <c r="B1130" s="223" t="s">
        <v>37</v>
      </c>
      <c r="C1130" s="222" t="s">
        <v>38</v>
      </c>
    </row>
    <row r="1131" spans="1:3" ht="15">
      <c r="A1131" s="222">
        <v>17177</v>
      </c>
      <c r="B1131" s="223" t="s">
        <v>37</v>
      </c>
      <c r="C1131" s="222" t="s">
        <v>38</v>
      </c>
    </row>
    <row r="1132" spans="1:3" ht="15">
      <c r="A1132" s="222">
        <v>17201</v>
      </c>
      <c r="B1132" s="223" t="s">
        <v>37</v>
      </c>
      <c r="C1132" s="222" t="s">
        <v>38</v>
      </c>
    </row>
    <row r="1133" spans="1:3" ht="15">
      <c r="A1133" s="222">
        <v>17202</v>
      </c>
      <c r="B1133" s="223" t="s">
        <v>37</v>
      </c>
      <c r="C1133" s="222" t="s">
        <v>38</v>
      </c>
    </row>
    <row r="1134" spans="1:3" ht="15">
      <c r="A1134" s="222">
        <v>17210</v>
      </c>
      <c r="B1134" s="223" t="s">
        <v>37</v>
      </c>
      <c r="C1134" s="222" t="s">
        <v>38</v>
      </c>
    </row>
    <row r="1135" spans="1:3" ht="15">
      <c r="A1135" s="222">
        <v>17211</v>
      </c>
      <c r="B1135" s="223" t="s">
        <v>35</v>
      </c>
      <c r="C1135" s="222" t="s">
        <v>36</v>
      </c>
    </row>
    <row r="1136" spans="1:3" ht="15">
      <c r="A1136" s="222">
        <v>17212</v>
      </c>
      <c r="B1136" s="223" t="s">
        <v>37</v>
      </c>
      <c r="C1136" s="222" t="s">
        <v>38</v>
      </c>
    </row>
    <row r="1137" spans="1:3" ht="15">
      <c r="A1137" s="222">
        <v>17213</v>
      </c>
      <c r="B1137" s="223" t="s">
        <v>43</v>
      </c>
      <c r="C1137" s="222" t="s">
        <v>44</v>
      </c>
    </row>
    <row r="1138" spans="1:3" ht="15">
      <c r="A1138" s="222">
        <v>17214</v>
      </c>
      <c r="B1138" s="223" t="s">
        <v>37</v>
      </c>
      <c r="C1138" s="222" t="s">
        <v>38</v>
      </c>
    </row>
    <row r="1139" spans="1:3" ht="15">
      <c r="A1139" s="222">
        <v>17215</v>
      </c>
      <c r="B1139" s="223" t="s">
        <v>37</v>
      </c>
      <c r="C1139" s="222" t="s">
        <v>38</v>
      </c>
    </row>
    <row r="1140" spans="1:3" ht="15">
      <c r="A1140" s="222">
        <v>17217</v>
      </c>
      <c r="B1140" s="223" t="s">
        <v>37</v>
      </c>
      <c r="C1140" s="222" t="s">
        <v>38</v>
      </c>
    </row>
    <row r="1141" spans="1:3" ht="15">
      <c r="A1141" s="222">
        <v>17219</v>
      </c>
      <c r="B1141" s="223" t="s">
        <v>37</v>
      </c>
      <c r="C1141" s="222" t="s">
        <v>38</v>
      </c>
    </row>
    <row r="1142" spans="1:3" ht="15">
      <c r="A1142" s="222">
        <v>17220</v>
      </c>
      <c r="B1142" s="223" t="s">
        <v>37</v>
      </c>
      <c r="C1142" s="222" t="s">
        <v>38</v>
      </c>
    </row>
    <row r="1143" spans="1:3" ht="15">
      <c r="A1143" s="222">
        <v>17221</v>
      </c>
      <c r="B1143" s="223" t="s">
        <v>37</v>
      </c>
      <c r="C1143" s="222" t="s">
        <v>38</v>
      </c>
    </row>
    <row r="1144" spans="1:3" ht="15">
      <c r="A1144" s="222">
        <v>17222</v>
      </c>
      <c r="B1144" s="223" t="s">
        <v>37</v>
      </c>
      <c r="C1144" s="222" t="s">
        <v>38</v>
      </c>
    </row>
    <row r="1145" spans="1:3" ht="15">
      <c r="A1145" s="222">
        <v>17223</v>
      </c>
      <c r="B1145" s="223" t="s">
        <v>37</v>
      </c>
      <c r="C1145" s="222" t="s">
        <v>38</v>
      </c>
    </row>
    <row r="1146" spans="1:3" ht="15">
      <c r="A1146" s="222">
        <v>17224</v>
      </c>
      <c r="B1146" s="223" t="s">
        <v>37</v>
      </c>
      <c r="C1146" s="222" t="s">
        <v>38</v>
      </c>
    </row>
    <row r="1147" spans="1:3" ht="15">
      <c r="A1147" s="222">
        <v>17225</v>
      </c>
      <c r="B1147" s="223" t="s">
        <v>37</v>
      </c>
      <c r="C1147" s="222" t="s">
        <v>38</v>
      </c>
    </row>
    <row r="1148" spans="1:3" ht="15">
      <c r="A1148" s="222">
        <v>17228</v>
      </c>
      <c r="B1148" s="223" t="s">
        <v>37</v>
      </c>
      <c r="C1148" s="222" t="s">
        <v>38</v>
      </c>
    </row>
    <row r="1149" spans="1:3" ht="15">
      <c r="A1149" s="222">
        <v>17229</v>
      </c>
      <c r="B1149" s="223" t="s">
        <v>37</v>
      </c>
      <c r="C1149" s="222" t="s">
        <v>38</v>
      </c>
    </row>
    <row r="1150" spans="1:3" ht="15">
      <c r="A1150" s="222">
        <v>17231</v>
      </c>
      <c r="B1150" s="223" t="s">
        <v>37</v>
      </c>
      <c r="C1150" s="222" t="s">
        <v>38</v>
      </c>
    </row>
    <row r="1151" spans="1:3" ht="15">
      <c r="A1151" s="222">
        <v>17232</v>
      </c>
      <c r="B1151" s="223" t="s">
        <v>37</v>
      </c>
      <c r="C1151" s="222" t="s">
        <v>38</v>
      </c>
    </row>
    <row r="1152" spans="1:3" ht="15">
      <c r="A1152" s="222">
        <v>17233</v>
      </c>
      <c r="B1152" s="223" t="s">
        <v>37</v>
      </c>
      <c r="C1152" s="222" t="s">
        <v>38</v>
      </c>
    </row>
    <row r="1153" spans="1:3" ht="15">
      <c r="A1153" s="222">
        <v>17235</v>
      </c>
      <c r="B1153" s="223" t="s">
        <v>37</v>
      </c>
      <c r="C1153" s="222" t="s">
        <v>38</v>
      </c>
    </row>
    <row r="1154" spans="1:3" ht="15">
      <c r="A1154" s="222">
        <v>17236</v>
      </c>
      <c r="B1154" s="223" t="s">
        <v>37</v>
      </c>
      <c r="C1154" s="222" t="s">
        <v>38</v>
      </c>
    </row>
    <row r="1155" spans="1:3" ht="15">
      <c r="A1155" s="222">
        <v>17237</v>
      </c>
      <c r="B1155" s="223" t="s">
        <v>37</v>
      </c>
      <c r="C1155" s="222" t="s">
        <v>38</v>
      </c>
    </row>
    <row r="1156" spans="1:3" ht="15">
      <c r="A1156" s="222">
        <v>17238</v>
      </c>
      <c r="B1156" s="223" t="s">
        <v>37</v>
      </c>
      <c r="C1156" s="222" t="s">
        <v>38</v>
      </c>
    </row>
    <row r="1157" spans="1:3" ht="15">
      <c r="A1157" s="222">
        <v>17239</v>
      </c>
      <c r="B1157" s="223" t="s">
        <v>43</v>
      </c>
      <c r="C1157" s="222" t="s">
        <v>44</v>
      </c>
    </row>
    <row r="1158" spans="1:3" ht="15">
      <c r="A1158" s="222">
        <v>17240</v>
      </c>
      <c r="B1158" s="223" t="s">
        <v>37</v>
      </c>
      <c r="C1158" s="222" t="s">
        <v>38</v>
      </c>
    </row>
    <row r="1159" spans="1:3" ht="15">
      <c r="A1159" s="222">
        <v>17241</v>
      </c>
      <c r="B1159" s="223" t="s">
        <v>37</v>
      </c>
      <c r="C1159" s="222" t="s">
        <v>38</v>
      </c>
    </row>
    <row r="1160" spans="1:3" ht="15">
      <c r="A1160" s="222">
        <v>17243</v>
      </c>
      <c r="B1160" s="223" t="s">
        <v>43</v>
      </c>
      <c r="C1160" s="222" t="s">
        <v>44</v>
      </c>
    </row>
    <row r="1161" spans="1:3" ht="15">
      <c r="A1161" s="222">
        <v>17244</v>
      </c>
      <c r="B1161" s="223" t="s">
        <v>37</v>
      </c>
      <c r="C1161" s="222" t="s">
        <v>38</v>
      </c>
    </row>
    <row r="1162" spans="1:3" ht="15">
      <c r="A1162" s="222">
        <v>17246</v>
      </c>
      <c r="B1162" s="223" t="s">
        <v>37</v>
      </c>
      <c r="C1162" s="222" t="s">
        <v>38</v>
      </c>
    </row>
    <row r="1163" spans="1:3" ht="15">
      <c r="A1163" s="222">
        <v>17247</v>
      </c>
      <c r="B1163" s="223" t="s">
        <v>37</v>
      </c>
      <c r="C1163" s="222" t="s">
        <v>38</v>
      </c>
    </row>
    <row r="1164" spans="1:3" ht="15">
      <c r="A1164" s="222">
        <v>17249</v>
      </c>
      <c r="B1164" s="223" t="s">
        <v>43</v>
      </c>
      <c r="C1164" s="222" t="s">
        <v>44</v>
      </c>
    </row>
    <row r="1165" spans="1:3" ht="15">
      <c r="A1165" s="222">
        <v>17250</v>
      </c>
      <c r="B1165" s="223" t="s">
        <v>37</v>
      </c>
      <c r="C1165" s="222" t="s">
        <v>38</v>
      </c>
    </row>
    <row r="1166" spans="1:3" ht="15">
      <c r="A1166" s="222">
        <v>17251</v>
      </c>
      <c r="B1166" s="223" t="s">
        <v>37</v>
      </c>
      <c r="C1166" s="222" t="s">
        <v>38</v>
      </c>
    </row>
    <row r="1167" spans="1:3" ht="15">
      <c r="A1167" s="222">
        <v>17252</v>
      </c>
      <c r="B1167" s="223" t="s">
        <v>37</v>
      </c>
      <c r="C1167" s="222" t="s">
        <v>38</v>
      </c>
    </row>
    <row r="1168" spans="1:3" ht="15">
      <c r="A1168" s="222">
        <v>17253</v>
      </c>
      <c r="B1168" s="223" t="s">
        <v>43</v>
      </c>
      <c r="C1168" s="222" t="s">
        <v>44</v>
      </c>
    </row>
    <row r="1169" spans="1:3" ht="15">
      <c r="A1169" s="222">
        <v>17254</v>
      </c>
      <c r="B1169" s="223" t="s">
        <v>37</v>
      </c>
      <c r="C1169" s="222" t="s">
        <v>38</v>
      </c>
    </row>
    <row r="1170" spans="1:3" ht="15">
      <c r="A1170" s="222">
        <v>17255</v>
      </c>
      <c r="B1170" s="223" t="s">
        <v>43</v>
      </c>
      <c r="C1170" s="222" t="s">
        <v>44</v>
      </c>
    </row>
    <row r="1171" spans="1:3" ht="15">
      <c r="A1171" s="222">
        <v>17256</v>
      </c>
      <c r="B1171" s="223" t="s">
        <v>37</v>
      </c>
      <c r="C1171" s="222" t="s">
        <v>38</v>
      </c>
    </row>
    <row r="1172" spans="1:3" ht="15">
      <c r="A1172" s="222">
        <v>17257</v>
      </c>
      <c r="B1172" s="223" t="s">
        <v>37</v>
      </c>
      <c r="C1172" s="222" t="s">
        <v>38</v>
      </c>
    </row>
    <row r="1173" spans="1:3" ht="15">
      <c r="A1173" s="222">
        <v>17260</v>
      </c>
      <c r="B1173" s="223" t="s">
        <v>43</v>
      </c>
      <c r="C1173" s="222" t="s">
        <v>44</v>
      </c>
    </row>
    <row r="1174" spans="1:3" ht="15">
      <c r="A1174" s="222">
        <v>17261</v>
      </c>
      <c r="B1174" s="223" t="s">
        <v>37</v>
      </c>
      <c r="C1174" s="222" t="s">
        <v>38</v>
      </c>
    </row>
    <row r="1175" spans="1:3" ht="15">
      <c r="A1175" s="222">
        <v>17262</v>
      </c>
      <c r="B1175" s="223" t="s">
        <v>37</v>
      </c>
      <c r="C1175" s="222" t="s">
        <v>38</v>
      </c>
    </row>
    <row r="1176" spans="1:3" ht="15">
      <c r="A1176" s="222">
        <v>17263</v>
      </c>
      <c r="B1176" s="223" t="s">
        <v>37</v>
      </c>
      <c r="C1176" s="222" t="s">
        <v>38</v>
      </c>
    </row>
    <row r="1177" spans="1:3" ht="15">
      <c r="A1177" s="222">
        <v>17264</v>
      </c>
      <c r="B1177" s="223" t="s">
        <v>43</v>
      </c>
      <c r="C1177" s="222" t="s">
        <v>44</v>
      </c>
    </row>
    <row r="1178" spans="1:3" ht="15">
      <c r="A1178" s="222">
        <v>17265</v>
      </c>
      <c r="B1178" s="223" t="s">
        <v>37</v>
      </c>
      <c r="C1178" s="222" t="s">
        <v>38</v>
      </c>
    </row>
    <row r="1179" spans="1:3" ht="15">
      <c r="A1179" s="222">
        <v>17266</v>
      </c>
      <c r="B1179" s="223" t="s">
        <v>37</v>
      </c>
      <c r="C1179" s="222" t="s">
        <v>38</v>
      </c>
    </row>
    <row r="1180" spans="1:3" ht="15">
      <c r="A1180" s="222">
        <v>17267</v>
      </c>
      <c r="B1180" s="223" t="s">
        <v>37</v>
      </c>
      <c r="C1180" s="222" t="s">
        <v>38</v>
      </c>
    </row>
    <row r="1181" spans="1:3" ht="15">
      <c r="A1181" s="222">
        <v>17268</v>
      </c>
      <c r="B1181" s="223" t="s">
        <v>37</v>
      </c>
      <c r="C1181" s="222" t="s">
        <v>38</v>
      </c>
    </row>
    <row r="1182" spans="1:3" ht="15">
      <c r="A1182" s="222">
        <v>17270</v>
      </c>
      <c r="B1182" s="223" t="s">
        <v>37</v>
      </c>
      <c r="C1182" s="222" t="s">
        <v>38</v>
      </c>
    </row>
    <row r="1183" spans="1:3" ht="15">
      <c r="A1183" s="222">
        <v>17271</v>
      </c>
      <c r="B1183" s="223" t="s">
        <v>37</v>
      </c>
      <c r="C1183" s="222" t="s">
        <v>38</v>
      </c>
    </row>
    <row r="1184" spans="1:3" ht="15">
      <c r="A1184" s="222">
        <v>17272</v>
      </c>
      <c r="B1184" s="223" t="s">
        <v>37</v>
      </c>
      <c r="C1184" s="222" t="s">
        <v>38</v>
      </c>
    </row>
    <row r="1185" spans="1:3" ht="15">
      <c r="A1185" s="222">
        <v>17301</v>
      </c>
      <c r="B1185" s="223" t="s">
        <v>37</v>
      </c>
      <c r="C1185" s="222" t="s">
        <v>38</v>
      </c>
    </row>
    <row r="1186" spans="1:3" ht="15">
      <c r="A1186" s="222">
        <v>17302</v>
      </c>
      <c r="B1186" s="223" t="s">
        <v>37</v>
      </c>
      <c r="C1186" s="222" t="s">
        <v>38</v>
      </c>
    </row>
    <row r="1187" spans="1:3" ht="15">
      <c r="A1187" s="222">
        <v>17303</v>
      </c>
      <c r="B1187" s="223" t="s">
        <v>37</v>
      </c>
      <c r="C1187" s="222" t="s">
        <v>38</v>
      </c>
    </row>
    <row r="1188" spans="1:3" ht="15">
      <c r="A1188" s="222">
        <v>17304</v>
      </c>
      <c r="B1188" s="223" t="s">
        <v>37</v>
      </c>
      <c r="C1188" s="222" t="s">
        <v>38</v>
      </c>
    </row>
    <row r="1189" spans="1:3" ht="15">
      <c r="A1189" s="222">
        <v>17306</v>
      </c>
      <c r="B1189" s="223" t="s">
        <v>37</v>
      </c>
      <c r="C1189" s="222" t="s">
        <v>38</v>
      </c>
    </row>
    <row r="1190" spans="1:3" ht="15">
      <c r="A1190" s="222">
        <v>17307</v>
      </c>
      <c r="B1190" s="223" t="s">
        <v>37</v>
      </c>
      <c r="C1190" s="222" t="s">
        <v>38</v>
      </c>
    </row>
    <row r="1191" spans="1:3" ht="15">
      <c r="A1191" s="222">
        <v>17309</v>
      </c>
      <c r="B1191" s="223" t="s">
        <v>37</v>
      </c>
      <c r="C1191" s="222" t="s">
        <v>38</v>
      </c>
    </row>
    <row r="1192" spans="1:3" ht="15">
      <c r="A1192" s="222">
        <v>17310</v>
      </c>
      <c r="B1192" s="223" t="s">
        <v>37</v>
      </c>
      <c r="C1192" s="222" t="s">
        <v>38</v>
      </c>
    </row>
    <row r="1193" spans="1:3" ht="15">
      <c r="A1193" s="222">
        <v>17311</v>
      </c>
      <c r="B1193" s="223" t="s">
        <v>37</v>
      </c>
      <c r="C1193" s="222" t="s">
        <v>38</v>
      </c>
    </row>
    <row r="1194" spans="1:3" ht="15">
      <c r="A1194" s="222">
        <v>17312</v>
      </c>
      <c r="B1194" s="223" t="s">
        <v>37</v>
      </c>
      <c r="C1194" s="222" t="s">
        <v>38</v>
      </c>
    </row>
    <row r="1195" spans="1:3" ht="15">
      <c r="A1195" s="222">
        <v>17313</v>
      </c>
      <c r="B1195" s="223" t="s">
        <v>37</v>
      </c>
      <c r="C1195" s="222" t="s">
        <v>38</v>
      </c>
    </row>
    <row r="1196" spans="1:3" ht="15">
      <c r="A1196" s="222">
        <v>17314</v>
      </c>
      <c r="B1196" s="223" t="s">
        <v>37</v>
      </c>
      <c r="C1196" s="222" t="s">
        <v>38</v>
      </c>
    </row>
    <row r="1197" spans="1:3" ht="15">
      <c r="A1197" s="222">
        <v>17315</v>
      </c>
      <c r="B1197" s="223" t="s">
        <v>37</v>
      </c>
      <c r="C1197" s="222" t="s">
        <v>38</v>
      </c>
    </row>
    <row r="1198" spans="1:3" ht="15">
      <c r="A1198" s="222">
        <v>17316</v>
      </c>
      <c r="B1198" s="223" t="s">
        <v>37</v>
      </c>
      <c r="C1198" s="222" t="s">
        <v>38</v>
      </c>
    </row>
    <row r="1199" spans="1:3" ht="15">
      <c r="A1199" s="222">
        <v>17317</v>
      </c>
      <c r="B1199" s="223" t="s">
        <v>37</v>
      </c>
      <c r="C1199" s="222" t="s">
        <v>38</v>
      </c>
    </row>
    <row r="1200" spans="1:3" ht="15">
      <c r="A1200" s="222">
        <v>17318</v>
      </c>
      <c r="B1200" s="223" t="s">
        <v>37</v>
      </c>
      <c r="C1200" s="222" t="s">
        <v>38</v>
      </c>
    </row>
    <row r="1201" spans="1:3" ht="15">
      <c r="A1201" s="222">
        <v>17319</v>
      </c>
      <c r="B1201" s="223" t="s">
        <v>37</v>
      </c>
      <c r="C1201" s="222" t="s">
        <v>38</v>
      </c>
    </row>
    <row r="1202" spans="1:3" ht="15">
      <c r="A1202" s="222">
        <v>17320</v>
      </c>
      <c r="B1202" s="223" t="s">
        <v>37</v>
      </c>
      <c r="C1202" s="222" t="s">
        <v>38</v>
      </c>
    </row>
    <row r="1203" spans="1:3" ht="15">
      <c r="A1203" s="222">
        <v>17321</v>
      </c>
      <c r="B1203" s="223" t="s">
        <v>37</v>
      </c>
      <c r="C1203" s="222" t="s">
        <v>38</v>
      </c>
    </row>
    <row r="1204" spans="1:3" ht="15">
      <c r="A1204" s="222">
        <v>17322</v>
      </c>
      <c r="B1204" s="223" t="s">
        <v>37</v>
      </c>
      <c r="C1204" s="222" t="s">
        <v>38</v>
      </c>
    </row>
    <row r="1205" spans="1:3" ht="15">
      <c r="A1205" s="222">
        <v>17323</v>
      </c>
      <c r="B1205" s="223" t="s">
        <v>37</v>
      </c>
      <c r="C1205" s="222" t="s">
        <v>38</v>
      </c>
    </row>
    <row r="1206" spans="1:3" ht="15">
      <c r="A1206" s="222">
        <v>17324</v>
      </c>
      <c r="B1206" s="223" t="s">
        <v>37</v>
      </c>
      <c r="C1206" s="222" t="s">
        <v>38</v>
      </c>
    </row>
    <row r="1207" spans="1:3" ht="15">
      <c r="A1207" s="222">
        <v>17325</v>
      </c>
      <c r="B1207" s="223" t="s">
        <v>37</v>
      </c>
      <c r="C1207" s="222" t="s">
        <v>38</v>
      </c>
    </row>
    <row r="1208" spans="1:3" ht="15">
      <c r="A1208" s="222">
        <v>17326</v>
      </c>
      <c r="B1208" s="223" t="s">
        <v>37</v>
      </c>
      <c r="C1208" s="222" t="s">
        <v>38</v>
      </c>
    </row>
    <row r="1209" spans="1:3" ht="15">
      <c r="A1209" s="222">
        <v>17327</v>
      </c>
      <c r="B1209" s="223" t="s">
        <v>37</v>
      </c>
      <c r="C1209" s="222" t="s">
        <v>38</v>
      </c>
    </row>
    <row r="1210" spans="1:3" ht="15">
      <c r="A1210" s="222">
        <v>17329</v>
      </c>
      <c r="B1210" s="223" t="s">
        <v>37</v>
      </c>
      <c r="C1210" s="222" t="s">
        <v>38</v>
      </c>
    </row>
    <row r="1211" spans="1:3" ht="15">
      <c r="A1211" s="222">
        <v>17331</v>
      </c>
      <c r="B1211" s="223" t="s">
        <v>37</v>
      </c>
      <c r="C1211" s="222" t="s">
        <v>38</v>
      </c>
    </row>
    <row r="1212" spans="1:3" ht="15">
      <c r="A1212" s="222">
        <v>17332</v>
      </c>
      <c r="B1212" s="223" t="s">
        <v>37</v>
      </c>
      <c r="C1212" s="222" t="s">
        <v>38</v>
      </c>
    </row>
    <row r="1213" spans="1:3" ht="15">
      <c r="A1213" s="222">
        <v>17333</v>
      </c>
      <c r="B1213" s="223" t="s">
        <v>37</v>
      </c>
      <c r="C1213" s="222" t="s">
        <v>38</v>
      </c>
    </row>
    <row r="1214" spans="1:3" ht="15">
      <c r="A1214" s="222">
        <v>17334</v>
      </c>
      <c r="B1214" s="223" t="s">
        <v>37</v>
      </c>
      <c r="C1214" s="222" t="s">
        <v>38</v>
      </c>
    </row>
    <row r="1215" spans="1:3" ht="15">
      <c r="A1215" s="222">
        <v>17337</v>
      </c>
      <c r="B1215" s="223" t="s">
        <v>37</v>
      </c>
      <c r="C1215" s="222" t="s">
        <v>38</v>
      </c>
    </row>
    <row r="1216" spans="1:3" ht="15">
      <c r="A1216" s="222">
        <v>17339</v>
      </c>
      <c r="B1216" s="223" t="s">
        <v>37</v>
      </c>
      <c r="C1216" s="222" t="s">
        <v>38</v>
      </c>
    </row>
    <row r="1217" spans="1:3" ht="15">
      <c r="A1217" s="222">
        <v>17340</v>
      </c>
      <c r="B1217" s="223" t="s">
        <v>37</v>
      </c>
      <c r="C1217" s="222" t="s">
        <v>38</v>
      </c>
    </row>
    <row r="1218" spans="1:3" ht="15">
      <c r="A1218" s="222">
        <v>17342</v>
      </c>
      <c r="B1218" s="223" t="s">
        <v>37</v>
      </c>
      <c r="C1218" s="222" t="s">
        <v>38</v>
      </c>
    </row>
    <row r="1219" spans="1:3" ht="15">
      <c r="A1219" s="222">
        <v>17343</v>
      </c>
      <c r="B1219" s="223" t="s">
        <v>37</v>
      </c>
      <c r="C1219" s="222" t="s">
        <v>38</v>
      </c>
    </row>
    <row r="1220" spans="1:3" ht="15">
      <c r="A1220" s="222">
        <v>17344</v>
      </c>
      <c r="B1220" s="223" t="s">
        <v>37</v>
      </c>
      <c r="C1220" s="222" t="s">
        <v>38</v>
      </c>
    </row>
    <row r="1221" spans="1:3" ht="15">
      <c r="A1221" s="222">
        <v>17345</v>
      </c>
      <c r="B1221" s="223" t="s">
        <v>37</v>
      </c>
      <c r="C1221" s="222" t="s">
        <v>38</v>
      </c>
    </row>
    <row r="1222" spans="1:3" ht="15">
      <c r="A1222" s="222">
        <v>17347</v>
      </c>
      <c r="B1222" s="223" t="s">
        <v>37</v>
      </c>
      <c r="C1222" s="222" t="s">
        <v>38</v>
      </c>
    </row>
    <row r="1223" spans="1:3" ht="15">
      <c r="A1223" s="222">
        <v>17349</v>
      </c>
      <c r="B1223" s="223" t="s">
        <v>37</v>
      </c>
      <c r="C1223" s="222" t="s">
        <v>38</v>
      </c>
    </row>
    <row r="1224" spans="1:3" ht="15">
      <c r="A1224" s="222">
        <v>17350</v>
      </c>
      <c r="B1224" s="223" t="s">
        <v>37</v>
      </c>
      <c r="C1224" s="222" t="s">
        <v>38</v>
      </c>
    </row>
    <row r="1225" spans="1:3" ht="15">
      <c r="A1225" s="222">
        <v>17352</v>
      </c>
      <c r="B1225" s="223" t="s">
        <v>37</v>
      </c>
      <c r="C1225" s="222" t="s">
        <v>38</v>
      </c>
    </row>
    <row r="1226" spans="1:3" ht="15">
      <c r="A1226" s="222">
        <v>17353</v>
      </c>
      <c r="B1226" s="223" t="s">
        <v>37</v>
      </c>
      <c r="C1226" s="222" t="s">
        <v>38</v>
      </c>
    </row>
    <row r="1227" spans="1:3" ht="15">
      <c r="A1227" s="222">
        <v>17354</v>
      </c>
      <c r="B1227" s="223" t="s">
        <v>37</v>
      </c>
      <c r="C1227" s="222" t="s">
        <v>38</v>
      </c>
    </row>
    <row r="1228" spans="1:3" ht="15">
      <c r="A1228" s="222">
        <v>17355</v>
      </c>
      <c r="B1228" s="223" t="s">
        <v>37</v>
      </c>
      <c r="C1228" s="222" t="s">
        <v>38</v>
      </c>
    </row>
    <row r="1229" spans="1:3" ht="15">
      <c r="A1229" s="222">
        <v>17356</v>
      </c>
      <c r="B1229" s="223" t="s">
        <v>37</v>
      </c>
      <c r="C1229" s="222" t="s">
        <v>38</v>
      </c>
    </row>
    <row r="1230" spans="1:3" ht="15">
      <c r="A1230" s="222">
        <v>17358</v>
      </c>
      <c r="B1230" s="223" t="s">
        <v>37</v>
      </c>
      <c r="C1230" s="222" t="s">
        <v>38</v>
      </c>
    </row>
    <row r="1231" spans="1:3" ht="15">
      <c r="A1231" s="222">
        <v>17360</v>
      </c>
      <c r="B1231" s="223" t="s">
        <v>37</v>
      </c>
      <c r="C1231" s="222" t="s">
        <v>38</v>
      </c>
    </row>
    <row r="1232" spans="1:3" ht="15">
      <c r="A1232" s="222">
        <v>17361</v>
      </c>
      <c r="B1232" s="223" t="s">
        <v>37</v>
      </c>
      <c r="C1232" s="222" t="s">
        <v>38</v>
      </c>
    </row>
    <row r="1233" spans="1:3" ht="15">
      <c r="A1233" s="222">
        <v>17362</v>
      </c>
      <c r="B1233" s="223" t="s">
        <v>37</v>
      </c>
      <c r="C1233" s="222" t="s">
        <v>38</v>
      </c>
    </row>
    <row r="1234" spans="1:3" ht="15">
      <c r="A1234" s="222">
        <v>17363</v>
      </c>
      <c r="B1234" s="223" t="s">
        <v>37</v>
      </c>
      <c r="C1234" s="222" t="s">
        <v>38</v>
      </c>
    </row>
    <row r="1235" spans="1:3" ht="15">
      <c r="A1235" s="222">
        <v>17364</v>
      </c>
      <c r="B1235" s="223" t="s">
        <v>37</v>
      </c>
      <c r="C1235" s="222" t="s">
        <v>38</v>
      </c>
    </row>
    <row r="1236" spans="1:3" ht="15">
      <c r="A1236" s="222">
        <v>17365</v>
      </c>
      <c r="B1236" s="223" t="s">
        <v>37</v>
      </c>
      <c r="C1236" s="222" t="s">
        <v>38</v>
      </c>
    </row>
    <row r="1237" spans="1:3" ht="15">
      <c r="A1237" s="222">
        <v>17366</v>
      </c>
      <c r="B1237" s="223" t="s">
        <v>37</v>
      </c>
      <c r="C1237" s="222" t="s">
        <v>38</v>
      </c>
    </row>
    <row r="1238" spans="1:3" ht="15">
      <c r="A1238" s="222">
        <v>17368</v>
      </c>
      <c r="B1238" s="223" t="s">
        <v>37</v>
      </c>
      <c r="C1238" s="222" t="s">
        <v>38</v>
      </c>
    </row>
    <row r="1239" spans="1:3" ht="15">
      <c r="A1239" s="222">
        <v>17370</v>
      </c>
      <c r="B1239" s="223" t="s">
        <v>37</v>
      </c>
      <c r="C1239" s="222" t="s">
        <v>38</v>
      </c>
    </row>
    <row r="1240" spans="1:3" ht="15">
      <c r="A1240" s="222">
        <v>17371</v>
      </c>
      <c r="B1240" s="223" t="s">
        <v>37</v>
      </c>
      <c r="C1240" s="222" t="s">
        <v>38</v>
      </c>
    </row>
    <row r="1241" spans="1:3" ht="15">
      <c r="A1241" s="222">
        <v>17372</v>
      </c>
      <c r="B1241" s="223" t="s">
        <v>37</v>
      </c>
      <c r="C1241" s="222" t="s">
        <v>38</v>
      </c>
    </row>
    <row r="1242" spans="1:3" ht="15">
      <c r="A1242" s="222">
        <v>17375</v>
      </c>
      <c r="B1242" s="223" t="s">
        <v>37</v>
      </c>
      <c r="C1242" s="222" t="s">
        <v>38</v>
      </c>
    </row>
    <row r="1243" spans="1:3" ht="15">
      <c r="A1243" s="222">
        <v>17401</v>
      </c>
      <c r="B1243" s="223" t="s">
        <v>37</v>
      </c>
      <c r="C1243" s="222" t="s">
        <v>38</v>
      </c>
    </row>
    <row r="1244" spans="1:3" ht="15">
      <c r="A1244" s="222">
        <v>17402</v>
      </c>
      <c r="B1244" s="223" t="s">
        <v>37</v>
      </c>
      <c r="C1244" s="222" t="s">
        <v>38</v>
      </c>
    </row>
    <row r="1245" spans="1:3" ht="15">
      <c r="A1245" s="222">
        <v>17403</v>
      </c>
      <c r="B1245" s="223" t="s">
        <v>37</v>
      </c>
      <c r="C1245" s="222" t="s">
        <v>38</v>
      </c>
    </row>
    <row r="1246" spans="1:3" ht="15">
      <c r="A1246" s="222">
        <v>17404</v>
      </c>
      <c r="B1246" s="223" t="s">
        <v>37</v>
      </c>
      <c r="C1246" s="222" t="s">
        <v>38</v>
      </c>
    </row>
    <row r="1247" spans="1:3" ht="15">
      <c r="A1247" s="222">
        <v>17405</v>
      </c>
      <c r="B1247" s="223" t="s">
        <v>37</v>
      </c>
      <c r="C1247" s="222" t="s">
        <v>38</v>
      </c>
    </row>
    <row r="1248" spans="1:3" ht="15">
      <c r="A1248" s="222">
        <v>17406</v>
      </c>
      <c r="B1248" s="223" t="s">
        <v>37</v>
      </c>
      <c r="C1248" s="222" t="s">
        <v>38</v>
      </c>
    </row>
    <row r="1249" spans="1:3" ht="15">
      <c r="A1249" s="222">
        <v>17407</v>
      </c>
      <c r="B1249" s="223" t="s">
        <v>37</v>
      </c>
      <c r="C1249" s="222" t="s">
        <v>38</v>
      </c>
    </row>
    <row r="1250" spans="1:3" ht="15">
      <c r="A1250" s="222">
        <v>17408</v>
      </c>
      <c r="B1250" s="223" t="s">
        <v>37</v>
      </c>
      <c r="C1250" s="222" t="s">
        <v>38</v>
      </c>
    </row>
    <row r="1251" spans="1:3" ht="15">
      <c r="A1251" s="222">
        <v>17415</v>
      </c>
      <c r="B1251" s="223" t="s">
        <v>37</v>
      </c>
      <c r="C1251" s="222" t="s">
        <v>38</v>
      </c>
    </row>
    <row r="1252" spans="1:3" ht="15">
      <c r="A1252" s="222">
        <v>17501</v>
      </c>
      <c r="B1252" s="223" t="s">
        <v>47</v>
      </c>
      <c r="C1252" s="222" t="s">
        <v>48</v>
      </c>
    </row>
    <row r="1253" spans="1:3" ht="15">
      <c r="A1253" s="222">
        <v>17502</v>
      </c>
      <c r="B1253" s="223" t="s">
        <v>47</v>
      </c>
      <c r="C1253" s="222" t="s">
        <v>48</v>
      </c>
    </row>
    <row r="1254" spans="1:3" ht="15">
      <c r="A1254" s="222">
        <v>17503</v>
      </c>
      <c r="B1254" s="223" t="s">
        <v>47</v>
      </c>
      <c r="C1254" s="222" t="s">
        <v>48</v>
      </c>
    </row>
    <row r="1255" spans="1:3" ht="15">
      <c r="A1255" s="222">
        <v>17504</v>
      </c>
      <c r="B1255" s="223" t="s">
        <v>47</v>
      </c>
      <c r="C1255" s="222" t="s">
        <v>48</v>
      </c>
    </row>
    <row r="1256" spans="1:3" ht="15">
      <c r="A1256" s="222">
        <v>17505</v>
      </c>
      <c r="B1256" s="223" t="s">
        <v>47</v>
      </c>
      <c r="C1256" s="222" t="s">
        <v>48</v>
      </c>
    </row>
    <row r="1257" spans="1:3" ht="15">
      <c r="A1257" s="222">
        <v>17506</v>
      </c>
      <c r="B1257" s="223" t="s">
        <v>47</v>
      </c>
      <c r="C1257" s="222" t="s">
        <v>48</v>
      </c>
    </row>
    <row r="1258" spans="1:3" ht="15">
      <c r="A1258" s="222">
        <v>17507</v>
      </c>
      <c r="B1258" s="223" t="s">
        <v>47</v>
      </c>
      <c r="C1258" s="222" t="s">
        <v>48</v>
      </c>
    </row>
    <row r="1259" spans="1:3" ht="15">
      <c r="A1259" s="222">
        <v>17508</v>
      </c>
      <c r="B1259" s="223" t="s">
        <v>47</v>
      </c>
      <c r="C1259" s="222" t="s">
        <v>48</v>
      </c>
    </row>
    <row r="1260" spans="1:3" ht="15">
      <c r="A1260" s="222">
        <v>17509</v>
      </c>
      <c r="B1260" s="223" t="s">
        <v>47</v>
      </c>
      <c r="C1260" s="222" t="s">
        <v>48</v>
      </c>
    </row>
    <row r="1261" spans="1:3" ht="15">
      <c r="A1261" s="222">
        <v>17512</v>
      </c>
      <c r="B1261" s="223" t="s">
        <v>47</v>
      </c>
      <c r="C1261" s="222" t="s">
        <v>48</v>
      </c>
    </row>
    <row r="1262" spans="1:3" ht="15">
      <c r="A1262" s="222">
        <v>17516</v>
      </c>
      <c r="B1262" s="223" t="s">
        <v>47</v>
      </c>
      <c r="C1262" s="222" t="s">
        <v>48</v>
      </c>
    </row>
    <row r="1263" spans="1:3" ht="15">
      <c r="A1263" s="222">
        <v>17517</v>
      </c>
      <c r="B1263" s="223" t="s">
        <v>47</v>
      </c>
      <c r="C1263" s="222" t="s">
        <v>48</v>
      </c>
    </row>
    <row r="1264" spans="1:3" ht="15">
      <c r="A1264" s="222">
        <v>17518</v>
      </c>
      <c r="B1264" s="223" t="s">
        <v>47</v>
      </c>
      <c r="C1264" s="222" t="s">
        <v>48</v>
      </c>
    </row>
    <row r="1265" spans="1:3" ht="15">
      <c r="A1265" s="222">
        <v>17519</v>
      </c>
      <c r="B1265" s="223" t="s">
        <v>47</v>
      </c>
      <c r="C1265" s="222" t="s">
        <v>48</v>
      </c>
    </row>
    <row r="1266" spans="1:3" ht="15">
      <c r="A1266" s="222">
        <v>17520</v>
      </c>
      <c r="B1266" s="223" t="s">
        <v>47</v>
      </c>
      <c r="C1266" s="222" t="s">
        <v>48</v>
      </c>
    </row>
    <row r="1267" spans="1:3" ht="15">
      <c r="A1267" s="222">
        <v>17521</v>
      </c>
      <c r="B1267" s="223" t="s">
        <v>47</v>
      </c>
      <c r="C1267" s="222" t="s">
        <v>48</v>
      </c>
    </row>
    <row r="1268" spans="1:3" ht="15">
      <c r="A1268" s="222">
        <v>17522</v>
      </c>
      <c r="B1268" s="223" t="s">
        <v>47</v>
      </c>
      <c r="C1268" s="222" t="s">
        <v>48</v>
      </c>
    </row>
    <row r="1269" spans="1:3" ht="15">
      <c r="A1269" s="222">
        <v>17527</v>
      </c>
      <c r="B1269" s="223" t="s">
        <v>47</v>
      </c>
      <c r="C1269" s="222" t="s">
        <v>48</v>
      </c>
    </row>
    <row r="1270" spans="1:3" ht="15">
      <c r="A1270" s="222">
        <v>17528</v>
      </c>
      <c r="B1270" s="223" t="s">
        <v>47</v>
      </c>
      <c r="C1270" s="222" t="s">
        <v>48</v>
      </c>
    </row>
    <row r="1271" spans="1:3" ht="15">
      <c r="A1271" s="222">
        <v>17529</v>
      </c>
      <c r="B1271" s="223" t="s">
        <v>47</v>
      </c>
      <c r="C1271" s="222" t="s">
        <v>48</v>
      </c>
    </row>
    <row r="1272" spans="1:3" ht="15">
      <c r="A1272" s="222">
        <v>17532</v>
      </c>
      <c r="B1272" s="223" t="s">
        <v>47</v>
      </c>
      <c r="C1272" s="222" t="s">
        <v>48</v>
      </c>
    </row>
    <row r="1273" spans="1:3" ht="15">
      <c r="A1273" s="222">
        <v>17533</v>
      </c>
      <c r="B1273" s="223" t="s">
        <v>47</v>
      </c>
      <c r="C1273" s="222" t="s">
        <v>48</v>
      </c>
    </row>
    <row r="1274" spans="1:3" ht="15">
      <c r="A1274" s="222">
        <v>17534</v>
      </c>
      <c r="B1274" s="223" t="s">
        <v>47</v>
      </c>
      <c r="C1274" s="222" t="s">
        <v>48</v>
      </c>
    </row>
    <row r="1275" spans="1:3" ht="15">
      <c r="A1275" s="222">
        <v>17535</v>
      </c>
      <c r="B1275" s="223" t="s">
        <v>47</v>
      </c>
      <c r="C1275" s="222" t="s">
        <v>48</v>
      </c>
    </row>
    <row r="1276" spans="1:3" ht="15">
      <c r="A1276" s="222">
        <v>17536</v>
      </c>
      <c r="B1276" s="223" t="s">
        <v>47</v>
      </c>
      <c r="C1276" s="222" t="s">
        <v>48</v>
      </c>
    </row>
    <row r="1277" spans="1:3" ht="15">
      <c r="A1277" s="222">
        <v>17537</v>
      </c>
      <c r="B1277" s="223" t="s">
        <v>47</v>
      </c>
      <c r="C1277" s="222" t="s">
        <v>48</v>
      </c>
    </row>
    <row r="1278" spans="1:3" ht="15">
      <c r="A1278" s="222">
        <v>17538</v>
      </c>
      <c r="B1278" s="223" t="s">
        <v>47</v>
      </c>
      <c r="C1278" s="222" t="s">
        <v>48</v>
      </c>
    </row>
    <row r="1279" spans="1:3" ht="15">
      <c r="A1279" s="222">
        <v>17540</v>
      </c>
      <c r="B1279" s="223" t="s">
        <v>47</v>
      </c>
      <c r="C1279" s="222" t="s">
        <v>48</v>
      </c>
    </row>
    <row r="1280" spans="1:3" ht="15">
      <c r="A1280" s="222">
        <v>17543</v>
      </c>
      <c r="B1280" s="223" t="s">
        <v>47</v>
      </c>
      <c r="C1280" s="222" t="s">
        <v>48</v>
      </c>
    </row>
    <row r="1281" spans="1:3" ht="15">
      <c r="A1281" s="222">
        <v>17545</v>
      </c>
      <c r="B1281" s="223" t="s">
        <v>47</v>
      </c>
      <c r="C1281" s="222" t="s">
        <v>48</v>
      </c>
    </row>
    <row r="1282" spans="1:3" ht="15">
      <c r="A1282" s="222">
        <v>17547</v>
      </c>
      <c r="B1282" s="223" t="s">
        <v>47</v>
      </c>
      <c r="C1282" s="222" t="s">
        <v>48</v>
      </c>
    </row>
    <row r="1283" spans="1:3" ht="15">
      <c r="A1283" s="222">
        <v>17549</v>
      </c>
      <c r="B1283" s="223" t="s">
        <v>47</v>
      </c>
      <c r="C1283" s="222" t="s">
        <v>48</v>
      </c>
    </row>
    <row r="1284" spans="1:3" ht="15">
      <c r="A1284" s="222">
        <v>17550</v>
      </c>
      <c r="B1284" s="223" t="s">
        <v>47</v>
      </c>
      <c r="C1284" s="222" t="s">
        <v>48</v>
      </c>
    </row>
    <row r="1285" spans="1:3" ht="15">
      <c r="A1285" s="222">
        <v>17551</v>
      </c>
      <c r="B1285" s="223" t="s">
        <v>47</v>
      </c>
      <c r="C1285" s="222" t="s">
        <v>48</v>
      </c>
    </row>
    <row r="1286" spans="1:3" ht="15">
      <c r="A1286" s="222">
        <v>17552</v>
      </c>
      <c r="B1286" s="223" t="s">
        <v>47</v>
      </c>
      <c r="C1286" s="222" t="s">
        <v>48</v>
      </c>
    </row>
    <row r="1287" spans="1:3" ht="15">
      <c r="A1287" s="222">
        <v>17554</v>
      </c>
      <c r="B1287" s="223" t="s">
        <v>47</v>
      </c>
      <c r="C1287" s="222" t="s">
        <v>48</v>
      </c>
    </row>
    <row r="1288" spans="1:3" ht="15">
      <c r="A1288" s="222">
        <v>17555</v>
      </c>
      <c r="B1288" s="223" t="s">
        <v>47</v>
      </c>
      <c r="C1288" s="222" t="s">
        <v>48</v>
      </c>
    </row>
    <row r="1289" spans="1:3" ht="15">
      <c r="A1289" s="222">
        <v>17557</v>
      </c>
      <c r="B1289" s="223" t="s">
        <v>47</v>
      </c>
      <c r="C1289" s="222" t="s">
        <v>48</v>
      </c>
    </row>
    <row r="1290" spans="1:3" ht="15">
      <c r="A1290" s="222">
        <v>17560</v>
      </c>
      <c r="B1290" s="223" t="s">
        <v>47</v>
      </c>
      <c r="C1290" s="222" t="s">
        <v>48</v>
      </c>
    </row>
    <row r="1291" spans="1:3" ht="15">
      <c r="A1291" s="222">
        <v>17562</v>
      </c>
      <c r="B1291" s="223" t="s">
        <v>47</v>
      </c>
      <c r="C1291" s="222" t="s">
        <v>48</v>
      </c>
    </row>
    <row r="1292" spans="1:3" ht="15">
      <c r="A1292" s="222">
        <v>17563</v>
      </c>
      <c r="B1292" s="223" t="s">
        <v>47</v>
      </c>
      <c r="C1292" s="222" t="s">
        <v>48</v>
      </c>
    </row>
    <row r="1293" spans="1:3" ht="15">
      <c r="A1293" s="222">
        <v>17564</v>
      </c>
      <c r="B1293" s="223" t="s">
        <v>47</v>
      </c>
      <c r="C1293" s="222" t="s">
        <v>48</v>
      </c>
    </row>
    <row r="1294" spans="1:3" ht="15">
      <c r="A1294" s="222">
        <v>17565</v>
      </c>
      <c r="B1294" s="223" t="s">
        <v>47</v>
      </c>
      <c r="C1294" s="222" t="s">
        <v>48</v>
      </c>
    </row>
    <row r="1295" spans="1:3" ht="15">
      <c r="A1295" s="222">
        <v>17566</v>
      </c>
      <c r="B1295" s="223" t="s">
        <v>47</v>
      </c>
      <c r="C1295" s="222" t="s">
        <v>48</v>
      </c>
    </row>
    <row r="1296" spans="1:3" ht="15">
      <c r="A1296" s="222">
        <v>17567</v>
      </c>
      <c r="B1296" s="223" t="s">
        <v>47</v>
      </c>
      <c r="C1296" s="222" t="s">
        <v>48</v>
      </c>
    </row>
    <row r="1297" spans="1:3" ht="15">
      <c r="A1297" s="222">
        <v>17568</v>
      </c>
      <c r="B1297" s="223" t="s">
        <v>47</v>
      </c>
      <c r="C1297" s="222" t="s">
        <v>48</v>
      </c>
    </row>
    <row r="1298" spans="1:3" ht="15">
      <c r="A1298" s="222">
        <v>17569</v>
      </c>
      <c r="B1298" s="223" t="s">
        <v>47</v>
      </c>
      <c r="C1298" s="222" t="s">
        <v>48</v>
      </c>
    </row>
    <row r="1299" spans="1:3" ht="15">
      <c r="A1299" s="222">
        <v>17570</v>
      </c>
      <c r="B1299" s="223" t="s">
        <v>47</v>
      </c>
      <c r="C1299" s="222" t="s">
        <v>48</v>
      </c>
    </row>
    <row r="1300" spans="1:3" ht="15">
      <c r="A1300" s="222">
        <v>17572</v>
      </c>
      <c r="B1300" s="223" t="s">
        <v>47</v>
      </c>
      <c r="C1300" s="222" t="s">
        <v>48</v>
      </c>
    </row>
    <row r="1301" spans="1:3" ht="15">
      <c r="A1301" s="222">
        <v>17573</v>
      </c>
      <c r="B1301" s="223" t="s">
        <v>47</v>
      </c>
      <c r="C1301" s="222" t="s">
        <v>48</v>
      </c>
    </row>
    <row r="1302" spans="1:3" ht="15">
      <c r="A1302" s="222">
        <v>17575</v>
      </c>
      <c r="B1302" s="223" t="s">
        <v>47</v>
      </c>
      <c r="C1302" s="222" t="s">
        <v>48</v>
      </c>
    </row>
    <row r="1303" spans="1:3" ht="15">
      <c r="A1303" s="222">
        <v>17576</v>
      </c>
      <c r="B1303" s="223" t="s">
        <v>47</v>
      </c>
      <c r="C1303" s="222" t="s">
        <v>48</v>
      </c>
    </row>
    <row r="1304" spans="1:3" ht="15">
      <c r="A1304" s="222">
        <v>17577</v>
      </c>
      <c r="B1304" s="223" t="s">
        <v>47</v>
      </c>
      <c r="C1304" s="222" t="s">
        <v>48</v>
      </c>
    </row>
    <row r="1305" spans="1:3" ht="15">
      <c r="A1305" s="222">
        <v>17578</v>
      </c>
      <c r="B1305" s="223" t="s">
        <v>47</v>
      </c>
      <c r="C1305" s="222" t="s">
        <v>48</v>
      </c>
    </row>
    <row r="1306" spans="1:3" ht="15">
      <c r="A1306" s="222">
        <v>17579</v>
      </c>
      <c r="B1306" s="223" t="s">
        <v>47</v>
      </c>
      <c r="C1306" s="222" t="s">
        <v>48</v>
      </c>
    </row>
    <row r="1307" spans="1:3" ht="15">
      <c r="A1307" s="222">
        <v>17580</v>
      </c>
      <c r="B1307" s="223" t="s">
        <v>47</v>
      </c>
      <c r="C1307" s="222" t="s">
        <v>48</v>
      </c>
    </row>
    <row r="1308" spans="1:3" ht="15">
      <c r="A1308" s="222">
        <v>17581</v>
      </c>
      <c r="B1308" s="223" t="s">
        <v>47</v>
      </c>
      <c r="C1308" s="222" t="s">
        <v>48</v>
      </c>
    </row>
    <row r="1309" spans="1:3" ht="15">
      <c r="A1309" s="222">
        <v>17582</v>
      </c>
      <c r="B1309" s="223" t="s">
        <v>47</v>
      </c>
      <c r="C1309" s="222" t="s">
        <v>48</v>
      </c>
    </row>
    <row r="1310" spans="1:3" ht="15">
      <c r="A1310" s="222">
        <v>17583</v>
      </c>
      <c r="B1310" s="223" t="s">
        <v>47</v>
      </c>
      <c r="C1310" s="222" t="s">
        <v>48</v>
      </c>
    </row>
    <row r="1311" spans="1:3" ht="15">
      <c r="A1311" s="222">
        <v>17584</v>
      </c>
      <c r="B1311" s="223" t="s">
        <v>47</v>
      </c>
      <c r="C1311" s="222" t="s">
        <v>48</v>
      </c>
    </row>
    <row r="1312" spans="1:3" ht="15">
      <c r="A1312" s="222">
        <v>17585</v>
      </c>
      <c r="B1312" s="223" t="s">
        <v>47</v>
      </c>
      <c r="C1312" s="222" t="s">
        <v>48</v>
      </c>
    </row>
    <row r="1313" spans="1:3" ht="15">
      <c r="A1313" s="222">
        <v>17601</v>
      </c>
      <c r="B1313" s="223" t="s">
        <v>47</v>
      </c>
      <c r="C1313" s="222" t="s">
        <v>48</v>
      </c>
    </row>
    <row r="1314" spans="1:3" ht="15">
      <c r="A1314" s="222">
        <v>17602</v>
      </c>
      <c r="B1314" s="223" t="s">
        <v>47</v>
      </c>
      <c r="C1314" s="222" t="s">
        <v>48</v>
      </c>
    </row>
    <row r="1315" spans="1:3" ht="15">
      <c r="A1315" s="222">
        <v>17603</v>
      </c>
      <c r="B1315" s="223" t="s">
        <v>47</v>
      </c>
      <c r="C1315" s="222" t="s">
        <v>48</v>
      </c>
    </row>
    <row r="1316" spans="1:3" ht="15">
      <c r="A1316" s="222">
        <v>17604</v>
      </c>
      <c r="B1316" s="223" t="s">
        <v>47</v>
      </c>
      <c r="C1316" s="222" t="s">
        <v>48</v>
      </c>
    </row>
    <row r="1317" spans="1:3" ht="15">
      <c r="A1317" s="222">
        <v>17605</v>
      </c>
      <c r="B1317" s="223" t="s">
        <v>47</v>
      </c>
      <c r="C1317" s="222" t="s">
        <v>48</v>
      </c>
    </row>
    <row r="1318" spans="1:3" ht="15">
      <c r="A1318" s="222">
        <v>17606</v>
      </c>
      <c r="B1318" s="223" t="s">
        <v>47</v>
      </c>
      <c r="C1318" s="222" t="s">
        <v>48</v>
      </c>
    </row>
    <row r="1319" spans="1:3" ht="15">
      <c r="A1319" s="222">
        <v>17607</v>
      </c>
      <c r="B1319" s="223" t="s">
        <v>47</v>
      </c>
      <c r="C1319" s="222" t="s">
        <v>48</v>
      </c>
    </row>
    <row r="1320" spans="1:3" ht="15">
      <c r="A1320" s="222">
        <v>17608</v>
      </c>
      <c r="B1320" s="223" t="s">
        <v>47</v>
      </c>
      <c r="C1320" s="222" t="s">
        <v>48</v>
      </c>
    </row>
    <row r="1321" spans="1:3" ht="15">
      <c r="A1321" s="222">
        <v>17611</v>
      </c>
      <c r="B1321" s="223" t="s">
        <v>47</v>
      </c>
      <c r="C1321" s="222" t="s">
        <v>48</v>
      </c>
    </row>
    <row r="1322" spans="1:3" ht="15">
      <c r="A1322" s="222">
        <v>17622</v>
      </c>
      <c r="B1322" s="223" t="s">
        <v>47</v>
      </c>
      <c r="C1322" s="222" t="s">
        <v>48</v>
      </c>
    </row>
    <row r="1323" spans="1:3" ht="15">
      <c r="A1323" s="222">
        <v>17699</v>
      </c>
      <c r="B1323" s="223" t="s">
        <v>47</v>
      </c>
      <c r="C1323" s="222" t="s">
        <v>48</v>
      </c>
    </row>
    <row r="1324" spans="1:3" ht="15">
      <c r="A1324" s="222">
        <v>17701</v>
      </c>
      <c r="B1324" s="223" t="s">
        <v>43</v>
      </c>
      <c r="C1324" s="222" t="s">
        <v>44</v>
      </c>
    </row>
    <row r="1325" spans="1:3" ht="15">
      <c r="A1325" s="222">
        <v>17702</v>
      </c>
      <c r="B1325" s="223" t="s">
        <v>43</v>
      </c>
      <c r="C1325" s="222" t="s">
        <v>44</v>
      </c>
    </row>
    <row r="1326" spans="1:3" ht="15">
      <c r="A1326" s="222">
        <v>17703</v>
      </c>
      <c r="B1326" s="223" t="s">
        <v>43</v>
      </c>
      <c r="C1326" s="222" t="s">
        <v>44</v>
      </c>
    </row>
    <row r="1327" spans="1:3" ht="15">
      <c r="A1327" s="222">
        <v>17705</v>
      </c>
      <c r="B1327" s="223" t="s">
        <v>43</v>
      </c>
      <c r="C1327" s="222" t="s">
        <v>44</v>
      </c>
    </row>
    <row r="1328" spans="1:3" ht="15">
      <c r="A1328" s="222">
        <v>17720</v>
      </c>
      <c r="B1328" s="223" t="s">
        <v>43</v>
      </c>
      <c r="C1328" s="222" t="s">
        <v>44</v>
      </c>
    </row>
    <row r="1329" spans="1:3" ht="15">
      <c r="A1329" s="222">
        <v>17721</v>
      </c>
      <c r="B1329" s="223" t="s">
        <v>43</v>
      </c>
      <c r="C1329" s="222" t="s">
        <v>44</v>
      </c>
    </row>
    <row r="1330" spans="1:3" ht="15">
      <c r="A1330" s="222">
        <v>17722</v>
      </c>
      <c r="B1330" s="223" t="s">
        <v>43</v>
      </c>
      <c r="C1330" s="222" t="s">
        <v>44</v>
      </c>
    </row>
    <row r="1331" spans="1:3" ht="15">
      <c r="A1331" s="222">
        <v>17723</v>
      </c>
      <c r="B1331" s="223" t="s">
        <v>43</v>
      </c>
      <c r="C1331" s="222" t="s">
        <v>44</v>
      </c>
    </row>
    <row r="1332" spans="1:3" ht="15">
      <c r="A1332" s="222">
        <v>17724</v>
      </c>
      <c r="B1332" s="223" t="s">
        <v>45</v>
      </c>
      <c r="C1332" s="222" t="s">
        <v>46</v>
      </c>
    </row>
    <row r="1333" spans="1:3" ht="15">
      <c r="A1333" s="222">
        <v>17726</v>
      </c>
      <c r="B1333" s="223" t="s">
        <v>43</v>
      </c>
      <c r="C1333" s="222" t="s">
        <v>44</v>
      </c>
    </row>
    <row r="1334" spans="1:3" ht="15">
      <c r="A1334" s="222">
        <v>17727</v>
      </c>
      <c r="B1334" s="223" t="s">
        <v>43</v>
      </c>
      <c r="C1334" s="222" t="s">
        <v>44</v>
      </c>
    </row>
    <row r="1335" spans="1:3" ht="15">
      <c r="A1335" s="222">
        <v>17728</v>
      </c>
      <c r="B1335" s="223" t="s">
        <v>43</v>
      </c>
      <c r="C1335" s="222" t="s">
        <v>44</v>
      </c>
    </row>
    <row r="1336" spans="1:3" ht="15">
      <c r="A1336" s="222">
        <v>17729</v>
      </c>
      <c r="B1336" s="223" t="s">
        <v>43</v>
      </c>
      <c r="C1336" s="222" t="s">
        <v>44</v>
      </c>
    </row>
    <row r="1337" spans="1:3" ht="15">
      <c r="A1337" s="222">
        <v>17730</v>
      </c>
      <c r="B1337" s="223" t="s">
        <v>43</v>
      </c>
      <c r="C1337" s="222" t="s">
        <v>44</v>
      </c>
    </row>
    <row r="1338" spans="1:3" ht="15">
      <c r="A1338" s="222">
        <v>17731</v>
      </c>
      <c r="B1338" s="223" t="s">
        <v>45</v>
      </c>
      <c r="C1338" s="222" t="s">
        <v>46</v>
      </c>
    </row>
    <row r="1339" spans="1:3" ht="15">
      <c r="A1339" s="222">
        <v>17735</v>
      </c>
      <c r="B1339" s="223" t="s">
        <v>45</v>
      </c>
      <c r="C1339" s="222" t="s">
        <v>46</v>
      </c>
    </row>
    <row r="1340" spans="1:3" ht="15">
      <c r="A1340" s="222">
        <v>17737</v>
      </c>
      <c r="B1340" s="223" t="s">
        <v>43</v>
      </c>
      <c r="C1340" s="222" t="s">
        <v>44</v>
      </c>
    </row>
    <row r="1341" spans="1:3" ht="15">
      <c r="A1341" s="222">
        <v>17738</v>
      </c>
      <c r="B1341" s="223" t="s">
        <v>43</v>
      </c>
      <c r="C1341" s="222" t="s">
        <v>44</v>
      </c>
    </row>
    <row r="1342" spans="1:3" ht="15">
      <c r="A1342" s="222">
        <v>17739</v>
      </c>
      <c r="B1342" s="223" t="s">
        <v>43</v>
      </c>
      <c r="C1342" s="222" t="s">
        <v>44</v>
      </c>
    </row>
    <row r="1343" spans="1:3" ht="15">
      <c r="A1343" s="222">
        <v>17740</v>
      </c>
      <c r="B1343" s="223" t="s">
        <v>43</v>
      </c>
      <c r="C1343" s="222" t="s">
        <v>44</v>
      </c>
    </row>
    <row r="1344" spans="1:3" ht="15">
      <c r="A1344" s="222">
        <v>17742</v>
      </c>
      <c r="B1344" s="223" t="s">
        <v>43</v>
      </c>
      <c r="C1344" s="222" t="s">
        <v>44</v>
      </c>
    </row>
    <row r="1345" spans="1:3" ht="15">
      <c r="A1345" s="222">
        <v>17744</v>
      </c>
      <c r="B1345" s="223" t="s">
        <v>43</v>
      </c>
      <c r="C1345" s="222" t="s">
        <v>44</v>
      </c>
    </row>
    <row r="1346" spans="1:3" ht="15">
      <c r="A1346" s="222">
        <v>17745</v>
      </c>
      <c r="B1346" s="223" t="s">
        <v>43</v>
      </c>
      <c r="C1346" s="222" t="s">
        <v>44</v>
      </c>
    </row>
    <row r="1347" spans="1:3" ht="15">
      <c r="A1347" s="222">
        <v>17747</v>
      </c>
      <c r="B1347" s="223" t="s">
        <v>43</v>
      </c>
      <c r="C1347" s="222" t="s">
        <v>44</v>
      </c>
    </row>
    <row r="1348" spans="1:3" ht="15">
      <c r="A1348" s="222">
        <v>17748</v>
      </c>
      <c r="B1348" s="223" t="s">
        <v>43</v>
      </c>
      <c r="C1348" s="222" t="s">
        <v>44</v>
      </c>
    </row>
    <row r="1349" spans="1:3" ht="15">
      <c r="A1349" s="222">
        <v>17749</v>
      </c>
      <c r="B1349" s="223" t="s">
        <v>43</v>
      </c>
      <c r="C1349" s="222" t="s">
        <v>44</v>
      </c>
    </row>
    <row r="1350" spans="1:3" ht="15">
      <c r="A1350" s="222">
        <v>17750</v>
      </c>
      <c r="B1350" s="223" t="s">
        <v>43</v>
      </c>
      <c r="C1350" s="222" t="s">
        <v>44</v>
      </c>
    </row>
    <row r="1351" spans="1:3" ht="15">
      <c r="A1351" s="222">
        <v>17751</v>
      </c>
      <c r="B1351" s="223" t="s">
        <v>43</v>
      </c>
      <c r="C1351" s="222" t="s">
        <v>44</v>
      </c>
    </row>
    <row r="1352" spans="1:3" ht="15">
      <c r="A1352" s="222">
        <v>17752</v>
      </c>
      <c r="B1352" s="223" t="s">
        <v>43</v>
      </c>
      <c r="C1352" s="222" t="s">
        <v>44</v>
      </c>
    </row>
    <row r="1353" spans="1:3" ht="15">
      <c r="A1353" s="222">
        <v>17754</v>
      </c>
      <c r="B1353" s="223" t="s">
        <v>43</v>
      </c>
      <c r="C1353" s="222" t="s">
        <v>44</v>
      </c>
    </row>
    <row r="1354" spans="1:3" ht="15">
      <c r="A1354" s="222">
        <v>17756</v>
      </c>
      <c r="B1354" s="223" t="s">
        <v>43</v>
      </c>
      <c r="C1354" s="222" t="s">
        <v>44</v>
      </c>
    </row>
    <row r="1355" spans="1:3" ht="15">
      <c r="A1355" s="222">
        <v>17758</v>
      </c>
      <c r="B1355" s="223" t="s">
        <v>45</v>
      </c>
      <c r="C1355" s="222" t="s">
        <v>46</v>
      </c>
    </row>
    <row r="1356" spans="1:3" ht="15">
      <c r="A1356" s="222">
        <v>17759</v>
      </c>
      <c r="B1356" s="223" t="s">
        <v>43</v>
      </c>
      <c r="C1356" s="222" t="s">
        <v>44</v>
      </c>
    </row>
    <row r="1357" spans="1:3" ht="15">
      <c r="A1357" s="222">
        <v>17760</v>
      </c>
      <c r="B1357" s="223" t="s">
        <v>43</v>
      </c>
      <c r="C1357" s="222" t="s">
        <v>44</v>
      </c>
    </row>
    <row r="1358" spans="1:3" ht="15">
      <c r="A1358" s="222">
        <v>17762</v>
      </c>
      <c r="B1358" s="223" t="s">
        <v>43</v>
      </c>
      <c r="C1358" s="222" t="s">
        <v>44</v>
      </c>
    </row>
    <row r="1359" spans="1:3" ht="15">
      <c r="A1359" s="222">
        <v>17763</v>
      </c>
      <c r="B1359" s="223" t="s">
        <v>43</v>
      </c>
      <c r="C1359" s="222" t="s">
        <v>44</v>
      </c>
    </row>
    <row r="1360" spans="1:3" ht="15">
      <c r="A1360" s="222">
        <v>17764</v>
      </c>
      <c r="B1360" s="223" t="s">
        <v>43</v>
      </c>
      <c r="C1360" s="222" t="s">
        <v>44</v>
      </c>
    </row>
    <row r="1361" spans="1:3" ht="15">
      <c r="A1361" s="222">
        <v>17765</v>
      </c>
      <c r="B1361" s="223" t="s">
        <v>41</v>
      </c>
      <c r="C1361" s="222" t="s">
        <v>42</v>
      </c>
    </row>
    <row r="1362" spans="1:3" ht="15">
      <c r="A1362" s="222">
        <v>17767</v>
      </c>
      <c r="B1362" s="223" t="s">
        <v>43</v>
      </c>
      <c r="C1362" s="222" t="s">
        <v>44</v>
      </c>
    </row>
    <row r="1363" spans="1:3" ht="15">
      <c r="A1363" s="222">
        <v>17768</v>
      </c>
      <c r="B1363" s="223" t="s">
        <v>45</v>
      </c>
      <c r="C1363" s="222" t="s">
        <v>46</v>
      </c>
    </row>
    <row r="1364" spans="1:3" ht="15">
      <c r="A1364" s="222">
        <v>17769</v>
      </c>
      <c r="B1364" s="223" t="s">
        <v>43</v>
      </c>
      <c r="C1364" s="222" t="s">
        <v>44</v>
      </c>
    </row>
    <row r="1365" spans="1:3" ht="15">
      <c r="A1365" s="222">
        <v>17771</v>
      </c>
      <c r="B1365" s="223" t="s">
        <v>43</v>
      </c>
      <c r="C1365" s="222" t="s">
        <v>44</v>
      </c>
    </row>
    <row r="1366" spans="1:3" ht="15">
      <c r="A1366" s="222">
        <v>17772</v>
      </c>
      <c r="B1366" s="223" t="s">
        <v>43</v>
      </c>
      <c r="C1366" s="222" t="s">
        <v>44</v>
      </c>
    </row>
    <row r="1367" spans="1:3" ht="15">
      <c r="A1367" s="222">
        <v>17773</v>
      </c>
      <c r="B1367" s="223" t="s">
        <v>43</v>
      </c>
      <c r="C1367" s="222" t="s">
        <v>44</v>
      </c>
    </row>
    <row r="1368" spans="1:3" ht="15">
      <c r="A1368" s="222">
        <v>17774</v>
      </c>
      <c r="B1368" s="223" t="s">
        <v>43</v>
      </c>
      <c r="C1368" s="222" t="s">
        <v>44</v>
      </c>
    </row>
    <row r="1369" spans="1:3" ht="15">
      <c r="A1369" s="222">
        <v>17776</v>
      </c>
      <c r="B1369" s="223" t="s">
        <v>43</v>
      </c>
      <c r="C1369" s="222" t="s">
        <v>44</v>
      </c>
    </row>
    <row r="1370" spans="1:3" ht="15">
      <c r="A1370" s="222">
        <v>17777</v>
      </c>
      <c r="B1370" s="223" t="s">
        <v>43</v>
      </c>
      <c r="C1370" s="222" t="s">
        <v>44</v>
      </c>
    </row>
    <row r="1371" spans="1:3" ht="15">
      <c r="A1371" s="222">
        <v>17778</v>
      </c>
      <c r="B1371" s="223" t="s">
        <v>43</v>
      </c>
      <c r="C1371" s="222" t="s">
        <v>44</v>
      </c>
    </row>
    <row r="1372" spans="1:3" ht="15">
      <c r="A1372" s="222">
        <v>17779</v>
      </c>
      <c r="B1372" s="223" t="s">
        <v>43</v>
      </c>
      <c r="C1372" s="222" t="s">
        <v>44</v>
      </c>
    </row>
    <row r="1373" spans="1:3" ht="15">
      <c r="A1373" s="222">
        <v>17801</v>
      </c>
      <c r="B1373" s="223" t="s">
        <v>43</v>
      </c>
      <c r="C1373" s="222" t="s">
        <v>44</v>
      </c>
    </row>
    <row r="1374" spans="1:3" ht="15">
      <c r="A1374" s="222">
        <v>17810</v>
      </c>
      <c r="B1374" s="223" t="s">
        <v>43</v>
      </c>
      <c r="C1374" s="222" t="s">
        <v>44</v>
      </c>
    </row>
    <row r="1375" spans="1:3" ht="15">
      <c r="A1375" s="222">
        <v>17812</v>
      </c>
      <c r="B1375" s="223" t="s">
        <v>43</v>
      </c>
      <c r="C1375" s="222" t="s">
        <v>44</v>
      </c>
    </row>
    <row r="1376" spans="1:3" ht="15">
      <c r="A1376" s="222">
        <v>17813</v>
      </c>
      <c r="B1376" s="223" t="s">
        <v>43</v>
      </c>
      <c r="C1376" s="222" t="s">
        <v>44</v>
      </c>
    </row>
    <row r="1377" spans="1:3" ht="15">
      <c r="A1377" s="222">
        <v>17814</v>
      </c>
      <c r="B1377" s="223" t="s">
        <v>43</v>
      </c>
      <c r="C1377" s="222" t="s">
        <v>44</v>
      </c>
    </row>
    <row r="1378" spans="1:3" ht="15">
      <c r="A1378" s="222">
        <v>17815</v>
      </c>
      <c r="B1378" s="223" t="s">
        <v>43</v>
      </c>
      <c r="C1378" s="222" t="s">
        <v>44</v>
      </c>
    </row>
    <row r="1379" spans="1:3" ht="15">
      <c r="A1379" s="222">
        <v>17820</v>
      </c>
      <c r="B1379" s="223" t="s">
        <v>43</v>
      </c>
      <c r="C1379" s="222" t="s">
        <v>44</v>
      </c>
    </row>
    <row r="1380" spans="1:3" ht="15">
      <c r="A1380" s="222">
        <v>17821</v>
      </c>
      <c r="B1380" s="223" t="s">
        <v>43</v>
      </c>
      <c r="C1380" s="222" t="s">
        <v>44</v>
      </c>
    </row>
    <row r="1381" spans="1:3" ht="15">
      <c r="A1381" s="222">
        <v>17822</v>
      </c>
      <c r="B1381" s="223" t="s">
        <v>43</v>
      </c>
      <c r="C1381" s="222" t="s">
        <v>44</v>
      </c>
    </row>
    <row r="1382" spans="1:3" ht="15">
      <c r="A1382" s="222">
        <v>17823</v>
      </c>
      <c r="B1382" s="223" t="s">
        <v>43</v>
      </c>
      <c r="C1382" s="222" t="s">
        <v>44</v>
      </c>
    </row>
    <row r="1383" spans="1:3" ht="15">
      <c r="A1383" s="222">
        <v>17824</v>
      </c>
      <c r="B1383" s="223" t="s">
        <v>43</v>
      </c>
      <c r="C1383" s="222" t="s">
        <v>44</v>
      </c>
    </row>
    <row r="1384" spans="1:3" ht="15">
      <c r="A1384" s="222">
        <v>17827</v>
      </c>
      <c r="B1384" s="223" t="s">
        <v>43</v>
      </c>
      <c r="C1384" s="222" t="s">
        <v>44</v>
      </c>
    </row>
    <row r="1385" spans="1:3" ht="15">
      <c r="A1385" s="222">
        <v>17829</v>
      </c>
      <c r="B1385" s="223" t="s">
        <v>43</v>
      </c>
      <c r="C1385" s="222" t="s">
        <v>44</v>
      </c>
    </row>
    <row r="1386" spans="1:3" ht="15">
      <c r="A1386" s="222">
        <v>17830</v>
      </c>
      <c r="B1386" s="223" t="s">
        <v>43</v>
      </c>
      <c r="C1386" s="222" t="s">
        <v>44</v>
      </c>
    </row>
    <row r="1387" spans="1:3" ht="15">
      <c r="A1387" s="222">
        <v>17831</v>
      </c>
      <c r="B1387" s="223" t="s">
        <v>43</v>
      </c>
      <c r="C1387" s="222" t="s">
        <v>44</v>
      </c>
    </row>
    <row r="1388" spans="1:3" ht="15">
      <c r="A1388" s="222">
        <v>17832</v>
      </c>
      <c r="B1388" s="223" t="s">
        <v>43</v>
      </c>
      <c r="C1388" s="222" t="s">
        <v>44</v>
      </c>
    </row>
    <row r="1389" spans="1:3" ht="15">
      <c r="A1389" s="222">
        <v>17833</v>
      </c>
      <c r="B1389" s="223" t="s">
        <v>43</v>
      </c>
      <c r="C1389" s="222" t="s">
        <v>44</v>
      </c>
    </row>
    <row r="1390" spans="1:3" ht="15">
      <c r="A1390" s="222">
        <v>17834</v>
      </c>
      <c r="B1390" s="223" t="s">
        <v>43</v>
      </c>
      <c r="C1390" s="222" t="s">
        <v>44</v>
      </c>
    </row>
    <row r="1391" spans="1:3" ht="15">
      <c r="A1391" s="222">
        <v>17835</v>
      </c>
      <c r="B1391" s="223" t="s">
        <v>43</v>
      </c>
      <c r="C1391" s="222" t="s">
        <v>44</v>
      </c>
    </row>
    <row r="1392" spans="1:3" ht="15">
      <c r="A1392" s="222">
        <v>17836</v>
      </c>
      <c r="B1392" s="223" t="s">
        <v>43</v>
      </c>
      <c r="C1392" s="222" t="s">
        <v>44</v>
      </c>
    </row>
    <row r="1393" spans="1:3" ht="15">
      <c r="A1393" s="222">
        <v>17837</v>
      </c>
      <c r="B1393" s="223" t="s">
        <v>43</v>
      </c>
      <c r="C1393" s="222" t="s">
        <v>44</v>
      </c>
    </row>
    <row r="1394" spans="1:3" ht="15">
      <c r="A1394" s="222">
        <v>17839</v>
      </c>
      <c r="B1394" s="223" t="s">
        <v>43</v>
      </c>
      <c r="C1394" s="222" t="s">
        <v>44</v>
      </c>
    </row>
    <row r="1395" spans="1:3" ht="15">
      <c r="A1395" s="222">
        <v>17840</v>
      </c>
      <c r="B1395" s="223" t="s">
        <v>43</v>
      </c>
      <c r="C1395" s="222" t="s">
        <v>44</v>
      </c>
    </row>
    <row r="1396" spans="1:3" ht="15">
      <c r="A1396" s="222">
        <v>17841</v>
      </c>
      <c r="B1396" s="223" t="s">
        <v>43</v>
      </c>
      <c r="C1396" s="222" t="s">
        <v>44</v>
      </c>
    </row>
    <row r="1397" spans="1:3" ht="15">
      <c r="A1397" s="222">
        <v>17842</v>
      </c>
      <c r="B1397" s="223" t="s">
        <v>43</v>
      </c>
      <c r="C1397" s="222" t="s">
        <v>44</v>
      </c>
    </row>
    <row r="1398" spans="1:3" ht="15">
      <c r="A1398" s="222">
        <v>17843</v>
      </c>
      <c r="B1398" s="223" t="s">
        <v>43</v>
      </c>
      <c r="C1398" s="222" t="s">
        <v>44</v>
      </c>
    </row>
    <row r="1399" spans="1:3" ht="15">
      <c r="A1399" s="222">
        <v>17844</v>
      </c>
      <c r="B1399" s="223" t="s">
        <v>43</v>
      </c>
      <c r="C1399" s="222" t="s">
        <v>44</v>
      </c>
    </row>
    <row r="1400" spans="1:3" ht="15">
      <c r="A1400" s="222">
        <v>17845</v>
      </c>
      <c r="B1400" s="223" t="s">
        <v>43</v>
      </c>
      <c r="C1400" s="222" t="s">
        <v>44</v>
      </c>
    </row>
    <row r="1401" spans="1:3" ht="15">
      <c r="A1401" s="222">
        <v>17846</v>
      </c>
      <c r="B1401" s="223" t="s">
        <v>43</v>
      </c>
      <c r="C1401" s="222" t="s">
        <v>44</v>
      </c>
    </row>
    <row r="1402" spans="1:3" ht="15">
      <c r="A1402" s="222">
        <v>17847</v>
      </c>
      <c r="B1402" s="223" t="s">
        <v>43</v>
      </c>
      <c r="C1402" s="222" t="s">
        <v>44</v>
      </c>
    </row>
    <row r="1403" spans="1:3" ht="15">
      <c r="A1403" s="222">
        <v>17850</v>
      </c>
      <c r="B1403" s="223" t="s">
        <v>43</v>
      </c>
      <c r="C1403" s="222" t="s">
        <v>44</v>
      </c>
    </row>
    <row r="1404" spans="1:3" ht="15">
      <c r="A1404" s="222">
        <v>17851</v>
      </c>
      <c r="B1404" s="223" t="s">
        <v>43</v>
      </c>
      <c r="C1404" s="222" t="s">
        <v>44</v>
      </c>
    </row>
    <row r="1405" spans="1:3" ht="15">
      <c r="A1405" s="222">
        <v>17853</v>
      </c>
      <c r="B1405" s="223" t="s">
        <v>43</v>
      </c>
      <c r="C1405" s="222" t="s">
        <v>44</v>
      </c>
    </row>
    <row r="1406" spans="1:3" ht="15">
      <c r="A1406" s="222">
        <v>17855</v>
      </c>
      <c r="B1406" s="223" t="s">
        <v>43</v>
      </c>
      <c r="C1406" s="222" t="s">
        <v>44</v>
      </c>
    </row>
    <row r="1407" spans="1:3" ht="15">
      <c r="A1407" s="222">
        <v>17856</v>
      </c>
      <c r="B1407" s="223" t="s">
        <v>43</v>
      </c>
      <c r="C1407" s="222" t="s">
        <v>44</v>
      </c>
    </row>
    <row r="1408" spans="1:3" ht="15">
      <c r="A1408" s="222">
        <v>17857</v>
      </c>
      <c r="B1408" s="223" t="s">
        <v>43</v>
      </c>
      <c r="C1408" s="222" t="s">
        <v>44</v>
      </c>
    </row>
    <row r="1409" spans="1:3" ht="15">
      <c r="A1409" s="222">
        <v>17858</v>
      </c>
      <c r="B1409" s="223" t="s">
        <v>43</v>
      </c>
      <c r="C1409" s="222" t="s">
        <v>44</v>
      </c>
    </row>
    <row r="1410" spans="1:3" ht="15">
      <c r="A1410" s="222">
        <v>17859</v>
      </c>
      <c r="B1410" s="223" t="s">
        <v>43</v>
      </c>
      <c r="C1410" s="222" t="s">
        <v>44</v>
      </c>
    </row>
    <row r="1411" spans="1:3" ht="15">
      <c r="A1411" s="222">
        <v>17860</v>
      </c>
      <c r="B1411" s="223" t="s">
        <v>43</v>
      </c>
      <c r="C1411" s="222" t="s">
        <v>44</v>
      </c>
    </row>
    <row r="1412" spans="1:3" ht="15">
      <c r="A1412" s="222">
        <v>17861</v>
      </c>
      <c r="B1412" s="223" t="s">
        <v>43</v>
      </c>
      <c r="C1412" s="222" t="s">
        <v>44</v>
      </c>
    </row>
    <row r="1413" spans="1:3" ht="15">
      <c r="A1413" s="222">
        <v>17862</v>
      </c>
      <c r="B1413" s="223" t="s">
        <v>43</v>
      </c>
      <c r="C1413" s="222" t="s">
        <v>44</v>
      </c>
    </row>
    <row r="1414" spans="1:3" ht="15">
      <c r="A1414" s="222">
        <v>17864</v>
      </c>
      <c r="B1414" s="223" t="s">
        <v>43</v>
      </c>
      <c r="C1414" s="222" t="s">
        <v>44</v>
      </c>
    </row>
    <row r="1415" spans="1:3" ht="15">
      <c r="A1415" s="222">
        <v>17865</v>
      </c>
      <c r="B1415" s="223" t="s">
        <v>43</v>
      </c>
      <c r="C1415" s="222" t="s">
        <v>44</v>
      </c>
    </row>
    <row r="1416" spans="1:3" ht="15">
      <c r="A1416" s="222">
        <v>17866</v>
      </c>
      <c r="B1416" s="223" t="s">
        <v>43</v>
      </c>
      <c r="C1416" s="222" t="s">
        <v>44</v>
      </c>
    </row>
    <row r="1417" spans="1:3" ht="15">
      <c r="A1417" s="222">
        <v>17867</v>
      </c>
      <c r="B1417" s="223" t="s">
        <v>43</v>
      </c>
      <c r="C1417" s="222" t="s">
        <v>44</v>
      </c>
    </row>
    <row r="1418" spans="1:3" ht="15">
      <c r="A1418" s="222">
        <v>17868</v>
      </c>
      <c r="B1418" s="223" t="s">
        <v>43</v>
      </c>
      <c r="C1418" s="222" t="s">
        <v>44</v>
      </c>
    </row>
    <row r="1419" spans="1:3" ht="15">
      <c r="A1419" s="222">
        <v>17870</v>
      </c>
      <c r="B1419" s="223" t="s">
        <v>43</v>
      </c>
      <c r="C1419" s="222" t="s">
        <v>44</v>
      </c>
    </row>
    <row r="1420" spans="1:3" ht="15">
      <c r="A1420" s="222">
        <v>17872</v>
      </c>
      <c r="B1420" s="223" t="s">
        <v>43</v>
      </c>
      <c r="C1420" s="222" t="s">
        <v>44</v>
      </c>
    </row>
    <row r="1421" spans="1:3" ht="15">
      <c r="A1421" s="222">
        <v>17876</v>
      </c>
      <c r="B1421" s="223" t="s">
        <v>43</v>
      </c>
      <c r="C1421" s="222" t="s">
        <v>44</v>
      </c>
    </row>
    <row r="1422" spans="1:3" ht="15">
      <c r="A1422" s="222">
        <v>17877</v>
      </c>
      <c r="B1422" s="223" t="s">
        <v>43</v>
      </c>
      <c r="C1422" s="222" t="s">
        <v>44</v>
      </c>
    </row>
    <row r="1423" spans="1:3" ht="15">
      <c r="A1423" s="222">
        <v>17878</v>
      </c>
      <c r="B1423" s="223" t="s">
        <v>43</v>
      </c>
      <c r="C1423" s="222" t="s">
        <v>44</v>
      </c>
    </row>
    <row r="1424" spans="1:3" ht="15">
      <c r="A1424" s="222">
        <v>17880</v>
      </c>
      <c r="B1424" s="223" t="s">
        <v>43</v>
      </c>
      <c r="C1424" s="222" t="s">
        <v>44</v>
      </c>
    </row>
    <row r="1425" spans="1:3" ht="15">
      <c r="A1425" s="222">
        <v>17881</v>
      </c>
      <c r="B1425" s="223" t="s">
        <v>43</v>
      </c>
      <c r="C1425" s="222" t="s">
        <v>44</v>
      </c>
    </row>
    <row r="1426" spans="1:3" ht="15">
      <c r="A1426" s="222">
        <v>17882</v>
      </c>
      <c r="B1426" s="223" t="s">
        <v>43</v>
      </c>
      <c r="C1426" s="222" t="s">
        <v>44</v>
      </c>
    </row>
    <row r="1427" spans="1:3" ht="15">
      <c r="A1427" s="222">
        <v>17883</v>
      </c>
      <c r="B1427" s="223" t="s">
        <v>43</v>
      </c>
      <c r="C1427" s="222" t="s">
        <v>44</v>
      </c>
    </row>
    <row r="1428" spans="1:3" ht="15">
      <c r="A1428" s="222">
        <v>17884</v>
      </c>
      <c r="B1428" s="223" t="s">
        <v>43</v>
      </c>
      <c r="C1428" s="222" t="s">
        <v>44</v>
      </c>
    </row>
    <row r="1429" spans="1:3" ht="15">
      <c r="A1429" s="222">
        <v>17885</v>
      </c>
      <c r="B1429" s="223" t="s">
        <v>43</v>
      </c>
      <c r="C1429" s="222" t="s">
        <v>44</v>
      </c>
    </row>
    <row r="1430" spans="1:3" ht="15">
      <c r="A1430" s="222">
        <v>17886</v>
      </c>
      <c r="B1430" s="223" t="s">
        <v>43</v>
      </c>
      <c r="C1430" s="222" t="s">
        <v>44</v>
      </c>
    </row>
    <row r="1431" spans="1:3" ht="15">
      <c r="A1431" s="222">
        <v>17887</v>
      </c>
      <c r="B1431" s="223" t="s">
        <v>43</v>
      </c>
      <c r="C1431" s="222" t="s">
        <v>44</v>
      </c>
    </row>
    <row r="1432" spans="1:3" ht="15">
      <c r="A1432" s="222">
        <v>17888</v>
      </c>
      <c r="B1432" s="223" t="s">
        <v>43</v>
      </c>
      <c r="C1432" s="222" t="s">
        <v>44</v>
      </c>
    </row>
    <row r="1433" spans="1:3" ht="15">
      <c r="A1433" s="222">
        <v>17889</v>
      </c>
      <c r="B1433" s="223" t="s">
        <v>43</v>
      </c>
      <c r="C1433" s="222" t="s">
        <v>44</v>
      </c>
    </row>
    <row r="1434" spans="1:3" ht="15">
      <c r="A1434" s="222">
        <v>17901</v>
      </c>
      <c r="B1434" s="223" t="s">
        <v>49</v>
      </c>
      <c r="C1434" s="222" t="s">
        <v>50</v>
      </c>
    </row>
    <row r="1435" spans="1:3" ht="15">
      <c r="A1435" s="222">
        <v>17920</v>
      </c>
      <c r="B1435" s="223" t="s">
        <v>43</v>
      </c>
      <c r="C1435" s="222" t="s">
        <v>44</v>
      </c>
    </row>
    <row r="1436" spans="1:3" ht="15">
      <c r="A1436" s="222">
        <v>17921</v>
      </c>
      <c r="B1436" s="223" t="s">
        <v>49</v>
      </c>
      <c r="C1436" s="222" t="s">
        <v>50</v>
      </c>
    </row>
    <row r="1437" spans="1:3" ht="15">
      <c r="A1437" s="222">
        <v>17922</v>
      </c>
      <c r="B1437" s="223" t="s">
        <v>49</v>
      </c>
      <c r="C1437" s="222" t="s">
        <v>50</v>
      </c>
    </row>
    <row r="1438" spans="1:3" ht="15">
      <c r="A1438" s="222">
        <v>17923</v>
      </c>
      <c r="B1438" s="223" t="s">
        <v>49</v>
      </c>
      <c r="C1438" s="222" t="s">
        <v>50</v>
      </c>
    </row>
    <row r="1439" spans="1:3" ht="15">
      <c r="A1439" s="222">
        <v>17925</v>
      </c>
      <c r="B1439" s="223" t="s">
        <v>49</v>
      </c>
      <c r="C1439" s="222" t="s">
        <v>50</v>
      </c>
    </row>
    <row r="1440" spans="1:3" ht="15">
      <c r="A1440" s="222">
        <v>17929</v>
      </c>
      <c r="B1440" s="223" t="s">
        <v>49</v>
      </c>
      <c r="C1440" s="222" t="s">
        <v>50</v>
      </c>
    </row>
    <row r="1441" spans="1:3" ht="15">
      <c r="A1441" s="222">
        <v>17930</v>
      </c>
      <c r="B1441" s="223" t="s">
        <v>49</v>
      </c>
      <c r="C1441" s="222" t="s">
        <v>50</v>
      </c>
    </row>
    <row r="1442" spans="1:3" ht="15">
      <c r="A1442" s="222">
        <v>17931</v>
      </c>
      <c r="B1442" s="223" t="s">
        <v>49</v>
      </c>
      <c r="C1442" s="222" t="s">
        <v>50</v>
      </c>
    </row>
    <row r="1443" spans="1:3" ht="15">
      <c r="A1443" s="222">
        <v>17932</v>
      </c>
      <c r="B1443" s="223" t="s">
        <v>49</v>
      </c>
      <c r="C1443" s="222" t="s">
        <v>50</v>
      </c>
    </row>
    <row r="1444" spans="1:3" ht="15">
      <c r="A1444" s="222">
        <v>17933</v>
      </c>
      <c r="B1444" s="223" t="s">
        <v>49</v>
      </c>
      <c r="C1444" s="222" t="s">
        <v>50</v>
      </c>
    </row>
    <row r="1445" spans="1:3" ht="15">
      <c r="A1445" s="222">
        <v>17934</v>
      </c>
      <c r="B1445" s="223" t="s">
        <v>49</v>
      </c>
      <c r="C1445" s="222" t="s">
        <v>50</v>
      </c>
    </row>
    <row r="1446" spans="1:3" ht="15">
      <c r="A1446" s="222">
        <v>17935</v>
      </c>
      <c r="B1446" s="223" t="s">
        <v>49</v>
      </c>
      <c r="C1446" s="222" t="s">
        <v>50</v>
      </c>
    </row>
    <row r="1447" spans="1:3" ht="15">
      <c r="A1447" s="222">
        <v>17936</v>
      </c>
      <c r="B1447" s="223" t="s">
        <v>49</v>
      </c>
      <c r="C1447" s="222" t="s">
        <v>50</v>
      </c>
    </row>
    <row r="1448" spans="1:3" ht="15">
      <c r="A1448" s="222">
        <v>17938</v>
      </c>
      <c r="B1448" s="223" t="s">
        <v>49</v>
      </c>
      <c r="C1448" s="222" t="s">
        <v>50</v>
      </c>
    </row>
    <row r="1449" spans="1:3" ht="15">
      <c r="A1449" s="222">
        <v>17941</v>
      </c>
      <c r="B1449" s="223" t="s">
        <v>49</v>
      </c>
      <c r="C1449" s="222" t="s">
        <v>50</v>
      </c>
    </row>
    <row r="1450" spans="1:3" ht="15">
      <c r="A1450" s="222">
        <v>17942</v>
      </c>
      <c r="B1450" s="223" t="s">
        <v>49</v>
      </c>
      <c r="C1450" s="222" t="s">
        <v>50</v>
      </c>
    </row>
    <row r="1451" spans="1:3" ht="15">
      <c r="A1451" s="222">
        <v>17943</v>
      </c>
      <c r="B1451" s="223" t="s">
        <v>49</v>
      </c>
      <c r="C1451" s="222" t="s">
        <v>50</v>
      </c>
    </row>
    <row r="1452" spans="1:3" ht="15">
      <c r="A1452" s="222">
        <v>17944</v>
      </c>
      <c r="B1452" s="223" t="s">
        <v>49</v>
      </c>
      <c r="C1452" s="222" t="s">
        <v>50</v>
      </c>
    </row>
    <row r="1453" spans="1:3" ht="15">
      <c r="A1453" s="222">
        <v>17945</v>
      </c>
      <c r="B1453" s="223" t="s">
        <v>43</v>
      </c>
      <c r="C1453" s="222" t="s">
        <v>44</v>
      </c>
    </row>
    <row r="1454" spans="1:3" ht="15">
      <c r="A1454" s="222">
        <v>17946</v>
      </c>
      <c r="B1454" s="223" t="s">
        <v>49</v>
      </c>
      <c r="C1454" s="222" t="s">
        <v>50</v>
      </c>
    </row>
    <row r="1455" spans="1:3" ht="15">
      <c r="A1455" s="222">
        <v>17948</v>
      </c>
      <c r="B1455" s="223" t="s">
        <v>49</v>
      </c>
      <c r="C1455" s="222" t="s">
        <v>50</v>
      </c>
    </row>
    <row r="1456" spans="1:3" ht="15">
      <c r="A1456" s="222">
        <v>17949</v>
      </c>
      <c r="B1456" s="223" t="s">
        <v>49</v>
      </c>
      <c r="C1456" s="222" t="s">
        <v>50</v>
      </c>
    </row>
    <row r="1457" spans="1:3" ht="15">
      <c r="A1457" s="222">
        <v>17951</v>
      </c>
      <c r="B1457" s="223" t="s">
        <v>49</v>
      </c>
      <c r="C1457" s="222" t="s">
        <v>50</v>
      </c>
    </row>
    <row r="1458" spans="1:3" ht="15">
      <c r="A1458" s="222">
        <v>17952</v>
      </c>
      <c r="B1458" s="223" t="s">
        <v>49</v>
      </c>
      <c r="C1458" s="222" t="s">
        <v>50</v>
      </c>
    </row>
    <row r="1459" spans="1:3" ht="15">
      <c r="A1459" s="222">
        <v>17953</v>
      </c>
      <c r="B1459" s="223" t="s">
        <v>49</v>
      </c>
      <c r="C1459" s="222" t="s">
        <v>50</v>
      </c>
    </row>
    <row r="1460" spans="1:3" ht="15">
      <c r="A1460" s="222">
        <v>17954</v>
      </c>
      <c r="B1460" s="223" t="s">
        <v>49</v>
      </c>
      <c r="C1460" s="222" t="s">
        <v>50</v>
      </c>
    </row>
    <row r="1461" spans="1:3" ht="15">
      <c r="A1461" s="222">
        <v>17957</v>
      </c>
      <c r="B1461" s="223" t="s">
        <v>49</v>
      </c>
      <c r="C1461" s="222" t="s">
        <v>50</v>
      </c>
    </row>
    <row r="1462" spans="1:3" ht="15">
      <c r="A1462" s="222">
        <v>17959</v>
      </c>
      <c r="B1462" s="223" t="s">
        <v>49</v>
      </c>
      <c r="C1462" s="222" t="s">
        <v>50</v>
      </c>
    </row>
    <row r="1463" spans="1:3" ht="15">
      <c r="A1463" s="222">
        <v>17960</v>
      </c>
      <c r="B1463" s="223" t="s">
        <v>49</v>
      </c>
      <c r="C1463" s="222" t="s">
        <v>50</v>
      </c>
    </row>
    <row r="1464" spans="1:3" ht="15">
      <c r="A1464" s="222">
        <v>17961</v>
      </c>
      <c r="B1464" s="223" t="s">
        <v>49</v>
      </c>
      <c r="C1464" s="222" t="s">
        <v>50</v>
      </c>
    </row>
    <row r="1465" spans="1:3" ht="15">
      <c r="A1465" s="222">
        <v>17963</v>
      </c>
      <c r="B1465" s="223" t="s">
        <v>49</v>
      </c>
      <c r="C1465" s="222" t="s">
        <v>50</v>
      </c>
    </row>
    <row r="1466" spans="1:3" ht="15">
      <c r="A1466" s="222">
        <v>17964</v>
      </c>
      <c r="B1466" s="223" t="s">
        <v>49</v>
      </c>
      <c r="C1466" s="222" t="s">
        <v>50</v>
      </c>
    </row>
    <row r="1467" spans="1:3" ht="15">
      <c r="A1467" s="222">
        <v>17965</v>
      </c>
      <c r="B1467" s="223" t="s">
        <v>49</v>
      </c>
      <c r="C1467" s="222" t="s">
        <v>50</v>
      </c>
    </row>
    <row r="1468" spans="1:3" ht="15">
      <c r="A1468" s="222">
        <v>17966</v>
      </c>
      <c r="B1468" s="223" t="s">
        <v>49</v>
      </c>
      <c r="C1468" s="222" t="s">
        <v>50</v>
      </c>
    </row>
    <row r="1469" spans="1:3" ht="15">
      <c r="A1469" s="222">
        <v>17967</v>
      </c>
      <c r="B1469" s="223" t="s">
        <v>49</v>
      </c>
      <c r="C1469" s="222" t="s">
        <v>50</v>
      </c>
    </row>
    <row r="1470" spans="1:3" ht="15">
      <c r="A1470" s="222">
        <v>17968</v>
      </c>
      <c r="B1470" s="223" t="s">
        <v>49</v>
      </c>
      <c r="C1470" s="222" t="s">
        <v>50</v>
      </c>
    </row>
    <row r="1471" spans="1:3" ht="15">
      <c r="A1471" s="222">
        <v>17970</v>
      </c>
      <c r="B1471" s="223" t="s">
        <v>49</v>
      </c>
      <c r="C1471" s="222" t="s">
        <v>50</v>
      </c>
    </row>
    <row r="1472" spans="1:3" ht="15">
      <c r="A1472" s="222">
        <v>17972</v>
      </c>
      <c r="B1472" s="223" t="s">
        <v>49</v>
      </c>
      <c r="C1472" s="222" t="s">
        <v>50</v>
      </c>
    </row>
    <row r="1473" spans="1:3" ht="15">
      <c r="A1473" s="222">
        <v>17974</v>
      </c>
      <c r="B1473" s="223" t="s">
        <v>49</v>
      </c>
      <c r="C1473" s="222" t="s">
        <v>50</v>
      </c>
    </row>
    <row r="1474" spans="1:3" ht="15">
      <c r="A1474" s="222">
        <v>17976</v>
      </c>
      <c r="B1474" s="223" t="s">
        <v>49</v>
      </c>
      <c r="C1474" s="222" t="s">
        <v>50</v>
      </c>
    </row>
    <row r="1475" spans="1:3" ht="15">
      <c r="A1475" s="222">
        <v>17978</v>
      </c>
      <c r="B1475" s="223" t="s">
        <v>49</v>
      </c>
      <c r="C1475" s="222" t="s">
        <v>50</v>
      </c>
    </row>
    <row r="1476" spans="1:3" ht="15">
      <c r="A1476" s="222">
        <v>17979</v>
      </c>
      <c r="B1476" s="223" t="s">
        <v>49</v>
      </c>
      <c r="C1476" s="222" t="s">
        <v>50</v>
      </c>
    </row>
    <row r="1477" spans="1:3" ht="15">
      <c r="A1477" s="222">
        <v>17980</v>
      </c>
      <c r="B1477" s="223" t="s">
        <v>49</v>
      </c>
      <c r="C1477" s="222" t="s">
        <v>50</v>
      </c>
    </row>
    <row r="1478" spans="1:3" ht="15">
      <c r="A1478" s="222">
        <v>17981</v>
      </c>
      <c r="B1478" s="223" t="s">
        <v>49</v>
      </c>
      <c r="C1478" s="222" t="s">
        <v>50</v>
      </c>
    </row>
    <row r="1479" spans="1:3" ht="15">
      <c r="A1479" s="222">
        <v>17982</v>
      </c>
      <c r="B1479" s="223" t="s">
        <v>49</v>
      </c>
      <c r="C1479" s="222" t="s">
        <v>50</v>
      </c>
    </row>
    <row r="1480" spans="1:3" ht="15">
      <c r="A1480" s="222">
        <v>17983</v>
      </c>
      <c r="B1480" s="223" t="s">
        <v>49</v>
      </c>
      <c r="C1480" s="222" t="s">
        <v>50</v>
      </c>
    </row>
    <row r="1481" spans="1:3" ht="15">
      <c r="A1481" s="222">
        <v>17985</v>
      </c>
      <c r="B1481" s="223" t="s">
        <v>49</v>
      </c>
      <c r="C1481" s="222" t="s">
        <v>50</v>
      </c>
    </row>
    <row r="1482" spans="1:3" ht="15">
      <c r="A1482" s="222">
        <v>18001</v>
      </c>
      <c r="B1482" s="223" t="s">
        <v>49</v>
      </c>
      <c r="C1482" s="222" t="s">
        <v>50</v>
      </c>
    </row>
    <row r="1483" spans="1:3" ht="15">
      <c r="A1483" s="222">
        <v>18002</v>
      </c>
      <c r="B1483" s="223" t="s">
        <v>49</v>
      </c>
      <c r="C1483" s="222" t="s">
        <v>50</v>
      </c>
    </row>
    <row r="1484" spans="1:3" ht="15">
      <c r="A1484" s="222">
        <v>18003</v>
      </c>
      <c r="B1484" s="223" t="s">
        <v>49</v>
      </c>
      <c r="C1484" s="222" t="s">
        <v>50</v>
      </c>
    </row>
    <row r="1485" spans="1:3" ht="15">
      <c r="A1485" s="222">
        <v>18010</v>
      </c>
      <c r="B1485" s="223" t="s">
        <v>49</v>
      </c>
      <c r="C1485" s="222" t="s">
        <v>50</v>
      </c>
    </row>
    <row r="1486" spans="1:3" ht="15">
      <c r="A1486" s="222">
        <v>18011</v>
      </c>
      <c r="B1486" s="223" t="s">
        <v>49</v>
      </c>
      <c r="C1486" s="222" t="s">
        <v>50</v>
      </c>
    </row>
    <row r="1487" spans="1:3" ht="15">
      <c r="A1487" s="222">
        <v>18012</v>
      </c>
      <c r="B1487" s="223" t="s">
        <v>49</v>
      </c>
      <c r="C1487" s="222" t="s">
        <v>50</v>
      </c>
    </row>
    <row r="1488" spans="1:3" ht="15">
      <c r="A1488" s="222">
        <v>18013</v>
      </c>
      <c r="B1488" s="223" t="s">
        <v>49</v>
      </c>
      <c r="C1488" s="222" t="s">
        <v>50</v>
      </c>
    </row>
    <row r="1489" spans="1:3" ht="15">
      <c r="A1489" s="222">
        <v>18014</v>
      </c>
      <c r="B1489" s="223" t="s">
        <v>49</v>
      </c>
      <c r="C1489" s="222" t="s">
        <v>50</v>
      </c>
    </row>
    <row r="1490" spans="1:3" ht="15">
      <c r="A1490" s="222">
        <v>18015</v>
      </c>
      <c r="B1490" s="223" t="s">
        <v>49</v>
      </c>
      <c r="C1490" s="222" t="s">
        <v>50</v>
      </c>
    </row>
    <row r="1491" spans="1:3" ht="15">
      <c r="A1491" s="222">
        <v>18016</v>
      </c>
      <c r="B1491" s="223" t="s">
        <v>49</v>
      </c>
      <c r="C1491" s="222" t="s">
        <v>50</v>
      </c>
    </row>
    <row r="1492" spans="1:3" ht="15">
      <c r="A1492" s="222">
        <v>18017</v>
      </c>
      <c r="B1492" s="223" t="s">
        <v>49</v>
      </c>
      <c r="C1492" s="222" t="s">
        <v>50</v>
      </c>
    </row>
    <row r="1493" spans="1:3" ht="15">
      <c r="A1493" s="222">
        <v>18018</v>
      </c>
      <c r="B1493" s="223" t="s">
        <v>49</v>
      </c>
      <c r="C1493" s="222" t="s">
        <v>50</v>
      </c>
    </row>
    <row r="1494" spans="1:3" ht="15">
      <c r="A1494" s="222">
        <v>18020</v>
      </c>
      <c r="B1494" s="223" t="s">
        <v>49</v>
      </c>
      <c r="C1494" s="222" t="s">
        <v>50</v>
      </c>
    </row>
    <row r="1495" spans="1:3" ht="15">
      <c r="A1495" s="222">
        <v>18025</v>
      </c>
      <c r="B1495" s="223" t="s">
        <v>49</v>
      </c>
      <c r="C1495" s="222" t="s">
        <v>50</v>
      </c>
    </row>
    <row r="1496" spans="1:3" ht="15">
      <c r="A1496" s="222">
        <v>18030</v>
      </c>
      <c r="B1496" s="223" t="s">
        <v>49</v>
      </c>
      <c r="C1496" s="222" t="s">
        <v>50</v>
      </c>
    </row>
    <row r="1497" spans="1:3" ht="15">
      <c r="A1497" s="222">
        <v>18031</v>
      </c>
      <c r="B1497" s="223" t="s">
        <v>49</v>
      </c>
      <c r="C1497" s="222" t="s">
        <v>50</v>
      </c>
    </row>
    <row r="1498" spans="1:3" ht="15">
      <c r="A1498" s="222">
        <v>18032</v>
      </c>
      <c r="B1498" s="223" t="s">
        <v>49</v>
      </c>
      <c r="C1498" s="222" t="s">
        <v>50</v>
      </c>
    </row>
    <row r="1499" spans="1:3" ht="15">
      <c r="A1499" s="222">
        <v>18034</v>
      </c>
      <c r="B1499" s="223" t="s">
        <v>49</v>
      </c>
      <c r="C1499" s="222" t="s">
        <v>50</v>
      </c>
    </row>
    <row r="1500" spans="1:3" ht="15">
      <c r="A1500" s="222">
        <v>18035</v>
      </c>
      <c r="B1500" s="223" t="s">
        <v>49</v>
      </c>
      <c r="C1500" s="222" t="s">
        <v>50</v>
      </c>
    </row>
    <row r="1501" spans="1:3" ht="15">
      <c r="A1501" s="222">
        <v>18036</v>
      </c>
      <c r="B1501" s="223" t="s">
        <v>49</v>
      </c>
      <c r="C1501" s="222" t="s">
        <v>50</v>
      </c>
    </row>
    <row r="1502" spans="1:3" ht="15">
      <c r="A1502" s="222">
        <v>18037</v>
      </c>
      <c r="B1502" s="223" t="s">
        <v>49</v>
      </c>
      <c r="C1502" s="222" t="s">
        <v>50</v>
      </c>
    </row>
    <row r="1503" spans="1:3" ht="15">
      <c r="A1503" s="222">
        <v>18038</v>
      </c>
      <c r="B1503" s="223" t="s">
        <v>49</v>
      </c>
      <c r="C1503" s="222" t="s">
        <v>50</v>
      </c>
    </row>
    <row r="1504" spans="1:3" ht="15">
      <c r="A1504" s="222">
        <v>18039</v>
      </c>
      <c r="B1504" s="223" t="s">
        <v>47</v>
      </c>
      <c r="C1504" s="222" t="s">
        <v>48</v>
      </c>
    </row>
    <row r="1505" spans="1:3" ht="15">
      <c r="A1505" s="222">
        <v>18040</v>
      </c>
      <c r="B1505" s="223" t="s">
        <v>49</v>
      </c>
      <c r="C1505" s="222" t="s">
        <v>50</v>
      </c>
    </row>
    <row r="1506" spans="1:3" ht="15">
      <c r="A1506" s="222">
        <v>18041</v>
      </c>
      <c r="B1506" s="223" t="s">
        <v>47</v>
      </c>
      <c r="C1506" s="222" t="s">
        <v>48</v>
      </c>
    </row>
    <row r="1507" spans="1:3" ht="15">
      <c r="A1507" s="222">
        <v>18042</v>
      </c>
      <c r="B1507" s="223" t="s">
        <v>49</v>
      </c>
      <c r="C1507" s="222" t="s">
        <v>50</v>
      </c>
    </row>
    <row r="1508" spans="1:3" ht="15">
      <c r="A1508" s="222">
        <v>18043</v>
      </c>
      <c r="B1508" s="223" t="s">
        <v>49</v>
      </c>
      <c r="C1508" s="222" t="s">
        <v>50</v>
      </c>
    </row>
    <row r="1509" spans="1:3" ht="15">
      <c r="A1509" s="222">
        <v>18044</v>
      </c>
      <c r="B1509" s="223" t="s">
        <v>49</v>
      </c>
      <c r="C1509" s="222" t="s">
        <v>50</v>
      </c>
    </row>
    <row r="1510" spans="1:3" ht="15">
      <c r="A1510" s="222">
        <v>18045</v>
      </c>
      <c r="B1510" s="223" t="s">
        <v>49</v>
      </c>
      <c r="C1510" s="222" t="s">
        <v>50</v>
      </c>
    </row>
    <row r="1511" spans="1:3" ht="15">
      <c r="A1511" s="222">
        <v>18046</v>
      </c>
      <c r="B1511" s="223" t="s">
        <v>49</v>
      </c>
      <c r="C1511" s="222" t="s">
        <v>50</v>
      </c>
    </row>
    <row r="1512" spans="1:3" ht="15">
      <c r="A1512" s="222">
        <v>18049</v>
      </c>
      <c r="B1512" s="223" t="s">
        <v>49</v>
      </c>
      <c r="C1512" s="222" t="s">
        <v>50</v>
      </c>
    </row>
    <row r="1513" spans="1:3" ht="15">
      <c r="A1513" s="222">
        <v>18050</v>
      </c>
      <c r="B1513" s="223" t="s">
        <v>49</v>
      </c>
      <c r="C1513" s="222" t="s">
        <v>50</v>
      </c>
    </row>
    <row r="1514" spans="1:3" ht="15">
      <c r="A1514" s="222">
        <v>18051</v>
      </c>
      <c r="B1514" s="223" t="s">
        <v>49</v>
      </c>
      <c r="C1514" s="222" t="s">
        <v>50</v>
      </c>
    </row>
    <row r="1515" spans="1:3" ht="15">
      <c r="A1515" s="222">
        <v>18052</v>
      </c>
      <c r="B1515" s="223" t="s">
        <v>49</v>
      </c>
      <c r="C1515" s="222" t="s">
        <v>50</v>
      </c>
    </row>
    <row r="1516" spans="1:3" ht="15">
      <c r="A1516" s="222">
        <v>18053</v>
      </c>
      <c r="B1516" s="223" t="s">
        <v>49</v>
      </c>
      <c r="C1516" s="222" t="s">
        <v>50</v>
      </c>
    </row>
    <row r="1517" spans="1:3" ht="15">
      <c r="A1517" s="222">
        <v>18054</v>
      </c>
      <c r="B1517" s="223" t="s">
        <v>47</v>
      </c>
      <c r="C1517" s="222" t="s">
        <v>48</v>
      </c>
    </row>
    <row r="1518" spans="1:3" ht="15">
      <c r="A1518" s="222">
        <v>18055</v>
      </c>
      <c r="B1518" s="223" t="s">
        <v>49</v>
      </c>
      <c r="C1518" s="222" t="s">
        <v>50</v>
      </c>
    </row>
    <row r="1519" spans="1:3" ht="15">
      <c r="A1519" s="222">
        <v>18056</v>
      </c>
      <c r="B1519" s="223" t="s">
        <v>47</v>
      </c>
      <c r="C1519" s="222" t="s">
        <v>48</v>
      </c>
    </row>
    <row r="1520" spans="1:3" ht="15">
      <c r="A1520" s="222">
        <v>18058</v>
      </c>
      <c r="B1520" s="223" t="s">
        <v>45</v>
      </c>
      <c r="C1520" s="222" t="s">
        <v>46</v>
      </c>
    </row>
    <row r="1521" spans="1:3" ht="15">
      <c r="A1521" s="222">
        <v>18059</v>
      </c>
      <c r="B1521" s="223" t="s">
        <v>49</v>
      </c>
      <c r="C1521" s="222" t="s">
        <v>50</v>
      </c>
    </row>
    <row r="1522" spans="1:3" ht="15">
      <c r="A1522" s="222">
        <v>18060</v>
      </c>
      <c r="B1522" s="223" t="s">
        <v>49</v>
      </c>
      <c r="C1522" s="222" t="s">
        <v>50</v>
      </c>
    </row>
    <row r="1523" spans="1:3" ht="15">
      <c r="A1523" s="222">
        <v>18062</v>
      </c>
      <c r="B1523" s="223" t="s">
        <v>49</v>
      </c>
      <c r="C1523" s="222" t="s">
        <v>50</v>
      </c>
    </row>
    <row r="1524" spans="1:3" ht="15">
      <c r="A1524" s="222">
        <v>18063</v>
      </c>
      <c r="B1524" s="223" t="s">
        <v>49</v>
      </c>
      <c r="C1524" s="222" t="s">
        <v>50</v>
      </c>
    </row>
    <row r="1525" spans="1:3" ht="15">
      <c r="A1525" s="222">
        <v>18064</v>
      </c>
      <c r="B1525" s="223" t="s">
        <v>49</v>
      </c>
      <c r="C1525" s="222" t="s">
        <v>50</v>
      </c>
    </row>
    <row r="1526" spans="1:3" ht="15">
      <c r="A1526" s="222">
        <v>18065</v>
      </c>
      <c r="B1526" s="223" t="s">
        <v>49</v>
      </c>
      <c r="C1526" s="222" t="s">
        <v>50</v>
      </c>
    </row>
    <row r="1527" spans="1:3" ht="15">
      <c r="A1527" s="222">
        <v>18066</v>
      </c>
      <c r="B1527" s="223" t="s">
        <v>49</v>
      </c>
      <c r="C1527" s="222" t="s">
        <v>50</v>
      </c>
    </row>
    <row r="1528" spans="1:3" ht="15">
      <c r="A1528" s="222">
        <v>18067</v>
      </c>
      <c r="B1528" s="223" t="s">
        <v>49</v>
      </c>
      <c r="C1528" s="222" t="s">
        <v>50</v>
      </c>
    </row>
    <row r="1529" spans="1:3" ht="15">
      <c r="A1529" s="222">
        <v>18068</v>
      </c>
      <c r="B1529" s="223" t="s">
        <v>49</v>
      </c>
      <c r="C1529" s="222" t="s">
        <v>50</v>
      </c>
    </row>
    <row r="1530" spans="1:3" ht="15">
      <c r="A1530" s="222">
        <v>18069</v>
      </c>
      <c r="B1530" s="223" t="s">
        <v>49</v>
      </c>
      <c r="C1530" s="222" t="s">
        <v>50</v>
      </c>
    </row>
    <row r="1531" spans="1:3" ht="15">
      <c r="A1531" s="222">
        <v>18070</v>
      </c>
      <c r="B1531" s="223" t="s">
        <v>47</v>
      </c>
      <c r="C1531" s="222" t="s">
        <v>48</v>
      </c>
    </row>
    <row r="1532" spans="1:3" ht="15">
      <c r="A1532" s="222">
        <v>18071</v>
      </c>
      <c r="B1532" s="223" t="s">
        <v>49</v>
      </c>
      <c r="C1532" s="222" t="s">
        <v>50</v>
      </c>
    </row>
    <row r="1533" spans="1:3" ht="15">
      <c r="A1533" s="222">
        <v>18072</v>
      </c>
      <c r="B1533" s="223" t="s">
        <v>49</v>
      </c>
      <c r="C1533" s="222" t="s">
        <v>50</v>
      </c>
    </row>
    <row r="1534" spans="1:3" ht="15">
      <c r="A1534" s="222">
        <v>18073</v>
      </c>
      <c r="B1534" s="223" t="s">
        <v>47</v>
      </c>
      <c r="C1534" s="222" t="s">
        <v>48</v>
      </c>
    </row>
    <row r="1535" spans="1:3" ht="15">
      <c r="A1535" s="222">
        <v>18074</v>
      </c>
      <c r="B1535" s="223" t="s">
        <v>47</v>
      </c>
      <c r="C1535" s="222" t="s">
        <v>48</v>
      </c>
    </row>
    <row r="1536" spans="1:3" ht="15">
      <c r="A1536" s="222">
        <v>18076</v>
      </c>
      <c r="B1536" s="223" t="s">
        <v>47</v>
      </c>
      <c r="C1536" s="222" t="s">
        <v>48</v>
      </c>
    </row>
    <row r="1537" spans="1:3" ht="15">
      <c r="A1537" s="222">
        <v>18077</v>
      </c>
      <c r="B1537" s="223" t="s">
        <v>47</v>
      </c>
      <c r="C1537" s="222" t="s">
        <v>48</v>
      </c>
    </row>
    <row r="1538" spans="1:3" ht="15">
      <c r="A1538" s="222">
        <v>18078</v>
      </c>
      <c r="B1538" s="223" t="s">
        <v>49</v>
      </c>
      <c r="C1538" s="222" t="s">
        <v>50</v>
      </c>
    </row>
    <row r="1539" spans="1:3" ht="15">
      <c r="A1539" s="222">
        <v>18079</v>
      </c>
      <c r="B1539" s="223" t="s">
        <v>49</v>
      </c>
      <c r="C1539" s="222" t="s">
        <v>50</v>
      </c>
    </row>
    <row r="1540" spans="1:3" ht="15">
      <c r="A1540" s="222">
        <v>18080</v>
      </c>
      <c r="B1540" s="223" t="s">
        <v>49</v>
      </c>
      <c r="C1540" s="222" t="s">
        <v>50</v>
      </c>
    </row>
    <row r="1541" spans="1:3" ht="15">
      <c r="A1541" s="222">
        <v>18081</v>
      </c>
      <c r="B1541" s="223" t="s">
        <v>47</v>
      </c>
      <c r="C1541" s="222" t="s">
        <v>48</v>
      </c>
    </row>
    <row r="1542" spans="1:3" ht="15">
      <c r="A1542" s="222">
        <v>18083</v>
      </c>
      <c r="B1542" s="223" t="s">
        <v>49</v>
      </c>
      <c r="C1542" s="222" t="s">
        <v>50</v>
      </c>
    </row>
    <row r="1543" spans="1:3" ht="15">
      <c r="A1543" s="222">
        <v>18084</v>
      </c>
      <c r="B1543" s="223" t="s">
        <v>47</v>
      </c>
      <c r="C1543" s="222" t="s">
        <v>48</v>
      </c>
    </row>
    <row r="1544" spans="1:3" ht="15">
      <c r="A1544" s="222">
        <v>18085</v>
      </c>
      <c r="B1544" s="223" t="s">
        <v>49</v>
      </c>
      <c r="C1544" s="222" t="s">
        <v>50</v>
      </c>
    </row>
    <row r="1545" spans="1:3" ht="15">
      <c r="A1545" s="222">
        <v>18086</v>
      </c>
      <c r="B1545" s="223" t="s">
        <v>49</v>
      </c>
      <c r="C1545" s="222" t="s">
        <v>50</v>
      </c>
    </row>
    <row r="1546" spans="1:3" ht="15">
      <c r="A1546" s="222">
        <v>18087</v>
      </c>
      <c r="B1546" s="223" t="s">
        <v>49</v>
      </c>
      <c r="C1546" s="222" t="s">
        <v>50</v>
      </c>
    </row>
    <row r="1547" spans="1:3" ht="15">
      <c r="A1547" s="222">
        <v>18088</v>
      </c>
      <c r="B1547" s="223" t="s">
        <v>49</v>
      </c>
      <c r="C1547" s="222" t="s">
        <v>50</v>
      </c>
    </row>
    <row r="1548" spans="1:3" ht="15">
      <c r="A1548" s="222">
        <v>18091</v>
      </c>
      <c r="B1548" s="223" t="s">
        <v>49</v>
      </c>
      <c r="C1548" s="222" t="s">
        <v>50</v>
      </c>
    </row>
    <row r="1549" spans="1:3" ht="15">
      <c r="A1549" s="222">
        <v>18092</v>
      </c>
      <c r="B1549" s="223" t="s">
        <v>49</v>
      </c>
      <c r="C1549" s="222" t="s">
        <v>50</v>
      </c>
    </row>
    <row r="1550" spans="1:3" ht="15">
      <c r="A1550" s="222">
        <v>18098</v>
      </c>
      <c r="B1550" s="223" t="s">
        <v>49</v>
      </c>
      <c r="C1550" s="222" t="s">
        <v>50</v>
      </c>
    </row>
    <row r="1551" spans="1:3" ht="15">
      <c r="A1551" s="222">
        <v>18099</v>
      </c>
      <c r="B1551" s="223" t="s">
        <v>49</v>
      </c>
      <c r="C1551" s="222" t="s">
        <v>50</v>
      </c>
    </row>
    <row r="1552" spans="1:3" ht="15">
      <c r="A1552" s="222">
        <v>18101</v>
      </c>
      <c r="B1552" s="223" t="s">
        <v>49</v>
      </c>
      <c r="C1552" s="222" t="s">
        <v>50</v>
      </c>
    </row>
    <row r="1553" spans="1:3" ht="15">
      <c r="A1553" s="222">
        <v>18102</v>
      </c>
      <c r="B1553" s="223" t="s">
        <v>49</v>
      </c>
      <c r="C1553" s="222" t="s">
        <v>50</v>
      </c>
    </row>
    <row r="1554" spans="1:3" ht="15">
      <c r="A1554" s="222">
        <v>18103</v>
      </c>
      <c r="B1554" s="223" t="s">
        <v>49</v>
      </c>
      <c r="C1554" s="222" t="s">
        <v>50</v>
      </c>
    </row>
    <row r="1555" spans="1:3" ht="15">
      <c r="A1555" s="222">
        <v>18104</v>
      </c>
      <c r="B1555" s="223" t="s">
        <v>49</v>
      </c>
      <c r="C1555" s="222" t="s">
        <v>50</v>
      </c>
    </row>
    <row r="1556" spans="1:3" ht="15">
      <c r="A1556" s="222">
        <v>18105</v>
      </c>
      <c r="B1556" s="223" t="s">
        <v>49</v>
      </c>
      <c r="C1556" s="222" t="s">
        <v>50</v>
      </c>
    </row>
    <row r="1557" spans="1:3" ht="15">
      <c r="A1557" s="222">
        <v>18106</v>
      </c>
      <c r="B1557" s="223" t="s">
        <v>49</v>
      </c>
      <c r="C1557" s="222" t="s">
        <v>50</v>
      </c>
    </row>
    <row r="1558" spans="1:3" ht="15">
      <c r="A1558" s="222">
        <v>18109</v>
      </c>
      <c r="B1558" s="223" t="s">
        <v>49</v>
      </c>
      <c r="C1558" s="222" t="s">
        <v>50</v>
      </c>
    </row>
    <row r="1559" spans="1:3" ht="15">
      <c r="A1559" s="222">
        <v>18175</v>
      </c>
      <c r="B1559" s="223" t="s">
        <v>49</v>
      </c>
      <c r="C1559" s="222" t="s">
        <v>50</v>
      </c>
    </row>
    <row r="1560" spans="1:3" ht="15">
      <c r="A1560" s="222">
        <v>18195</v>
      </c>
      <c r="B1560" s="223" t="s">
        <v>49</v>
      </c>
      <c r="C1560" s="222" t="s">
        <v>50</v>
      </c>
    </row>
    <row r="1561" spans="1:3" ht="15">
      <c r="A1561" s="222">
        <v>18201</v>
      </c>
      <c r="B1561" s="223" t="s">
        <v>45</v>
      </c>
      <c r="C1561" s="222" t="s">
        <v>46</v>
      </c>
    </row>
    <row r="1562" spans="1:3" ht="15">
      <c r="A1562" s="222">
        <v>18202</v>
      </c>
      <c r="B1562" s="223" t="s">
        <v>45</v>
      </c>
      <c r="C1562" s="222" t="s">
        <v>46</v>
      </c>
    </row>
    <row r="1563" spans="1:3" ht="15">
      <c r="A1563" s="222">
        <v>18210</v>
      </c>
      <c r="B1563" s="223" t="s">
        <v>49</v>
      </c>
      <c r="C1563" s="222" t="s">
        <v>50</v>
      </c>
    </row>
    <row r="1564" spans="1:3" ht="15">
      <c r="A1564" s="222">
        <v>18211</v>
      </c>
      <c r="B1564" s="223" t="s">
        <v>49</v>
      </c>
      <c r="C1564" s="222" t="s">
        <v>50</v>
      </c>
    </row>
    <row r="1565" spans="1:3" ht="15">
      <c r="A1565" s="222">
        <v>18212</v>
      </c>
      <c r="B1565" s="223" t="s">
        <v>49</v>
      </c>
      <c r="C1565" s="222" t="s">
        <v>50</v>
      </c>
    </row>
    <row r="1566" spans="1:3" ht="15">
      <c r="A1566" s="222">
        <v>18214</v>
      </c>
      <c r="B1566" s="223" t="s">
        <v>49</v>
      </c>
      <c r="C1566" s="222" t="s">
        <v>50</v>
      </c>
    </row>
    <row r="1567" spans="1:3" ht="15">
      <c r="A1567" s="222">
        <v>18216</v>
      </c>
      <c r="B1567" s="223" t="s">
        <v>49</v>
      </c>
      <c r="C1567" s="222" t="s">
        <v>50</v>
      </c>
    </row>
    <row r="1568" spans="1:3" ht="15">
      <c r="A1568" s="222">
        <v>18218</v>
      </c>
      <c r="B1568" s="223" t="s">
        <v>49</v>
      </c>
      <c r="C1568" s="222" t="s">
        <v>50</v>
      </c>
    </row>
    <row r="1569" spans="1:3" ht="15">
      <c r="A1569" s="222">
        <v>18219</v>
      </c>
      <c r="B1569" s="223" t="s">
        <v>45</v>
      </c>
      <c r="C1569" s="222" t="s">
        <v>46</v>
      </c>
    </row>
    <row r="1570" spans="1:3" ht="15">
      <c r="A1570" s="222">
        <v>18220</v>
      </c>
      <c r="B1570" s="223" t="s">
        <v>49</v>
      </c>
      <c r="C1570" s="222" t="s">
        <v>50</v>
      </c>
    </row>
    <row r="1571" spans="1:3" ht="15">
      <c r="A1571" s="222">
        <v>18221</v>
      </c>
      <c r="B1571" s="223" t="s">
        <v>45</v>
      </c>
      <c r="C1571" s="222" t="s">
        <v>46</v>
      </c>
    </row>
    <row r="1572" spans="1:3" ht="15">
      <c r="A1572" s="222">
        <v>18222</v>
      </c>
      <c r="B1572" s="223" t="s">
        <v>45</v>
      </c>
      <c r="C1572" s="222" t="s">
        <v>46</v>
      </c>
    </row>
    <row r="1573" spans="1:3" ht="15">
      <c r="A1573" s="222">
        <v>18223</v>
      </c>
      <c r="B1573" s="223" t="s">
        <v>45</v>
      </c>
      <c r="C1573" s="222" t="s">
        <v>46</v>
      </c>
    </row>
    <row r="1574" spans="1:3" ht="15">
      <c r="A1574" s="222">
        <v>18224</v>
      </c>
      <c r="B1574" s="223" t="s">
        <v>45</v>
      </c>
      <c r="C1574" s="222" t="s">
        <v>46</v>
      </c>
    </row>
    <row r="1575" spans="1:3" ht="15">
      <c r="A1575" s="222">
        <v>18225</v>
      </c>
      <c r="B1575" s="223" t="s">
        <v>45</v>
      </c>
      <c r="C1575" s="222" t="s">
        <v>46</v>
      </c>
    </row>
    <row r="1576" spans="1:3" ht="15">
      <c r="A1576" s="222">
        <v>18229</v>
      </c>
      <c r="B1576" s="223" t="s">
        <v>49</v>
      </c>
      <c r="C1576" s="222" t="s">
        <v>50</v>
      </c>
    </row>
    <row r="1577" spans="1:3" ht="15">
      <c r="A1577" s="222">
        <v>18230</v>
      </c>
      <c r="B1577" s="223" t="s">
        <v>49</v>
      </c>
      <c r="C1577" s="222" t="s">
        <v>50</v>
      </c>
    </row>
    <row r="1578" spans="1:3" ht="15">
      <c r="A1578" s="222">
        <v>18231</v>
      </c>
      <c r="B1578" s="223" t="s">
        <v>49</v>
      </c>
      <c r="C1578" s="222" t="s">
        <v>50</v>
      </c>
    </row>
    <row r="1579" spans="1:3" ht="15">
      <c r="A1579" s="222">
        <v>18232</v>
      </c>
      <c r="B1579" s="223" t="s">
        <v>49</v>
      </c>
      <c r="C1579" s="222" t="s">
        <v>50</v>
      </c>
    </row>
    <row r="1580" spans="1:3" ht="15">
      <c r="A1580" s="222">
        <v>18234</v>
      </c>
      <c r="B1580" s="223" t="s">
        <v>45</v>
      </c>
      <c r="C1580" s="222" t="s">
        <v>46</v>
      </c>
    </row>
    <row r="1581" spans="1:3" ht="15">
      <c r="A1581" s="222">
        <v>18235</v>
      </c>
      <c r="B1581" s="223" t="s">
        <v>49</v>
      </c>
      <c r="C1581" s="222" t="s">
        <v>50</v>
      </c>
    </row>
    <row r="1582" spans="1:3" ht="15">
      <c r="A1582" s="222">
        <v>18237</v>
      </c>
      <c r="B1582" s="223" t="s">
        <v>49</v>
      </c>
      <c r="C1582" s="222" t="s">
        <v>50</v>
      </c>
    </row>
    <row r="1583" spans="1:3" ht="15">
      <c r="A1583" s="222">
        <v>18239</v>
      </c>
      <c r="B1583" s="223" t="s">
        <v>45</v>
      </c>
      <c r="C1583" s="222" t="s">
        <v>46</v>
      </c>
    </row>
    <row r="1584" spans="1:3" ht="15">
      <c r="A1584" s="222">
        <v>18240</v>
      </c>
      <c r="B1584" s="223" t="s">
        <v>49</v>
      </c>
      <c r="C1584" s="222" t="s">
        <v>50</v>
      </c>
    </row>
    <row r="1585" spans="1:3" ht="15">
      <c r="A1585" s="222">
        <v>18241</v>
      </c>
      <c r="B1585" s="223" t="s">
        <v>49</v>
      </c>
      <c r="C1585" s="222" t="s">
        <v>50</v>
      </c>
    </row>
    <row r="1586" spans="1:3" ht="15">
      <c r="A1586" s="222">
        <v>18242</v>
      </c>
      <c r="B1586" s="223" t="s">
        <v>49</v>
      </c>
      <c r="C1586" s="222" t="s">
        <v>50</v>
      </c>
    </row>
    <row r="1587" spans="1:3" ht="15">
      <c r="A1587" s="222">
        <v>18244</v>
      </c>
      <c r="B1587" s="223" t="s">
        <v>49</v>
      </c>
      <c r="C1587" s="222" t="s">
        <v>50</v>
      </c>
    </row>
    <row r="1588" spans="1:3" ht="15">
      <c r="A1588" s="222">
        <v>18245</v>
      </c>
      <c r="B1588" s="223" t="s">
        <v>49</v>
      </c>
      <c r="C1588" s="222" t="s">
        <v>50</v>
      </c>
    </row>
    <row r="1589" spans="1:3" ht="15">
      <c r="A1589" s="222">
        <v>18246</v>
      </c>
      <c r="B1589" s="223" t="s">
        <v>45</v>
      </c>
      <c r="C1589" s="222" t="s">
        <v>46</v>
      </c>
    </row>
    <row r="1590" spans="1:3" ht="15">
      <c r="A1590" s="222">
        <v>18247</v>
      </c>
      <c r="B1590" s="223" t="s">
        <v>45</v>
      </c>
      <c r="C1590" s="222" t="s">
        <v>46</v>
      </c>
    </row>
    <row r="1591" spans="1:3" ht="15">
      <c r="A1591" s="222">
        <v>18248</v>
      </c>
      <c r="B1591" s="223" t="s">
        <v>49</v>
      </c>
      <c r="C1591" s="222" t="s">
        <v>50</v>
      </c>
    </row>
    <row r="1592" spans="1:3" ht="15">
      <c r="A1592" s="222">
        <v>18249</v>
      </c>
      <c r="B1592" s="223" t="s">
        <v>45</v>
      </c>
      <c r="C1592" s="222" t="s">
        <v>46</v>
      </c>
    </row>
    <row r="1593" spans="1:3" ht="15">
      <c r="A1593" s="222">
        <v>18250</v>
      </c>
      <c r="B1593" s="223" t="s">
        <v>49</v>
      </c>
      <c r="C1593" s="222" t="s">
        <v>50</v>
      </c>
    </row>
    <row r="1594" spans="1:3" ht="15">
      <c r="A1594" s="222">
        <v>18251</v>
      </c>
      <c r="B1594" s="223" t="s">
        <v>45</v>
      </c>
      <c r="C1594" s="222" t="s">
        <v>46</v>
      </c>
    </row>
    <row r="1595" spans="1:3" ht="15">
      <c r="A1595" s="222">
        <v>18252</v>
      </c>
      <c r="B1595" s="223" t="s">
        <v>49</v>
      </c>
      <c r="C1595" s="222" t="s">
        <v>50</v>
      </c>
    </row>
    <row r="1596" spans="1:3" ht="15">
      <c r="A1596" s="222">
        <v>18254</v>
      </c>
      <c r="B1596" s="223" t="s">
        <v>49</v>
      </c>
      <c r="C1596" s="222" t="s">
        <v>50</v>
      </c>
    </row>
    <row r="1597" spans="1:3" ht="15">
      <c r="A1597" s="222">
        <v>18255</v>
      </c>
      <c r="B1597" s="223" t="s">
        <v>49</v>
      </c>
      <c r="C1597" s="222" t="s">
        <v>50</v>
      </c>
    </row>
    <row r="1598" spans="1:3" ht="15">
      <c r="A1598" s="222">
        <v>18256</v>
      </c>
      <c r="B1598" s="223" t="s">
        <v>45</v>
      </c>
      <c r="C1598" s="222" t="s">
        <v>46</v>
      </c>
    </row>
    <row r="1599" spans="1:3" ht="15">
      <c r="A1599" s="222">
        <v>18301</v>
      </c>
      <c r="B1599" s="223" t="s">
        <v>45</v>
      </c>
      <c r="C1599" s="222" t="s">
        <v>46</v>
      </c>
    </row>
    <row r="1600" spans="1:3" ht="15">
      <c r="A1600" s="222">
        <v>18302</v>
      </c>
      <c r="B1600" s="223" t="s">
        <v>45</v>
      </c>
      <c r="C1600" s="222" t="s">
        <v>46</v>
      </c>
    </row>
    <row r="1601" spans="1:3" ht="15">
      <c r="A1601" s="222">
        <v>18320</v>
      </c>
      <c r="B1601" s="223" t="s">
        <v>45</v>
      </c>
      <c r="C1601" s="222" t="s">
        <v>46</v>
      </c>
    </row>
    <row r="1602" spans="1:3" ht="15">
      <c r="A1602" s="222">
        <v>18321</v>
      </c>
      <c r="B1602" s="223" t="s">
        <v>45</v>
      </c>
      <c r="C1602" s="222" t="s">
        <v>46</v>
      </c>
    </row>
    <row r="1603" spans="1:3" ht="15">
      <c r="A1603" s="222">
        <v>18322</v>
      </c>
      <c r="B1603" s="223" t="s">
        <v>45</v>
      </c>
      <c r="C1603" s="222" t="s">
        <v>46</v>
      </c>
    </row>
    <row r="1604" spans="1:3" ht="15">
      <c r="A1604" s="222">
        <v>18323</v>
      </c>
      <c r="B1604" s="223" t="s">
        <v>45</v>
      </c>
      <c r="C1604" s="222" t="s">
        <v>46</v>
      </c>
    </row>
    <row r="1605" spans="1:3" ht="15">
      <c r="A1605" s="222">
        <v>18324</v>
      </c>
      <c r="B1605" s="223" t="s">
        <v>45</v>
      </c>
      <c r="C1605" s="222" t="s">
        <v>46</v>
      </c>
    </row>
    <row r="1606" spans="1:3" ht="15">
      <c r="A1606" s="222">
        <v>18325</v>
      </c>
      <c r="B1606" s="223" t="s">
        <v>45</v>
      </c>
      <c r="C1606" s="222" t="s">
        <v>46</v>
      </c>
    </row>
    <row r="1607" spans="1:3" ht="15">
      <c r="A1607" s="222">
        <v>18326</v>
      </c>
      <c r="B1607" s="223" t="s">
        <v>45</v>
      </c>
      <c r="C1607" s="222" t="s">
        <v>46</v>
      </c>
    </row>
    <row r="1608" spans="1:3" ht="15">
      <c r="A1608" s="222">
        <v>18327</v>
      </c>
      <c r="B1608" s="223" t="s">
        <v>45</v>
      </c>
      <c r="C1608" s="222" t="s">
        <v>46</v>
      </c>
    </row>
    <row r="1609" spans="1:3" ht="15">
      <c r="A1609" s="222">
        <v>18328</v>
      </c>
      <c r="B1609" s="223" t="s">
        <v>45</v>
      </c>
      <c r="C1609" s="222" t="s">
        <v>46</v>
      </c>
    </row>
    <row r="1610" spans="1:3" ht="15">
      <c r="A1610" s="222">
        <v>18330</v>
      </c>
      <c r="B1610" s="223" t="s">
        <v>45</v>
      </c>
      <c r="C1610" s="222" t="s">
        <v>46</v>
      </c>
    </row>
    <row r="1611" spans="1:3" ht="15">
      <c r="A1611" s="222">
        <v>18331</v>
      </c>
      <c r="B1611" s="223" t="s">
        <v>45</v>
      </c>
      <c r="C1611" s="222" t="s">
        <v>46</v>
      </c>
    </row>
    <row r="1612" spans="1:3" ht="15">
      <c r="A1612" s="222">
        <v>18332</v>
      </c>
      <c r="B1612" s="223" t="s">
        <v>45</v>
      </c>
      <c r="C1612" s="222" t="s">
        <v>46</v>
      </c>
    </row>
    <row r="1613" spans="1:3" ht="15">
      <c r="A1613" s="222">
        <v>18333</v>
      </c>
      <c r="B1613" s="223" t="s">
        <v>45</v>
      </c>
      <c r="C1613" s="222" t="s">
        <v>46</v>
      </c>
    </row>
    <row r="1614" spans="1:3" ht="15">
      <c r="A1614" s="222">
        <v>18334</v>
      </c>
      <c r="B1614" s="223" t="s">
        <v>45</v>
      </c>
      <c r="C1614" s="222" t="s">
        <v>46</v>
      </c>
    </row>
    <row r="1615" spans="1:3" ht="15">
      <c r="A1615" s="222">
        <v>18335</v>
      </c>
      <c r="B1615" s="223" t="s">
        <v>45</v>
      </c>
      <c r="C1615" s="222" t="s">
        <v>46</v>
      </c>
    </row>
    <row r="1616" spans="1:3" ht="15">
      <c r="A1616" s="222">
        <v>18336</v>
      </c>
      <c r="B1616" s="223" t="s">
        <v>45</v>
      </c>
      <c r="C1616" s="222" t="s">
        <v>46</v>
      </c>
    </row>
    <row r="1617" spans="1:3" ht="15">
      <c r="A1617" s="222">
        <v>18337</v>
      </c>
      <c r="B1617" s="223" t="s">
        <v>45</v>
      </c>
      <c r="C1617" s="222" t="s">
        <v>46</v>
      </c>
    </row>
    <row r="1618" spans="1:3" ht="15">
      <c r="A1618" s="222">
        <v>18340</v>
      </c>
      <c r="B1618" s="223" t="s">
        <v>45</v>
      </c>
      <c r="C1618" s="222" t="s">
        <v>46</v>
      </c>
    </row>
    <row r="1619" spans="1:3" ht="15">
      <c r="A1619" s="222">
        <v>18341</v>
      </c>
      <c r="B1619" s="223" t="s">
        <v>45</v>
      </c>
      <c r="C1619" s="222" t="s">
        <v>46</v>
      </c>
    </row>
    <row r="1620" spans="1:3" ht="15">
      <c r="A1620" s="222">
        <v>18342</v>
      </c>
      <c r="B1620" s="223" t="s">
        <v>45</v>
      </c>
      <c r="C1620" s="222" t="s">
        <v>46</v>
      </c>
    </row>
    <row r="1621" spans="1:3" ht="15">
      <c r="A1621" s="222">
        <v>18343</v>
      </c>
      <c r="B1621" s="223" t="s">
        <v>49</v>
      </c>
      <c r="C1621" s="222" t="s">
        <v>50</v>
      </c>
    </row>
    <row r="1622" spans="1:3" ht="15">
      <c r="A1622" s="222">
        <v>18344</v>
      </c>
      <c r="B1622" s="223" t="s">
        <v>45</v>
      </c>
      <c r="C1622" s="222" t="s">
        <v>46</v>
      </c>
    </row>
    <row r="1623" spans="1:3" ht="15">
      <c r="A1623" s="222">
        <v>18346</v>
      </c>
      <c r="B1623" s="223" t="s">
        <v>45</v>
      </c>
      <c r="C1623" s="222" t="s">
        <v>46</v>
      </c>
    </row>
    <row r="1624" spans="1:3" ht="15">
      <c r="A1624" s="222">
        <v>18347</v>
      </c>
      <c r="B1624" s="223" t="s">
        <v>45</v>
      </c>
      <c r="C1624" s="222" t="s">
        <v>46</v>
      </c>
    </row>
    <row r="1625" spans="1:3" ht="15">
      <c r="A1625" s="222">
        <v>18348</v>
      </c>
      <c r="B1625" s="223" t="s">
        <v>45</v>
      </c>
      <c r="C1625" s="222" t="s">
        <v>46</v>
      </c>
    </row>
    <row r="1626" spans="1:3" ht="15">
      <c r="A1626" s="222">
        <v>18349</v>
      </c>
      <c r="B1626" s="223" t="s">
        <v>45</v>
      </c>
      <c r="C1626" s="222" t="s">
        <v>46</v>
      </c>
    </row>
    <row r="1627" spans="1:3" ht="15">
      <c r="A1627" s="222">
        <v>18350</v>
      </c>
      <c r="B1627" s="223" t="s">
        <v>45</v>
      </c>
      <c r="C1627" s="222" t="s">
        <v>46</v>
      </c>
    </row>
    <row r="1628" spans="1:3" ht="15">
      <c r="A1628" s="222">
        <v>18351</v>
      </c>
      <c r="B1628" s="223" t="s">
        <v>49</v>
      </c>
      <c r="C1628" s="222" t="s">
        <v>50</v>
      </c>
    </row>
    <row r="1629" spans="1:3" ht="15">
      <c r="A1629" s="222">
        <v>18352</v>
      </c>
      <c r="B1629" s="223" t="s">
        <v>45</v>
      </c>
      <c r="C1629" s="222" t="s">
        <v>46</v>
      </c>
    </row>
    <row r="1630" spans="1:3" ht="15">
      <c r="A1630" s="222">
        <v>18353</v>
      </c>
      <c r="B1630" s="223" t="s">
        <v>45</v>
      </c>
      <c r="C1630" s="222" t="s">
        <v>46</v>
      </c>
    </row>
    <row r="1631" spans="1:3" ht="15">
      <c r="A1631" s="222">
        <v>18354</v>
      </c>
      <c r="B1631" s="223" t="s">
        <v>45</v>
      </c>
      <c r="C1631" s="222" t="s">
        <v>46</v>
      </c>
    </row>
    <row r="1632" spans="1:3" ht="15">
      <c r="A1632" s="222">
        <v>18355</v>
      </c>
      <c r="B1632" s="223" t="s">
        <v>45</v>
      </c>
      <c r="C1632" s="222" t="s">
        <v>46</v>
      </c>
    </row>
    <row r="1633" spans="1:3" ht="15">
      <c r="A1633" s="222">
        <v>18356</v>
      </c>
      <c r="B1633" s="223" t="s">
        <v>45</v>
      </c>
      <c r="C1633" s="222" t="s">
        <v>46</v>
      </c>
    </row>
    <row r="1634" spans="1:3" ht="15">
      <c r="A1634" s="222">
        <v>18357</v>
      </c>
      <c r="B1634" s="223" t="s">
        <v>45</v>
      </c>
      <c r="C1634" s="222" t="s">
        <v>46</v>
      </c>
    </row>
    <row r="1635" spans="1:3" ht="15">
      <c r="A1635" s="222">
        <v>18360</v>
      </c>
      <c r="B1635" s="223" t="s">
        <v>45</v>
      </c>
      <c r="C1635" s="222" t="s">
        <v>46</v>
      </c>
    </row>
    <row r="1636" spans="1:3" ht="15">
      <c r="A1636" s="222">
        <v>18370</v>
      </c>
      <c r="B1636" s="223" t="s">
        <v>45</v>
      </c>
      <c r="C1636" s="222" t="s">
        <v>46</v>
      </c>
    </row>
    <row r="1637" spans="1:3" ht="15">
      <c r="A1637" s="222">
        <v>18371</v>
      </c>
      <c r="B1637" s="223" t="s">
        <v>45</v>
      </c>
      <c r="C1637" s="222" t="s">
        <v>46</v>
      </c>
    </row>
    <row r="1638" spans="1:3" ht="15">
      <c r="A1638" s="222">
        <v>18372</v>
      </c>
      <c r="B1638" s="223" t="s">
        <v>45</v>
      </c>
      <c r="C1638" s="222" t="s">
        <v>46</v>
      </c>
    </row>
    <row r="1639" spans="1:3" ht="15">
      <c r="A1639" s="222">
        <v>18373</v>
      </c>
      <c r="B1639" s="223" t="s">
        <v>45</v>
      </c>
      <c r="C1639" s="222" t="s">
        <v>46</v>
      </c>
    </row>
    <row r="1640" spans="1:3" ht="15">
      <c r="A1640" s="222">
        <v>18401</v>
      </c>
      <c r="B1640" s="223" t="s">
        <v>51</v>
      </c>
      <c r="C1640" s="222" t="s">
        <v>52</v>
      </c>
    </row>
    <row r="1641" spans="1:3" ht="15">
      <c r="A1641" s="222">
        <v>18403</v>
      </c>
      <c r="B1641" s="223" t="s">
        <v>45</v>
      </c>
      <c r="C1641" s="222" t="s">
        <v>46</v>
      </c>
    </row>
    <row r="1642" spans="1:3" ht="15">
      <c r="A1642" s="222">
        <v>18405</v>
      </c>
      <c r="B1642" s="223" t="s">
        <v>51</v>
      </c>
      <c r="C1642" s="222" t="s">
        <v>52</v>
      </c>
    </row>
    <row r="1643" spans="1:3" ht="15">
      <c r="A1643" s="222">
        <v>18407</v>
      </c>
      <c r="B1643" s="223" t="s">
        <v>45</v>
      </c>
      <c r="C1643" s="222" t="s">
        <v>46</v>
      </c>
    </row>
    <row r="1644" spans="1:3" ht="15">
      <c r="A1644" s="222">
        <v>18410</v>
      </c>
      <c r="B1644" s="223" t="s">
        <v>45</v>
      </c>
      <c r="C1644" s="222" t="s">
        <v>46</v>
      </c>
    </row>
    <row r="1645" spans="1:3" ht="15">
      <c r="A1645" s="222">
        <v>18411</v>
      </c>
      <c r="B1645" s="223" t="s">
        <v>45</v>
      </c>
      <c r="C1645" s="222" t="s">
        <v>46</v>
      </c>
    </row>
    <row r="1646" spans="1:3" ht="15">
      <c r="A1646" s="222">
        <v>18413</v>
      </c>
      <c r="B1646" s="223" t="s">
        <v>51</v>
      </c>
      <c r="C1646" s="222" t="s">
        <v>52</v>
      </c>
    </row>
    <row r="1647" spans="1:3" ht="15">
      <c r="A1647" s="222">
        <v>18414</v>
      </c>
      <c r="B1647" s="223" t="s">
        <v>45</v>
      </c>
      <c r="C1647" s="222" t="s">
        <v>46</v>
      </c>
    </row>
    <row r="1648" spans="1:3" ht="15">
      <c r="A1648" s="222">
        <v>18415</v>
      </c>
      <c r="B1648" s="223" t="s">
        <v>51</v>
      </c>
      <c r="C1648" s="222" t="s">
        <v>52</v>
      </c>
    </row>
    <row r="1649" spans="1:3" ht="15">
      <c r="A1649" s="222">
        <v>18416</v>
      </c>
      <c r="B1649" s="223" t="s">
        <v>45</v>
      </c>
      <c r="C1649" s="222" t="s">
        <v>46</v>
      </c>
    </row>
    <row r="1650" spans="1:3" ht="15">
      <c r="A1650" s="222">
        <v>18417</v>
      </c>
      <c r="B1650" s="223" t="s">
        <v>51</v>
      </c>
      <c r="C1650" s="222" t="s">
        <v>52</v>
      </c>
    </row>
    <row r="1651" spans="1:3" ht="15">
      <c r="A1651" s="222">
        <v>18419</v>
      </c>
      <c r="B1651" s="223" t="s">
        <v>45</v>
      </c>
      <c r="C1651" s="222" t="s">
        <v>46</v>
      </c>
    </row>
    <row r="1652" spans="1:3" ht="15">
      <c r="A1652" s="222">
        <v>18420</v>
      </c>
      <c r="B1652" s="223" t="s">
        <v>45</v>
      </c>
      <c r="C1652" s="222" t="s">
        <v>46</v>
      </c>
    </row>
    <row r="1653" spans="1:3" ht="15">
      <c r="A1653" s="222">
        <v>18421</v>
      </c>
      <c r="B1653" s="223" t="s">
        <v>51</v>
      </c>
      <c r="C1653" s="222" t="s">
        <v>52</v>
      </c>
    </row>
    <row r="1654" spans="1:3" ht="15">
      <c r="A1654" s="222">
        <v>18424</v>
      </c>
      <c r="B1654" s="223" t="s">
        <v>45</v>
      </c>
      <c r="C1654" s="222" t="s">
        <v>46</v>
      </c>
    </row>
    <row r="1655" spans="1:3" ht="15">
      <c r="A1655" s="222">
        <v>18425</v>
      </c>
      <c r="B1655" s="223" t="s">
        <v>45</v>
      </c>
      <c r="C1655" s="222" t="s">
        <v>46</v>
      </c>
    </row>
    <row r="1656" spans="1:3" ht="15">
      <c r="A1656" s="222">
        <v>18426</v>
      </c>
      <c r="B1656" s="223" t="s">
        <v>45</v>
      </c>
      <c r="C1656" s="222" t="s">
        <v>46</v>
      </c>
    </row>
    <row r="1657" spans="1:3" ht="15">
      <c r="A1657" s="222">
        <v>18427</v>
      </c>
      <c r="B1657" s="223" t="s">
        <v>51</v>
      </c>
      <c r="C1657" s="222" t="s">
        <v>52</v>
      </c>
    </row>
    <row r="1658" spans="1:3" ht="15">
      <c r="A1658" s="222">
        <v>18428</v>
      </c>
      <c r="B1658" s="223" t="s">
        <v>45</v>
      </c>
      <c r="C1658" s="222" t="s">
        <v>46</v>
      </c>
    </row>
    <row r="1659" spans="1:3" ht="15">
      <c r="A1659" s="222">
        <v>18430</v>
      </c>
      <c r="B1659" s="223" t="s">
        <v>51</v>
      </c>
      <c r="C1659" s="222" t="s">
        <v>52</v>
      </c>
    </row>
    <row r="1660" spans="1:3" ht="15">
      <c r="A1660" s="222">
        <v>18431</v>
      </c>
      <c r="B1660" s="223" t="s">
        <v>51</v>
      </c>
      <c r="C1660" s="222" t="s">
        <v>52</v>
      </c>
    </row>
    <row r="1661" spans="1:3" ht="15">
      <c r="A1661" s="222">
        <v>18433</v>
      </c>
      <c r="B1661" s="223" t="s">
        <v>45</v>
      </c>
      <c r="C1661" s="222" t="s">
        <v>46</v>
      </c>
    </row>
    <row r="1662" spans="1:3" ht="15">
      <c r="A1662" s="222">
        <v>18434</v>
      </c>
      <c r="B1662" s="223" t="s">
        <v>45</v>
      </c>
      <c r="C1662" s="222" t="s">
        <v>46</v>
      </c>
    </row>
    <row r="1663" spans="1:3" ht="15">
      <c r="A1663" s="222">
        <v>18435</v>
      </c>
      <c r="B1663" s="223" t="s">
        <v>45</v>
      </c>
      <c r="C1663" s="222" t="s">
        <v>46</v>
      </c>
    </row>
    <row r="1664" spans="1:3" ht="15">
      <c r="A1664" s="222">
        <v>18436</v>
      </c>
      <c r="B1664" s="223" t="s">
        <v>51</v>
      </c>
      <c r="C1664" s="222" t="s">
        <v>52</v>
      </c>
    </row>
    <row r="1665" spans="1:3" ht="15">
      <c r="A1665" s="222">
        <v>18437</v>
      </c>
      <c r="B1665" s="223" t="s">
        <v>51</v>
      </c>
      <c r="C1665" s="222" t="s">
        <v>52</v>
      </c>
    </row>
    <row r="1666" spans="1:3" ht="15">
      <c r="A1666" s="222">
        <v>18438</v>
      </c>
      <c r="B1666" s="223" t="s">
        <v>51</v>
      </c>
      <c r="C1666" s="222" t="s">
        <v>52</v>
      </c>
    </row>
    <row r="1667" spans="1:3" ht="15">
      <c r="A1667" s="222">
        <v>18439</v>
      </c>
      <c r="B1667" s="223" t="s">
        <v>51</v>
      </c>
      <c r="C1667" s="222" t="s">
        <v>52</v>
      </c>
    </row>
    <row r="1668" spans="1:3" ht="15">
      <c r="A1668" s="222">
        <v>18440</v>
      </c>
      <c r="B1668" s="223" t="s">
        <v>45</v>
      </c>
      <c r="C1668" s="222" t="s">
        <v>46</v>
      </c>
    </row>
    <row r="1669" spans="1:3" ht="15">
      <c r="A1669" s="222">
        <v>18441</v>
      </c>
      <c r="B1669" s="223" t="s">
        <v>51</v>
      </c>
      <c r="C1669" s="222" t="s">
        <v>52</v>
      </c>
    </row>
    <row r="1670" spans="1:3" ht="15">
      <c r="A1670" s="222">
        <v>18443</v>
      </c>
      <c r="B1670" s="223" t="s">
        <v>51</v>
      </c>
      <c r="C1670" s="222" t="s">
        <v>52</v>
      </c>
    </row>
    <row r="1671" spans="1:3" ht="15">
      <c r="A1671" s="222">
        <v>18444</v>
      </c>
      <c r="B1671" s="223" t="s">
        <v>45</v>
      </c>
      <c r="C1671" s="222" t="s">
        <v>46</v>
      </c>
    </row>
    <row r="1672" spans="1:3" ht="15">
      <c r="A1672" s="222">
        <v>18445</v>
      </c>
      <c r="B1672" s="223" t="s">
        <v>51</v>
      </c>
      <c r="C1672" s="222" t="s">
        <v>52</v>
      </c>
    </row>
    <row r="1673" spans="1:3" ht="15">
      <c r="A1673" s="222">
        <v>18446</v>
      </c>
      <c r="B1673" s="223" t="s">
        <v>45</v>
      </c>
      <c r="C1673" s="222" t="s">
        <v>46</v>
      </c>
    </row>
    <row r="1674" spans="1:3" ht="15">
      <c r="A1674" s="222">
        <v>18447</v>
      </c>
      <c r="B1674" s="223" t="s">
        <v>45</v>
      </c>
      <c r="C1674" s="222" t="s">
        <v>46</v>
      </c>
    </row>
    <row r="1675" spans="1:3" ht="15">
      <c r="A1675" s="222">
        <v>18448</v>
      </c>
      <c r="B1675" s="223" t="s">
        <v>45</v>
      </c>
      <c r="C1675" s="222" t="s">
        <v>46</v>
      </c>
    </row>
    <row r="1676" spans="1:3" ht="15">
      <c r="A1676" s="222">
        <v>18449</v>
      </c>
      <c r="B1676" s="223" t="s">
        <v>51</v>
      </c>
      <c r="C1676" s="222" t="s">
        <v>52</v>
      </c>
    </row>
    <row r="1677" spans="1:3" ht="15">
      <c r="A1677" s="222">
        <v>18451</v>
      </c>
      <c r="B1677" s="223" t="s">
        <v>45</v>
      </c>
      <c r="C1677" s="222" t="s">
        <v>46</v>
      </c>
    </row>
    <row r="1678" spans="1:3" ht="15">
      <c r="A1678" s="222">
        <v>18452</v>
      </c>
      <c r="B1678" s="223" t="s">
        <v>45</v>
      </c>
      <c r="C1678" s="222" t="s">
        <v>46</v>
      </c>
    </row>
    <row r="1679" spans="1:3" ht="15">
      <c r="A1679" s="222">
        <v>18453</v>
      </c>
      <c r="B1679" s="223" t="s">
        <v>51</v>
      </c>
      <c r="C1679" s="222" t="s">
        <v>52</v>
      </c>
    </row>
    <row r="1680" spans="1:3" ht="15">
      <c r="A1680" s="222">
        <v>18454</v>
      </c>
      <c r="B1680" s="223" t="s">
        <v>51</v>
      </c>
      <c r="C1680" s="222" t="s">
        <v>52</v>
      </c>
    </row>
    <row r="1681" spans="1:3" ht="15">
      <c r="A1681" s="222">
        <v>18455</v>
      </c>
      <c r="B1681" s="223" t="s">
        <v>51</v>
      </c>
      <c r="C1681" s="222" t="s">
        <v>52</v>
      </c>
    </row>
    <row r="1682" spans="1:3" ht="15">
      <c r="A1682" s="222">
        <v>18456</v>
      </c>
      <c r="B1682" s="223" t="s">
        <v>51</v>
      </c>
      <c r="C1682" s="222" t="s">
        <v>52</v>
      </c>
    </row>
    <row r="1683" spans="1:3" ht="15">
      <c r="A1683" s="222">
        <v>18457</v>
      </c>
      <c r="B1683" s="223" t="s">
        <v>45</v>
      </c>
      <c r="C1683" s="222" t="s">
        <v>46</v>
      </c>
    </row>
    <row r="1684" spans="1:3" ht="15">
      <c r="A1684" s="222">
        <v>18458</v>
      </c>
      <c r="B1684" s="223" t="s">
        <v>45</v>
      </c>
      <c r="C1684" s="222" t="s">
        <v>46</v>
      </c>
    </row>
    <row r="1685" spans="1:3" ht="15">
      <c r="A1685" s="222">
        <v>18459</v>
      </c>
      <c r="B1685" s="223" t="s">
        <v>51</v>
      </c>
      <c r="C1685" s="222" t="s">
        <v>52</v>
      </c>
    </row>
    <row r="1686" spans="1:3" ht="15">
      <c r="A1686" s="222">
        <v>18460</v>
      </c>
      <c r="B1686" s="223" t="s">
        <v>51</v>
      </c>
      <c r="C1686" s="222" t="s">
        <v>52</v>
      </c>
    </row>
    <row r="1687" spans="1:3" ht="15">
      <c r="A1687" s="222">
        <v>18461</v>
      </c>
      <c r="B1687" s="223" t="s">
        <v>51</v>
      </c>
      <c r="C1687" s="222" t="s">
        <v>52</v>
      </c>
    </row>
    <row r="1688" spans="1:3" ht="15">
      <c r="A1688" s="222">
        <v>18462</v>
      </c>
      <c r="B1688" s="223" t="s">
        <v>51</v>
      </c>
      <c r="C1688" s="222" t="s">
        <v>52</v>
      </c>
    </row>
    <row r="1689" spans="1:3" ht="15">
      <c r="A1689" s="222">
        <v>18463</v>
      </c>
      <c r="B1689" s="223" t="s">
        <v>51</v>
      </c>
      <c r="C1689" s="222" t="s">
        <v>52</v>
      </c>
    </row>
    <row r="1690" spans="1:3" ht="15">
      <c r="A1690" s="222">
        <v>18464</v>
      </c>
      <c r="B1690" s="223" t="s">
        <v>45</v>
      </c>
      <c r="C1690" s="222" t="s">
        <v>46</v>
      </c>
    </row>
    <row r="1691" spans="1:3" ht="15">
      <c r="A1691" s="222">
        <v>18465</v>
      </c>
      <c r="B1691" s="223" t="s">
        <v>51</v>
      </c>
      <c r="C1691" s="222" t="s">
        <v>52</v>
      </c>
    </row>
    <row r="1692" spans="1:3" ht="15">
      <c r="A1692" s="222">
        <v>18466</v>
      </c>
      <c r="B1692" s="223" t="s">
        <v>45</v>
      </c>
      <c r="C1692" s="222" t="s">
        <v>46</v>
      </c>
    </row>
    <row r="1693" spans="1:3" ht="15">
      <c r="A1693" s="222">
        <v>18469</v>
      </c>
      <c r="B1693" s="223" t="s">
        <v>51</v>
      </c>
      <c r="C1693" s="222" t="s">
        <v>52</v>
      </c>
    </row>
    <row r="1694" spans="1:3" ht="15">
      <c r="A1694" s="222">
        <v>18470</v>
      </c>
      <c r="B1694" s="223" t="s">
        <v>51</v>
      </c>
      <c r="C1694" s="222" t="s">
        <v>52</v>
      </c>
    </row>
    <row r="1695" spans="1:3" ht="15">
      <c r="A1695" s="222">
        <v>18471</v>
      </c>
      <c r="B1695" s="223" t="s">
        <v>45</v>
      </c>
      <c r="C1695" s="222" t="s">
        <v>46</v>
      </c>
    </row>
    <row r="1696" spans="1:3" ht="15">
      <c r="A1696" s="222">
        <v>18472</v>
      </c>
      <c r="B1696" s="223" t="s">
        <v>51</v>
      </c>
      <c r="C1696" s="222" t="s">
        <v>52</v>
      </c>
    </row>
    <row r="1697" spans="1:3" ht="15">
      <c r="A1697" s="222">
        <v>18473</v>
      </c>
      <c r="B1697" s="223" t="s">
        <v>51</v>
      </c>
      <c r="C1697" s="222" t="s">
        <v>52</v>
      </c>
    </row>
    <row r="1698" spans="1:3" ht="15">
      <c r="A1698" s="222">
        <v>18501</v>
      </c>
      <c r="B1698" s="223" t="s">
        <v>45</v>
      </c>
      <c r="C1698" s="222" t="s">
        <v>46</v>
      </c>
    </row>
    <row r="1699" spans="1:3" ht="15">
      <c r="A1699" s="222">
        <v>18502</v>
      </c>
      <c r="B1699" s="223" t="s">
        <v>45</v>
      </c>
      <c r="C1699" s="222" t="s">
        <v>46</v>
      </c>
    </row>
    <row r="1700" spans="1:3" ht="15">
      <c r="A1700" s="222">
        <v>18503</v>
      </c>
      <c r="B1700" s="223" t="s">
        <v>45</v>
      </c>
      <c r="C1700" s="222" t="s">
        <v>46</v>
      </c>
    </row>
    <row r="1701" spans="1:3" ht="15">
      <c r="A1701" s="222">
        <v>18504</v>
      </c>
      <c r="B1701" s="223" t="s">
        <v>45</v>
      </c>
      <c r="C1701" s="222" t="s">
        <v>46</v>
      </c>
    </row>
    <row r="1702" spans="1:3" ht="15">
      <c r="A1702" s="222">
        <v>18505</v>
      </c>
      <c r="B1702" s="223" t="s">
        <v>45</v>
      </c>
      <c r="C1702" s="222" t="s">
        <v>46</v>
      </c>
    </row>
    <row r="1703" spans="1:3" ht="15">
      <c r="A1703" s="222">
        <v>18507</v>
      </c>
      <c r="B1703" s="223" t="s">
        <v>45</v>
      </c>
      <c r="C1703" s="222" t="s">
        <v>46</v>
      </c>
    </row>
    <row r="1704" spans="1:3" ht="15">
      <c r="A1704" s="222">
        <v>18508</v>
      </c>
      <c r="B1704" s="223" t="s">
        <v>45</v>
      </c>
      <c r="C1704" s="222" t="s">
        <v>46</v>
      </c>
    </row>
    <row r="1705" spans="1:3" ht="15">
      <c r="A1705" s="222">
        <v>18509</v>
      </c>
      <c r="B1705" s="223" t="s">
        <v>45</v>
      </c>
      <c r="C1705" s="222" t="s">
        <v>46</v>
      </c>
    </row>
    <row r="1706" spans="1:3" ht="15">
      <c r="A1706" s="222">
        <v>18510</v>
      </c>
      <c r="B1706" s="223" t="s">
        <v>45</v>
      </c>
      <c r="C1706" s="222" t="s">
        <v>46</v>
      </c>
    </row>
    <row r="1707" spans="1:3" ht="15">
      <c r="A1707" s="222">
        <v>18512</v>
      </c>
      <c r="B1707" s="223" t="s">
        <v>45</v>
      </c>
      <c r="C1707" s="222" t="s">
        <v>46</v>
      </c>
    </row>
    <row r="1708" spans="1:3" ht="15">
      <c r="A1708" s="222">
        <v>18514</v>
      </c>
      <c r="B1708" s="223" t="s">
        <v>45</v>
      </c>
      <c r="C1708" s="222" t="s">
        <v>46</v>
      </c>
    </row>
    <row r="1709" spans="1:3" ht="15">
      <c r="A1709" s="222">
        <v>18515</v>
      </c>
      <c r="B1709" s="223" t="s">
        <v>45</v>
      </c>
      <c r="C1709" s="222" t="s">
        <v>46</v>
      </c>
    </row>
    <row r="1710" spans="1:3" ht="15">
      <c r="A1710" s="222">
        <v>18517</v>
      </c>
      <c r="B1710" s="223" t="s">
        <v>45</v>
      </c>
      <c r="C1710" s="222" t="s">
        <v>46</v>
      </c>
    </row>
    <row r="1711" spans="1:3" ht="15">
      <c r="A1711" s="222">
        <v>18518</v>
      </c>
      <c r="B1711" s="223" t="s">
        <v>45</v>
      </c>
      <c r="C1711" s="222" t="s">
        <v>46</v>
      </c>
    </row>
    <row r="1712" spans="1:3" ht="15">
      <c r="A1712" s="222">
        <v>18519</v>
      </c>
      <c r="B1712" s="223" t="s">
        <v>45</v>
      </c>
      <c r="C1712" s="222" t="s">
        <v>46</v>
      </c>
    </row>
    <row r="1713" spans="1:3" ht="15">
      <c r="A1713" s="222">
        <v>18522</v>
      </c>
      <c r="B1713" s="223" t="s">
        <v>45</v>
      </c>
      <c r="C1713" s="222" t="s">
        <v>46</v>
      </c>
    </row>
    <row r="1714" spans="1:3" ht="15">
      <c r="A1714" s="222">
        <v>18540</v>
      </c>
      <c r="B1714" s="223" t="s">
        <v>45</v>
      </c>
      <c r="C1714" s="222" t="s">
        <v>46</v>
      </c>
    </row>
    <row r="1715" spans="1:3" ht="15">
      <c r="A1715" s="222">
        <v>18577</v>
      </c>
      <c r="B1715" s="223" t="s">
        <v>45</v>
      </c>
      <c r="C1715" s="222" t="s">
        <v>46</v>
      </c>
    </row>
    <row r="1716" spans="1:3" ht="15">
      <c r="A1716" s="222">
        <v>18601</v>
      </c>
      <c r="B1716" s="223" t="s">
        <v>45</v>
      </c>
      <c r="C1716" s="222" t="s">
        <v>46</v>
      </c>
    </row>
    <row r="1717" spans="1:3" ht="15">
      <c r="A1717" s="222">
        <v>18602</v>
      </c>
      <c r="B1717" s="223" t="s">
        <v>45</v>
      </c>
      <c r="C1717" s="222" t="s">
        <v>46</v>
      </c>
    </row>
    <row r="1718" spans="1:3" ht="15">
      <c r="A1718" s="222">
        <v>18603</v>
      </c>
      <c r="B1718" s="223" t="s">
        <v>43</v>
      </c>
      <c r="C1718" s="222" t="s">
        <v>44</v>
      </c>
    </row>
    <row r="1719" spans="1:3" ht="15">
      <c r="A1719" s="222">
        <v>18610</v>
      </c>
      <c r="B1719" s="223" t="s">
        <v>45</v>
      </c>
      <c r="C1719" s="222" t="s">
        <v>46</v>
      </c>
    </row>
    <row r="1720" spans="1:3" ht="15">
      <c r="A1720" s="222">
        <v>18611</v>
      </c>
      <c r="B1720" s="223" t="s">
        <v>45</v>
      </c>
      <c r="C1720" s="222" t="s">
        <v>46</v>
      </c>
    </row>
    <row r="1721" spans="1:3" ht="15">
      <c r="A1721" s="222">
        <v>18612</v>
      </c>
      <c r="B1721" s="223" t="s">
        <v>45</v>
      </c>
      <c r="C1721" s="222" t="s">
        <v>46</v>
      </c>
    </row>
    <row r="1722" spans="1:3" ht="15">
      <c r="A1722" s="222">
        <v>18614</v>
      </c>
      <c r="B1722" s="223" t="s">
        <v>45</v>
      </c>
      <c r="C1722" s="222" t="s">
        <v>46</v>
      </c>
    </row>
    <row r="1723" spans="1:3" ht="15">
      <c r="A1723" s="222">
        <v>18615</v>
      </c>
      <c r="B1723" s="223" t="s">
        <v>45</v>
      </c>
      <c r="C1723" s="222" t="s">
        <v>46</v>
      </c>
    </row>
    <row r="1724" spans="1:3" ht="15">
      <c r="A1724" s="222">
        <v>18616</v>
      </c>
      <c r="B1724" s="223" t="s">
        <v>45</v>
      </c>
      <c r="C1724" s="222" t="s">
        <v>46</v>
      </c>
    </row>
    <row r="1725" spans="1:3" ht="15">
      <c r="A1725" s="222">
        <v>18617</v>
      </c>
      <c r="B1725" s="223" t="s">
        <v>45</v>
      </c>
      <c r="C1725" s="222" t="s">
        <v>46</v>
      </c>
    </row>
    <row r="1726" spans="1:3" ht="15">
      <c r="A1726" s="222">
        <v>18618</v>
      </c>
      <c r="B1726" s="223" t="s">
        <v>45</v>
      </c>
      <c r="C1726" s="222" t="s">
        <v>46</v>
      </c>
    </row>
    <row r="1727" spans="1:3" ht="15">
      <c r="A1727" s="222">
        <v>18619</v>
      </c>
      <c r="B1727" s="223" t="s">
        <v>45</v>
      </c>
      <c r="C1727" s="222" t="s">
        <v>46</v>
      </c>
    </row>
    <row r="1728" spans="1:3" ht="15">
      <c r="A1728" s="222">
        <v>18621</v>
      </c>
      <c r="B1728" s="223" t="s">
        <v>45</v>
      </c>
      <c r="C1728" s="222" t="s">
        <v>46</v>
      </c>
    </row>
    <row r="1729" spans="1:3" ht="15">
      <c r="A1729" s="222">
        <v>18622</v>
      </c>
      <c r="B1729" s="223" t="s">
        <v>45</v>
      </c>
      <c r="C1729" s="222" t="s">
        <v>46</v>
      </c>
    </row>
    <row r="1730" spans="1:3" ht="15">
      <c r="A1730" s="222">
        <v>18623</v>
      </c>
      <c r="B1730" s="223" t="s">
        <v>45</v>
      </c>
      <c r="C1730" s="222" t="s">
        <v>46</v>
      </c>
    </row>
    <row r="1731" spans="1:3" ht="15">
      <c r="A1731" s="222">
        <v>18624</v>
      </c>
      <c r="B1731" s="223" t="s">
        <v>49</v>
      </c>
      <c r="C1731" s="222" t="s">
        <v>50</v>
      </c>
    </row>
    <row r="1732" spans="1:3" ht="15">
      <c r="A1732" s="222">
        <v>18625</v>
      </c>
      <c r="B1732" s="223" t="s">
        <v>45</v>
      </c>
      <c r="C1732" s="222" t="s">
        <v>46</v>
      </c>
    </row>
    <row r="1733" spans="1:3" ht="15">
      <c r="A1733" s="222">
        <v>18626</v>
      </c>
      <c r="B1733" s="223" t="s">
        <v>45</v>
      </c>
      <c r="C1733" s="222" t="s">
        <v>46</v>
      </c>
    </row>
    <row r="1734" spans="1:3" ht="15">
      <c r="A1734" s="222">
        <v>18627</v>
      </c>
      <c r="B1734" s="223" t="s">
        <v>45</v>
      </c>
      <c r="C1734" s="222" t="s">
        <v>46</v>
      </c>
    </row>
    <row r="1735" spans="1:3" ht="15">
      <c r="A1735" s="222">
        <v>18628</v>
      </c>
      <c r="B1735" s="223" t="s">
        <v>45</v>
      </c>
      <c r="C1735" s="222" t="s">
        <v>46</v>
      </c>
    </row>
    <row r="1736" spans="1:3" ht="15">
      <c r="A1736" s="222">
        <v>18629</v>
      </c>
      <c r="B1736" s="223" t="s">
        <v>45</v>
      </c>
      <c r="C1736" s="222" t="s">
        <v>46</v>
      </c>
    </row>
    <row r="1737" spans="1:3" ht="15">
      <c r="A1737" s="222">
        <v>18630</v>
      </c>
      <c r="B1737" s="223" t="s">
        <v>45</v>
      </c>
      <c r="C1737" s="222" t="s">
        <v>46</v>
      </c>
    </row>
    <row r="1738" spans="1:3" ht="15">
      <c r="A1738" s="222">
        <v>18631</v>
      </c>
      <c r="B1738" s="223" t="s">
        <v>43</v>
      </c>
      <c r="C1738" s="222" t="s">
        <v>44</v>
      </c>
    </row>
    <row r="1739" spans="1:3" ht="15">
      <c r="A1739" s="222">
        <v>18632</v>
      </c>
      <c r="B1739" s="223" t="s">
        <v>45</v>
      </c>
      <c r="C1739" s="222" t="s">
        <v>46</v>
      </c>
    </row>
    <row r="1740" spans="1:3" ht="15">
      <c r="A1740" s="222">
        <v>18634</v>
      </c>
      <c r="B1740" s="223" t="s">
        <v>45</v>
      </c>
      <c r="C1740" s="222" t="s">
        <v>46</v>
      </c>
    </row>
    <row r="1741" spans="1:3" ht="15">
      <c r="A1741" s="222">
        <v>18635</v>
      </c>
      <c r="B1741" s="223" t="s">
        <v>45</v>
      </c>
      <c r="C1741" s="222" t="s">
        <v>46</v>
      </c>
    </row>
    <row r="1742" spans="1:3" ht="15">
      <c r="A1742" s="222">
        <v>18636</v>
      </c>
      <c r="B1742" s="223" t="s">
        <v>45</v>
      </c>
      <c r="C1742" s="222" t="s">
        <v>46</v>
      </c>
    </row>
    <row r="1743" spans="1:3" ht="15">
      <c r="A1743" s="222">
        <v>18640</v>
      </c>
      <c r="B1743" s="223" t="s">
        <v>45</v>
      </c>
      <c r="C1743" s="222" t="s">
        <v>46</v>
      </c>
    </row>
    <row r="1744" spans="1:3" ht="15">
      <c r="A1744" s="222">
        <v>18641</v>
      </c>
      <c r="B1744" s="223" t="s">
        <v>45</v>
      </c>
      <c r="C1744" s="222" t="s">
        <v>46</v>
      </c>
    </row>
    <row r="1745" spans="1:3" ht="15">
      <c r="A1745" s="222">
        <v>18642</v>
      </c>
      <c r="B1745" s="223" t="s">
        <v>45</v>
      </c>
      <c r="C1745" s="222" t="s">
        <v>46</v>
      </c>
    </row>
    <row r="1746" spans="1:3" ht="15">
      <c r="A1746" s="222">
        <v>18643</v>
      </c>
      <c r="B1746" s="223" t="s">
        <v>45</v>
      </c>
      <c r="C1746" s="222" t="s">
        <v>46</v>
      </c>
    </row>
    <row r="1747" spans="1:3" ht="15">
      <c r="A1747" s="222">
        <v>18644</v>
      </c>
      <c r="B1747" s="223" t="s">
        <v>45</v>
      </c>
      <c r="C1747" s="222" t="s">
        <v>46</v>
      </c>
    </row>
    <row r="1748" spans="1:3" ht="15">
      <c r="A1748" s="222">
        <v>18651</v>
      </c>
      <c r="B1748" s="223" t="s">
        <v>45</v>
      </c>
      <c r="C1748" s="222" t="s">
        <v>46</v>
      </c>
    </row>
    <row r="1749" spans="1:3" ht="15">
      <c r="A1749" s="222">
        <v>18653</v>
      </c>
      <c r="B1749" s="223" t="s">
        <v>45</v>
      </c>
      <c r="C1749" s="222" t="s">
        <v>46</v>
      </c>
    </row>
    <row r="1750" spans="1:3" ht="15">
      <c r="A1750" s="222">
        <v>18654</v>
      </c>
      <c r="B1750" s="223" t="s">
        <v>45</v>
      </c>
      <c r="C1750" s="222" t="s">
        <v>46</v>
      </c>
    </row>
    <row r="1751" spans="1:3" ht="15">
      <c r="A1751" s="222">
        <v>18655</v>
      </c>
      <c r="B1751" s="223" t="s">
        <v>45</v>
      </c>
      <c r="C1751" s="222" t="s">
        <v>46</v>
      </c>
    </row>
    <row r="1752" spans="1:3" ht="15">
      <c r="A1752" s="222">
        <v>18656</v>
      </c>
      <c r="B1752" s="223" t="s">
        <v>45</v>
      </c>
      <c r="C1752" s="222" t="s">
        <v>46</v>
      </c>
    </row>
    <row r="1753" spans="1:3" ht="15">
      <c r="A1753" s="222">
        <v>18657</v>
      </c>
      <c r="B1753" s="223" t="s">
        <v>45</v>
      </c>
      <c r="C1753" s="222" t="s">
        <v>46</v>
      </c>
    </row>
    <row r="1754" spans="1:3" ht="15">
      <c r="A1754" s="222">
        <v>18660</v>
      </c>
      <c r="B1754" s="223" t="s">
        <v>45</v>
      </c>
      <c r="C1754" s="222" t="s">
        <v>46</v>
      </c>
    </row>
    <row r="1755" spans="1:3" ht="15">
      <c r="A1755" s="222">
        <v>18661</v>
      </c>
      <c r="B1755" s="223" t="s">
        <v>45</v>
      </c>
      <c r="C1755" s="222" t="s">
        <v>46</v>
      </c>
    </row>
    <row r="1756" spans="1:3" ht="15">
      <c r="A1756" s="222">
        <v>18690</v>
      </c>
      <c r="B1756" s="223" t="s">
        <v>45</v>
      </c>
      <c r="C1756" s="222" t="s">
        <v>46</v>
      </c>
    </row>
    <row r="1757" spans="1:3" ht="15">
      <c r="A1757" s="222">
        <v>18701</v>
      </c>
      <c r="B1757" s="223" t="s">
        <v>45</v>
      </c>
      <c r="C1757" s="222" t="s">
        <v>46</v>
      </c>
    </row>
    <row r="1758" spans="1:3" ht="15">
      <c r="A1758" s="222">
        <v>18702</v>
      </c>
      <c r="B1758" s="223" t="s">
        <v>45</v>
      </c>
      <c r="C1758" s="222" t="s">
        <v>46</v>
      </c>
    </row>
    <row r="1759" spans="1:3" ht="15">
      <c r="A1759" s="222">
        <v>18703</v>
      </c>
      <c r="B1759" s="223" t="s">
        <v>45</v>
      </c>
      <c r="C1759" s="222" t="s">
        <v>46</v>
      </c>
    </row>
    <row r="1760" spans="1:3" ht="15">
      <c r="A1760" s="222">
        <v>18704</v>
      </c>
      <c r="B1760" s="223" t="s">
        <v>45</v>
      </c>
      <c r="C1760" s="222" t="s">
        <v>46</v>
      </c>
    </row>
    <row r="1761" spans="1:3" ht="15">
      <c r="A1761" s="222">
        <v>18705</v>
      </c>
      <c r="B1761" s="223" t="s">
        <v>45</v>
      </c>
      <c r="C1761" s="222" t="s">
        <v>46</v>
      </c>
    </row>
    <row r="1762" spans="1:3" ht="15">
      <c r="A1762" s="222">
        <v>18706</v>
      </c>
      <c r="B1762" s="223" t="s">
        <v>45</v>
      </c>
      <c r="C1762" s="222" t="s">
        <v>46</v>
      </c>
    </row>
    <row r="1763" spans="1:3" ht="15">
      <c r="A1763" s="222">
        <v>18707</v>
      </c>
      <c r="B1763" s="223" t="s">
        <v>45</v>
      </c>
      <c r="C1763" s="222" t="s">
        <v>46</v>
      </c>
    </row>
    <row r="1764" spans="1:3" ht="15">
      <c r="A1764" s="222">
        <v>18708</v>
      </c>
      <c r="B1764" s="223" t="s">
        <v>45</v>
      </c>
      <c r="C1764" s="222" t="s">
        <v>46</v>
      </c>
    </row>
    <row r="1765" spans="1:3" ht="15">
      <c r="A1765" s="222">
        <v>18709</v>
      </c>
      <c r="B1765" s="223" t="s">
        <v>45</v>
      </c>
      <c r="C1765" s="222" t="s">
        <v>46</v>
      </c>
    </row>
    <row r="1766" spans="1:3" ht="15">
      <c r="A1766" s="222">
        <v>18710</v>
      </c>
      <c r="B1766" s="223" t="s">
        <v>45</v>
      </c>
      <c r="C1766" s="222" t="s">
        <v>46</v>
      </c>
    </row>
    <row r="1767" spans="1:3" ht="15">
      <c r="A1767" s="222">
        <v>18711</v>
      </c>
      <c r="B1767" s="223" t="s">
        <v>45</v>
      </c>
      <c r="C1767" s="222" t="s">
        <v>46</v>
      </c>
    </row>
    <row r="1768" spans="1:3" ht="15">
      <c r="A1768" s="222">
        <v>18761</v>
      </c>
      <c r="B1768" s="223" t="s">
        <v>45</v>
      </c>
      <c r="C1768" s="222" t="s">
        <v>46</v>
      </c>
    </row>
    <row r="1769" spans="1:3" ht="15">
      <c r="A1769" s="222">
        <v>18762</v>
      </c>
      <c r="B1769" s="223" t="s">
        <v>45</v>
      </c>
      <c r="C1769" s="222" t="s">
        <v>46</v>
      </c>
    </row>
    <row r="1770" spans="1:3" ht="15">
      <c r="A1770" s="222">
        <v>18763</v>
      </c>
      <c r="B1770" s="223" t="s">
        <v>45</v>
      </c>
      <c r="C1770" s="222" t="s">
        <v>46</v>
      </c>
    </row>
    <row r="1771" spans="1:3" ht="15">
      <c r="A1771" s="222">
        <v>18764</v>
      </c>
      <c r="B1771" s="223" t="s">
        <v>45</v>
      </c>
      <c r="C1771" s="222" t="s">
        <v>46</v>
      </c>
    </row>
    <row r="1772" spans="1:3" ht="15">
      <c r="A1772" s="222">
        <v>18765</v>
      </c>
      <c r="B1772" s="223" t="s">
        <v>45</v>
      </c>
      <c r="C1772" s="222" t="s">
        <v>46</v>
      </c>
    </row>
    <row r="1773" spans="1:3" ht="15">
      <c r="A1773" s="222">
        <v>18766</v>
      </c>
      <c r="B1773" s="223" t="s">
        <v>45</v>
      </c>
      <c r="C1773" s="222" t="s">
        <v>46</v>
      </c>
    </row>
    <row r="1774" spans="1:3" ht="15">
      <c r="A1774" s="222">
        <v>18767</v>
      </c>
      <c r="B1774" s="223" t="s">
        <v>45</v>
      </c>
      <c r="C1774" s="222" t="s">
        <v>46</v>
      </c>
    </row>
    <row r="1775" spans="1:3" ht="15">
      <c r="A1775" s="222">
        <v>18768</v>
      </c>
      <c r="B1775" s="223" t="s">
        <v>45</v>
      </c>
      <c r="C1775" s="222" t="s">
        <v>46</v>
      </c>
    </row>
    <row r="1776" spans="1:3" ht="15">
      <c r="A1776" s="222">
        <v>18769</v>
      </c>
      <c r="B1776" s="223" t="s">
        <v>45</v>
      </c>
      <c r="C1776" s="222" t="s">
        <v>46</v>
      </c>
    </row>
    <row r="1777" spans="1:3" ht="15">
      <c r="A1777" s="222">
        <v>18773</v>
      </c>
      <c r="B1777" s="223" t="s">
        <v>45</v>
      </c>
      <c r="C1777" s="222" t="s">
        <v>46</v>
      </c>
    </row>
    <row r="1778" spans="1:3" ht="15">
      <c r="A1778" s="222">
        <v>18774</v>
      </c>
      <c r="B1778" s="223" t="s">
        <v>45</v>
      </c>
      <c r="C1778" s="222" t="s">
        <v>46</v>
      </c>
    </row>
    <row r="1779" spans="1:3" ht="15">
      <c r="A1779" s="222">
        <v>18801</v>
      </c>
      <c r="B1779" s="223" t="s">
        <v>51</v>
      </c>
      <c r="C1779" s="222" t="s">
        <v>52</v>
      </c>
    </row>
    <row r="1780" spans="1:3" ht="15">
      <c r="A1780" s="222">
        <v>18810</v>
      </c>
      <c r="B1780" s="223" t="s">
        <v>45</v>
      </c>
      <c r="C1780" s="222" t="s">
        <v>46</v>
      </c>
    </row>
    <row r="1781" spans="1:3" ht="15">
      <c r="A1781" s="222">
        <v>18812</v>
      </c>
      <c r="B1781" s="223" t="s">
        <v>51</v>
      </c>
      <c r="C1781" s="222" t="s">
        <v>52</v>
      </c>
    </row>
    <row r="1782" spans="1:3" ht="15">
      <c r="A1782" s="222">
        <v>18813</v>
      </c>
      <c r="B1782" s="223" t="s">
        <v>51</v>
      </c>
      <c r="C1782" s="222" t="s">
        <v>52</v>
      </c>
    </row>
    <row r="1783" spans="1:3" ht="15">
      <c r="A1783" s="222">
        <v>18814</v>
      </c>
      <c r="B1783" s="223" t="s">
        <v>45</v>
      </c>
      <c r="C1783" s="222" t="s">
        <v>46</v>
      </c>
    </row>
    <row r="1784" spans="1:3" ht="15">
      <c r="A1784" s="222">
        <v>18815</v>
      </c>
      <c r="B1784" s="223" t="s">
        <v>45</v>
      </c>
      <c r="C1784" s="222" t="s">
        <v>46</v>
      </c>
    </row>
    <row r="1785" spans="1:3" ht="15">
      <c r="A1785" s="222">
        <v>18816</v>
      </c>
      <c r="B1785" s="223" t="s">
        <v>51</v>
      </c>
      <c r="C1785" s="222" t="s">
        <v>52</v>
      </c>
    </row>
    <row r="1786" spans="1:3" ht="15">
      <c r="A1786" s="222">
        <v>18817</v>
      </c>
      <c r="B1786" s="223" t="s">
        <v>45</v>
      </c>
      <c r="C1786" s="222" t="s">
        <v>46</v>
      </c>
    </row>
    <row r="1787" spans="1:3" ht="15">
      <c r="A1787" s="222">
        <v>18818</v>
      </c>
      <c r="B1787" s="223" t="s">
        <v>51</v>
      </c>
      <c r="C1787" s="222" t="s">
        <v>52</v>
      </c>
    </row>
    <row r="1788" spans="1:3" ht="15">
      <c r="A1788" s="222">
        <v>18820</v>
      </c>
      <c r="B1788" s="223" t="s">
        <v>51</v>
      </c>
      <c r="C1788" s="222" t="s">
        <v>52</v>
      </c>
    </row>
    <row r="1789" spans="1:3" ht="15">
      <c r="A1789" s="222">
        <v>18821</v>
      </c>
      <c r="B1789" s="223" t="s">
        <v>51</v>
      </c>
      <c r="C1789" s="222" t="s">
        <v>52</v>
      </c>
    </row>
    <row r="1790" spans="1:3" ht="15">
      <c r="A1790" s="222">
        <v>18822</v>
      </c>
      <c r="B1790" s="223" t="s">
        <v>51</v>
      </c>
      <c r="C1790" s="222" t="s">
        <v>52</v>
      </c>
    </row>
    <row r="1791" spans="1:3" ht="15">
      <c r="A1791" s="222">
        <v>18823</v>
      </c>
      <c r="B1791" s="223" t="s">
        <v>51</v>
      </c>
      <c r="C1791" s="222" t="s">
        <v>52</v>
      </c>
    </row>
    <row r="1792" spans="1:3" ht="15">
      <c r="A1792" s="222">
        <v>18824</v>
      </c>
      <c r="B1792" s="223" t="s">
        <v>51</v>
      </c>
      <c r="C1792" s="222" t="s">
        <v>52</v>
      </c>
    </row>
    <row r="1793" spans="1:3" ht="15">
      <c r="A1793" s="222">
        <v>18825</v>
      </c>
      <c r="B1793" s="223" t="s">
        <v>51</v>
      </c>
      <c r="C1793" s="222" t="s">
        <v>52</v>
      </c>
    </row>
    <row r="1794" spans="1:3" ht="15">
      <c r="A1794" s="222">
        <v>18826</v>
      </c>
      <c r="B1794" s="223" t="s">
        <v>51</v>
      </c>
      <c r="C1794" s="222" t="s">
        <v>52</v>
      </c>
    </row>
    <row r="1795" spans="1:3" ht="15">
      <c r="A1795" s="222">
        <v>18827</v>
      </c>
      <c r="B1795" s="223" t="s">
        <v>51</v>
      </c>
      <c r="C1795" s="222" t="s">
        <v>52</v>
      </c>
    </row>
    <row r="1796" spans="1:3" ht="15">
      <c r="A1796" s="222">
        <v>18828</v>
      </c>
      <c r="B1796" s="223" t="s">
        <v>51</v>
      </c>
      <c r="C1796" s="222" t="s">
        <v>52</v>
      </c>
    </row>
    <row r="1797" spans="1:3" ht="15">
      <c r="A1797" s="222">
        <v>18829</v>
      </c>
      <c r="B1797" s="223" t="s">
        <v>45</v>
      </c>
      <c r="C1797" s="222" t="s">
        <v>46</v>
      </c>
    </row>
    <row r="1798" spans="1:3" ht="15">
      <c r="A1798" s="222">
        <v>18830</v>
      </c>
      <c r="B1798" s="223" t="s">
        <v>51</v>
      </c>
      <c r="C1798" s="222" t="s">
        <v>52</v>
      </c>
    </row>
    <row r="1799" spans="1:3" ht="15">
      <c r="A1799" s="222">
        <v>18831</v>
      </c>
      <c r="B1799" s="223" t="s">
        <v>45</v>
      </c>
      <c r="C1799" s="222" t="s">
        <v>46</v>
      </c>
    </row>
    <row r="1800" spans="1:3" ht="15">
      <c r="A1800" s="222">
        <v>18832</v>
      </c>
      <c r="B1800" s="223" t="s">
        <v>45</v>
      </c>
      <c r="C1800" s="222" t="s">
        <v>46</v>
      </c>
    </row>
    <row r="1801" spans="1:3" ht="15">
      <c r="A1801" s="222">
        <v>18833</v>
      </c>
      <c r="B1801" s="223" t="s">
        <v>45</v>
      </c>
      <c r="C1801" s="222" t="s">
        <v>46</v>
      </c>
    </row>
    <row r="1802" spans="1:3" ht="15">
      <c r="A1802" s="222">
        <v>18834</v>
      </c>
      <c r="B1802" s="223" t="s">
        <v>51</v>
      </c>
      <c r="C1802" s="222" t="s">
        <v>52</v>
      </c>
    </row>
    <row r="1803" spans="1:3" ht="15">
      <c r="A1803" s="222">
        <v>18837</v>
      </c>
      <c r="B1803" s="223" t="s">
        <v>45</v>
      </c>
      <c r="C1803" s="222" t="s">
        <v>46</v>
      </c>
    </row>
    <row r="1804" spans="1:3" ht="15">
      <c r="A1804" s="222">
        <v>18840</v>
      </c>
      <c r="B1804" s="223" t="s">
        <v>45</v>
      </c>
      <c r="C1804" s="222" t="s">
        <v>46</v>
      </c>
    </row>
    <row r="1805" spans="1:3" ht="15">
      <c r="A1805" s="222">
        <v>18842</v>
      </c>
      <c r="B1805" s="223" t="s">
        <v>51</v>
      </c>
      <c r="C1805" s="222" t="s">
        <v>52</v>
      </c>
    </row>
    <row r="1806" spans="1:3" ht="15">
      <c r="A1806" s="222">
        <v>18843</v>
      </c>
      <c r="B1806" s="223" t="s">
        <v>51</v>
      </c>
      <c r="C1806" s="222" t="s">
        <v>52</v>
      </c>
    </row>
    <row r="1807" spans="1:3" ht="15">
      <c r="A1807" s="222">
        <v>18844</v>
      </c>
      <c r="B1807" s="223" t="s">
        <v>51</v>
      </c>
      <c r="C1807" s="222" t="s">
        <v>52</v>
      </c>
    </row>
    <row r="1808" spans="1:3" ht="15">
      <c r="A1808" s="222">
        <v>18845</v>
      </c>
      <c r="B1808" s="223" t="s">
        <v>45</v>
      </c>
      <c r="C1808" s="222" t="s">
        <v>46</v>
      </c>
    </row>
    <row r="1809" spans="1:3" ht="15">
      <c r="A1809" s="222">
        <v>18846</v>
      </c>
      <c r="B1809" s="223" t="s">
        <v>45</v>
      </c>
      <c r="C1809" s="222" t="s">
        <v>46</v>
      </c>
    </row>
    <row r="1810" spans="1:3" ht="15">
      <c r="A1810" s="222">
        <v>18847</v>
      </c>
      <c r="B1810" s="223" t="s">
        <v>51</v>
      </c>
      <c r="C1810" s="222" t="s">
        <v>52</v>
      </c>
    </row>
    <row r="1811" spans="1:3" ht="15">
      <c r="A1811" s="222">
        <v>18848</v>
      </c>
      <c r="B1811" s="223" t="s">
        <v>45</v>
      </c>
      <c r="C1811" s="222" t="s">
        <v>46</v>
      </c>
    </row>
    <row r="1812" spans="1:3" ht="15">
      <c r="A1812" s="222">
        <v>18850</v>
      </c>
      <c r="B1812" s="223" t="s">
        <v>45</v>
      </c>
      <c r="C1812" s="222" t="s">
        <v>46</v>
      </c>
    </row>
    <row r="1813" spans="1:3" ht="15">
      <c r="A1813" s="222">
        <v>18851</v>
      </c>
      <c r="B1813" s="223" t="s">
        <v>45</v>
      </c>
      <c r="C1813" s="222" t="s">
        <v>46</v>
      </c>
    </row>
    <row r="1814" spans="1:3" ht="15">
      <c r="A1814" s="222">
        <v>18853</v>
      </c>
      <c r="B1814" s="223" t="s">
        <v>45</v>
      </c>
      <c r="C1814" s="222" t="s">
        <v>46</v>
      </c>
    </row>
    <row r="1815" spans="1:3" ht="15">
      <c r="A1815" s="222">
        <v>18854</v>
      </c>
      <c r="B1815" s="223" t="s">
        <v>45</v>
      </c>
      <c r="C1815" s="222" t="s">
        <v>46</v>
      </c>
    </row>
    <row r="1816" spans="1:3" ht="15">
      <c r="A1816" s="222">
        <v>18901</v>
      </c>
      <c r="B1816" s="223" t="s">
        <v>47</v>
      </c>
      <c r="C1816" s="222" t="s">
        <v>48</v>
      </c>
    </row>
    <row r="1817" spans="1:3" ht="15">
      <c r="A1817" s="222">
        <v>18902</v>
      </c>
      <c r="B1817" s="223" t="s">
        <v>47</v>
      </c>
      <c r="C1817" s="222" t="s">
        <v>48</v>
      </c>
    </row>
    <row r="1818" spans="1:3" ht="15">
      <c r="A1818" s="222">
        <v>18910</v>
      </c>
      <c r="B1818" s="223" t="s">
        <v>47</v>
      </c>
      <c r="C1818" s="222" t="s">
        <v>48</v>
      </c>
    </row>
    <row r="1819" spans="1:3" ht="15">
      <c r="A1819" s="222">
        <v>18911</v>
      </c>
      <c r="B1819" s="223" t="s">
        <v>47</v>
      </c>
      <c r="C1819" s="222" t="s">
        <v>48</v>
      </c>
    </row>
    <row r="1820" spans="1:3" ht="15">
      <c r="A1820" s="222">
        <v>18912</v>
      </c>
      <c r="B1820" s="223" t="s">
        <v>47</v>
      </c>
      <c r="C1820" s="222" t="s">
        <v>48</v>
      </c>
    </row>
    <row r="1821" spans="1:3" ht="15">
      <c r="A1821" s="222">
        <v>18913</v>
      </c>
      <c r="B1821" s="223" t="s">
        <v>47</v>
      </c>
      <c r="C1821" s="222" t="s">
        <v>48</v>
      </c>
    </row>
    <row r="1822" spans="1:3" ht="15">
      <c r="A1822" s="222">
        <v>18914</v>
      </c>
      <c r="B1822" s="223" t="s">
        <v>47</v>
      </c>
      <c r="C1822" s="222" t="s">
        <v>48</v>
      </c>
    </row>
    <row r="1823" spans="1:3" ht="15">
      <c r="A1823" s="222">
        <v>18915</v>
      </c>
      <c r="B1823" s="223" t="s">
        <v>47</v>
      </c>
      <c r="C1823" s="222" t="s">
        <v>48</v>
      </c>
    </row>
    <row r="1824" spans="1:3" ht="15">
      <c r="A1824" s="222">
        <v>18916</v>
      </c>
      <c r="B1824" s="223" t="s">
        <v>47</v>
      </c>
      <c r="C1824" s="222" t="s">
        <v>48</v>
      </c>
    </row>
    <row r="1825" spans="1:3" ht="15">
      <c r="A1825" s="222">
        <v>18917</v>
      </c>
      <c r="B1825" s="223" t="s">
        <v>47</v>
      </c>
      <c r="C1825" s="222" t="s">
        <v>48</v>
      </c>
    </row>
    <row r="1826" spans="1:3" ht="15">
      <c r="A1826" s="222">
        <v>18918</v>
      </c>
      <c r="B1826" s="223" t="s">
        <v>47</v>
      </c>
      <c r="C1826" s="222" t="s">
        <v>48</v>
      </c>
    </row>
    <row r="1827" spans="1:3" ht="15">
      <c r="A1827" s="222">
        <v>18920</v>
      </c>
      <c r="B1827" s="223" t="s">
        <v>47</v>
      </c>
      <c r="C1827" s="222" t="s">
        <v>48</v>
      </c>
    </row>
    <row r="1828" spans="1:3" ht="15">
      <c r="A1828" s="222">
        <v>18921</v>
      </c>
      <c r="B1828" s="223" t="s">
        <v>47</v>
      </c>
      <c r="C1828" s="222" t="s">
        <v>48</v>
      </c>
    </row>
    <row r="1829" spans="1:3" ht="15">
      <c r="A1829" s="222">
        <v>18922</v>
      </c>
      <c r="B1829" s="223" t="s">
        <v>47</v>
      </c>
      <c r="C1829" s="222" t="s">
        <v>48</v>
      </c>
    </row>
    <row r="1830" spans="1:3" ht="15">
      <c r="A1830" s="222">
        <v>18923</v>
      </c>
      <c r="B1830" s="223" t="s">
        <v>47</v>
      </c>
      <c r="C1830" s="222" t="s">
        <v>48</v>
      </c>
    </row>
    <row r="1831" spans="1:3" ht="15">
      <c r="A1831" s="222">
        <v>18924</v>
      </c>
      <c r="B1831" s="223" t="s">
        <v>47</v>
      </c>
      <c r="C1831" s="222" t="s">
        <v>48</v>
      </c>
    </row>
    <row r="1832" spans="1:3" ht="15">
      <c r="A1832" s="222">
        <v>18925</v>
      </c>
      <c r="B1832" s="223" t="s">
        <v>47</v>
      </c>
      <c r="C1832" s="222" t="s">
        <v>48</v>
      </c>
    </row>
    <row r="1833" spans="1:3" ht="15">
      <c r="A1833" s="222">
        <v>18926</v>
      </c>
      <c r="B1833" s="223" t="s">
        <v>47</v>
      </c>
      <c r="C1833" s="222" t="s">
        <v>48</v>
      </c>
    </row>
    <row r="1834" spans="1:3" ht="15">
      <c r="A1834" s="222">
        <v>18927</v>
      </c>
      <c r="B1834" s="223" t="s">
        <v>47</v>
      </c>
      <c r="C1834" s="222" t="s">
        <v>48</v>
      </c>
    </row>
    <row r="1835" spans="1:3" ht="15">
      <c r="A1835" s="222">
        <v>18928</v>
      </c>
      <c r="B1835" s="223" t="s">
        <v>47</v>
      </c>
      <c r="C1835" s="222" t="s">
        <v>48</v>
      </c>
    </row>
    <row r="1836" spans="1:3" ht="15">
      <c r="A1836" s="222">
        <v>18929</v>
      </c>
      <c r="B1836" s="223" t="s">
        <v>47</v>
      </c>
      <c r="C1836" s="222" t="s">
        <v>48</v>
      </c>
    </row>
    <row r="1837" spans="1:3" ht="15">
      <c r="A1837" s="222">
        <v>18930</v>
      </c>
      <c r="B1837" s="223" t="s">
        <v>47</v>
      </c>
      <c r="C1837" s="222" t="s">
        <v>48</v>
      </c>
    </row>
    <row r="1838" spans="1:3" ht="15">
      <c r="A1838" s="222">
        <v>18931</v>
      </c>
      <c r="B1838" s="223" t="s">
        <v>47</v>
      </c>
      <c r="C1838" s="222" t="s">
        <v>48</v>
      </c>
    </row>
    <row r="1839" spans="1:3" ht="15">
      <c r="A1839" s="222">
        <v>18932</v>
      </c>
      <c r="B1839" s="223" t="s">
        <v>47</v>
      </c>
      <c r="C1839" s="222" t="s">
        <v>48</v>
      </c>
    </row>
    <row r="1840" spans="1:3" ht="15">
      <c r="A1840" s="222">
        <v>18933</v>
      </c>
      <c r="B1840" s="223" t="s">
        <v>47</v>
      </c>
      <c r="C1840" s="222" t="s">
        <v>48</v>
      </c>
    </row>
    <row r="1841" spans="1:3" ht="15">
      <c r="A1841" s="222">
        <v>18934</v>
      </c>
      <c r="B1841" s="223" t="s">
        <v>47</v>
      </c>
      <c r="C1841" s="222" t="s">
        <v>48</v>
      </c>
    </row>
    <row r="1842" spans="1:3" ht="15">
      <c r="A1842" s="222">
        <v>18935</v>
      </c>
      <c r="B1842" s="223" t="s">
        <v>47</v>
      </c>
      <c r="C1842" s="222" t="s">
        <v>48</v>
      </c>
    </row>
    <row r="1843" spans="1:3" ht="15">
      <c r="A1843" s="222">
        <v>18936</v>
      </c>
      <c r="B1843" s="223" t="s">
        <v>47</v>
      </c>
      <c r="C1843" s="222" t="s">
        <v>48</v>
      </c>
    </row>
    <row r="1844" spans="1:3" ht="15">
      <c r="A1844" s="222">
        <v>18938</v>
      </c>
      <c r="B1844" s="223" t="s">
        <v>47</v>
      </c>
      <c r="C1844" s="222" t="s">
        <v>48</v>
      </c>
    </row>
    <row r="1845" spans="1:3" ht="15">
      <c r="A1845" s="222">
        <v>18940</v>
      </c>
      <c r="B1845" s="223" t="s">
        <v>47</v>
      </c>
      <c r="C1845" s="222" t="s">
        <v>48</v>
      </c>
    </row>
    <row r="1846" spans="1:3" ht="15">
      <c r="A1846" s="222">
        <v>18942</v>
      </c>
      <c r="B1846" s="223" t="s">
        <v>47</v>
      </c>
      <c r="C1846" s="222" t="s">
        <v>48</v>
      </c>
    </row>
    <row r="1847" spans="1:3" ht="15">
      <c r="A1847" s="222">
        <v>18943</v>
      </c>
      <c r="B1847" s="223" t="s">
        <v>47</v>
      </c>
      <c r="C1847" s="222" t="s">
        <v>48</v>
      </c>
    </row>
    <row r="1848" spans="1:3" ht="15">
      <c r="A1848" s="222">
        <v>18944</v>
      </c>
      <c r="B1848" s="223" t="s">
        <v>47</v>
      </c>
      <c r="C1848" s="222" t="s">
        <v>48</v>
      </c>
    </row>
    <row r="1849" spans="1:3" ht="15">
      <c r="A1849" s="222">
        <v>18946</v>
      </c>
      <c r="B1849" s="223" t="s">
        <v>47</v>
      </c>
      <c r="C1849" s="222" t="s">
        <v>48</v>
      </c>
    </row>
    <row r="1850" spans="1:3" ht="15">
      <c r="A1850" s="222">
        <v>18947</v>
      </c>
      <c r="B1850" s="223" t="s">
        <v>47</v>
      </c>
      <c r="C1850" s="222" t="s">
        <v>48</v>
      </c>
    </row>
    <row r="1851" spans="1:3" ht="15">
      <c r="A1851" s="222">
        <v>18949</v>
      </c>
      <c r="B1851" s="223" t="s">
        <v>47</v>
      </c>
      <c r="C1851" s="222" t="s">
        <v>48</v>
      </c>
    </row>
    <row r="1852" spans="1:3" ht="15">
      <c r="A1852" s="222">
        <v>18950</v>
      </c>
      <c r="B1852" s="223" t="s">
        <v>47</v>
      </c>
      <c r="C1852" s="222" t="s">
        <v>48</v>
      </c>
    </row>
    <row r="1853" spans="1:3" ht="15">
      <c r="A1853" s="222">
        <v>18951</v>
      </c>
      <c r="B1853" s="223" t="s">
        <v>47</v>
      </c>
      <c r="C1853" s="222" t="s">
        <v>48</v>
      </c>
    </row>
    <row r="1854" spans="1:3" ht="15">
      <c r="A1854" s="222">
        <v>18953</v>
      </c>
      <c r="B1854" s="223" t="s">
        <v>47</v>
      </c>
      <c r="C1854" s="222" t="s">
        <v>48</v>
      </c>
    </row>
    <row r="1855" spans="1:3" ht="15">
      <c r="A1855" s="222">
        <v>18954</v>
      </c>
      <c r="B1855" s="223" t="s">
        <v>47</v>
      </c>
      <c r="C1855" s="222" t="s">
        <v>48</v>
      </c>
    </row>
    <row r="1856" spans="1:3" ht="15">
      <c r="A1856" s="222">
        <v>18955</v>
      </c>
      <c r="B1856" s="223" t="s">
        <v>47</v>
      </c>
      <c r="C1856" s="222" t="s">
        <v>48</v>
      </c>
    </row>
    <row r="1857" spans="1:3" ht="15">
      <c r="A1857" s="222">
        <v>18956</v>
      </c>
      <c r="B1857" s="223" t="s">
        <v>47</v>
      </c>
      <c r="C1857" s="222" t="s">
        <v>48</v>
      </c>
    </row>
    <row r="1858" spans="1:3" ht="15">
      <c r="A1858" s="222">
        <v>18957</v>
      </c>
      <c r="B1858" s="223" t="s">
        <v>47</v>
      </c>
      <c r="C1858" s="222" t="s">
        <v>48</v>
      </c>
    </row>
    <row r="1859" spans="1:3" ht="15">
      <c r="A1859" s="222">
        <v>18958</v>
      </c>
      <c r="B1859" s="223" t="s">
        <v>47</v>
      </c>
      <c r="C1859" s="222" t="s">
        <v>48</v>
      </c>
    </row>
    <row r="1860" spans="1:3" ht="15">
      <c r="A1860" s="222">
        <v>18960</v>
      </c>
      <c r="B1860" s="223" t="s">
        <v>47</v>
      </c>
      <c r="C1860" s="222" t="s">
        <v>48</v>
      </c>
    </row>
    <row r="1861" spans="1:3" ht="15">
      <c r="A1861" s="222">
        <v>18962</v>
      </c>
      <c r="B1861" s="223" t="s">
        <v>47</v>
      </c>
      <c r="C1861" s="222" t="s">
        <v>48</v>
      </c>
    </row>
    <row r="1862" spans="1:3" ht="15">
      <c r="A1862" s="222">
        <v>18963</v>
      </c>
      <c r="B1862" s="223" t="s">
        <v>47</v>
      </c>
      <c r="C1862" s="222" t="s">
        <v>48</v>
      </c>
    </row>
    <row r="1863" spans="1:3" ht="15">
      <c r="A1863" s="222">
        <v>18964</v>
      </c>
      <c r="B1863" s="223" t="s">
        <v>47</v>
      </c>
      <c r="C1863" s="222" t="s">
        <v>48</v>
      </c>
    </row>
    <row r="1864" spans="1:3" ht="15">
      <c r="A1864" s="222">
        <v>18966</v>
      </c>
      <c r="B1864" s="223" t="s">
        <v>47</v>
      </c>
      <c r="C1864" s="222" t="s">
        <v>48</v>
      </c>
    </row>
    <row r="1865" spans="1:3" ht="15">
      <c r="A1865" s="222">
        <v>18968</v>
      </c>
      <c r="B1865" s="223" t="s">
        <v>47</v>
      </c>
      <c r="C1865" s="222" t="s">
        <v>48</v>
      </c>
    </row>
    <row r="1866" spans="1:3" ht="15">
      <c r="A1866" s="222">
        <v>18969</v>
      </c>
      <c r="B1866" s="223" t="s">
        <v>47</v>
      </c>
      <c r="C1866" s="222" t="s">
        <v>48</v>
      </c>
    </row>
    <row r="1867" spans="1:3" ht="15">
      <c r="A1867" s="222">
        <v>18970</v>
      </c>
      <c r="B1867" s="223" t="s">
        <v>47</v>
      </c>
      <c r="C1867" s="222" t="s">
        <v>48</v>
      </c>
    </row>
    <row r="1868" spans="1:3" ht="15">
      <c r="A1868" s="222">
        <v>18971</v>
      </c>
      <c r="B1868" s="223" t="s">
        <v>47</v>
      </c>
      <c r="C1868" s="222" t="s">
        <v>48</v>
      </c>
    </row>
    <row r="1869" spans="1:3" ht="15">
      <c r="A1869" s="222">
        <v>18972</v>
      </c>
      <c r="B1869" s="223" t="s">
        <v>47</v>
      </c>
      <c r="C1869" s="222" t="s">
        <v>48</v>
      </c>
    </row>
    <row r="1870" spans="1:3" ht="15">
      <c r="A1870" s="222">
        <v>18974</v>
      </c>
      <c r="B1870" s="223" t="s">
        <v>47</v>
      </c>
      <c r="C1870" s="222" t="s">
        <v>48</v>
      </c>
    </row>
    <row r="1871" spans="1:3" ht="15">
      <c r="A1871" s="222">
        <v>18976</v>
      </c>
      <c r="B1871" s="223" t="s">
        <v>47</v>
      </c>
      <c r="C1871" s="222" t="s">
        <v>48</v>
      </c>
    </row>
    <row r="1872" spans="1:3" ht="15">
      <c r="A1872" s="222">
        <v>18977</v>
      </c>
      <c r="B1872" s="223" t="s">
        <v>47</v>
      </c>
      <c r="C1872" s="222" t="s">
        <v>48</v>
      </c>
    </row>
    <row r="1873" spans="1:3" ht="15">
      <c r="A1873" s="222">
        <v>18979</v>
      </c>
      <c r="B1873" s="223" t="s">
        <v>47</v>
      </c>
      <c r="C1873" s="222" t="s">
        <v>48</v>
      </c>
    </row>
    <row r="1874" spans="1:3" ht="15">
      <c r="A1874" s="222">
        <v>18980</v>
      </c>
      <c r="B1874" s="223" t="s">
        <v>47</v>
      </c>
      <c r="C1874" s="222" t="s">
        <v>48</v>
      </c>
    </row>
    <row r="1875" spans="1:3" ht="15">
      <c r="A1875" s="222">
        <v>18981</v>
      </c>
      <c r="B1875" s="223" t="s">
        <v>47</v>
      </c>
      <c r="C1875" s="222" t="s">
        <v>48</v>
      </c>
    </row>
    <row r="1876" spans="1:3" ht="15">
      <c r="A1876" s="222">
        <v>18991</v>
      </c>
      <c r="B1876" s="223" t="s">
        <v>47</v>
      </c>
      <c r="C1876" s="222" t="s">
        <v>48</v>
      </c>
    </row>
    <row r="1877" spans="1:3" ht="15">
      <c r="A1877" s="222">
        <v>19001</v>
      </c>
      <c r="B1877" s="223" t="s">
        <v>47</v>
      </c>
      <c r="C1877" s="222" t="s">
        <v>48</v>
      </c>
    </row>
    <row r="1878" spans="1:3" ht="15">
      <c r="A1878" s="222">
        <v>19002</v>
      </c>
      <c r="B1878" s="223" t="s">
        <v>47</v>
      </c>
      <c r="C1878" s="222" t="s">
        <v>48</v>
      </c>
    </row>
    <row r="1879" spans="1:3" ht="15">
      <c r="A1879" s="222">
        <v>19003</v>
      </c>
      <c r="B1879" s="223" t="s">
        <v>47</v>
      </c>
      <c r="C1879" s="222" t="s">
        <v>48</v>
      </c>
    </row>
    <row r="1880" spans="1:3" ht="15">
      <c r="A1880" s="222">
        <v>19004</v>
      </c>
      <c r="B1880" s="223" t="s">
        <v>47</v>
      </c>
      <c r="C1880" s="222" t="s">
        <v>48</v>
      </c>
    </row>
    <row r="1881" spans="1:3" ht="15">
      <c r="A1881" s="222">
        <v>19006</v>
      </c>
      <c r="B1881" s="223" t="s">
        <v>47</v>
      </c>
      <c r="C1881" s="222" t="s">
        <v>48</v>
      </c>
    </row>
    <row r="1882" spans="1:3" ht="15">
      <c r="A1882" s="222">
        <v>19007</v>
      </c>
      <c r="B1882" s="223" t="s">
        <v>47</v>
      </c>
      <c r="C1882" s="222" t="s">
        <v>48</v>
      </c>
    </row>
    <row r="1883" spans="1:3" ht="15">
      <c r="A1883" s="222">
        <v>19008</v>
      </c>
      <c r="B1883" s="223" t="s">
        <v>47</v>
      </c>
      <c r="C1883" s="222" t="s">
        <v>48</v>
      </c>
    </row>
    <row r="1884" spans="1:3" ht="15">
      <c r="A1884" s="222">
        <v>19009</v>
      </c>
      <c r="B1884" s="223" t="s">
        <v>47</v>
      </c>
      <c r="C1884" s="222" t="s">
        <v>48</v>
      </c>
    </row>
    <row r="1885" spans="1:3" ht="15">
      <c r="A1885" s="222">
        <v>19010</v>
      </c>
      <c r="B1885" s="223" t="s">
        <v>47</v>
      </c>
      <c r="C1885" s="222" t="s">
        <v>48</v>
      </c>
    </row>
    <row r="1886" spans="1:3" ht="15">
      <c r="A1886" s="222">
        <v>19012</v>
      </c>
      <c r="B1886" s="223" t="s">
        <v>47</v>
      </c>
      <c r="C1886" s="222" t="s">
        <v>48</v>
      </c>
    </row>
    <row r="1887" spans="1:3" ht="15">
      <c r="A1887" s="222">
        <v>19013</v>
      </c>
      <c r="B1887" s="223" t="s">
        <v>47</v>
      </c>
      <c r="C1887" s="222" t="s">
        <v>48</v>
      </c>
    </row>
    <row r="1888" spans="1:3" ht="15">
      <c r="A1888" s="222">
        <v>19014</v>
      </c>
      <c r="B1888" s="223" t="s">
        <v>47</v>
      </c>
      <c r="C1888" s="222" t="s">
        <v>48</v>
      </c>
    </row>
    <row r="1889" spans="1:3" ht="15">
      <c r="A1889" s="222">
        <v>19015</v>
      </c>
      <c r="B1889" s="223" t="s">
        <v>47</v>
      </c>
      <c r="C1889" s="222" t="s">
        <v>48</v>
      </c>
    </row>
    <row r="1890" spans="1:3" ht="15">
      <c r="A1890" s="222">
        <v>19016</v>
      </c>
      <c r="B1890" s="223" t="s">
        <v>47</v>
      </c>
      <c r="C1890" s="222" t="s">
        <v>48</v>
      </c>
    </row>
    <row r="1891" spans="1:3" ht="15">
      <c r="A1891" s="222">
        <v>19017</v>
      </c>
      <c r="B1891" s="223" t="s">
        <v>47</v>
      </c>
      <c r="C1891" s="222" t="s">
        <v>48</v>
      </c>
    </row>
    <row r="1892" spans="1:3" ht="15">
      <c r="A1892" s="222">
        <v>19018</v>
      </c>
      <c r="B1892" s="223" t="s">
        <v>47</v>
      </c>
      <c r="C1892" s="222" t="s">
        <v>48</v>
      </c>
    </row>
    <row r="1893" spans="1:3" ht="15">
      <c r="A1893" s="222">
        <v>19019</v>
      </c>
      <c r="B1893" s="223" t="s">
        <v>47</v>
      </c>
      <c r="C1893" s="222" t="s">
        <v>48</v>
      </c>
    </row>
    <row r="1894" spans="1:3" ht="15">
      <c r="A1894" s="222">
        <v>19020</v>
      </c>
      <c r="B1894" s="223" t="s">
        <v>47</v>
      </c>
      <c r="C1894" s="222" t="s">
        <v>48</v>
      </c>
    </row>
    <row r="1895" spans="1:3" ht="15">
      <c r="A1895" s="222">
        <v>19021</v>
      </c>
      <c r="B1895" s="223" t="s">
        <v>47</v>
      </c>
      <c r="C1895" s="222" t="s">
        <v>48</v>
      </c>
    </row>
    <row r="1896" spans="1:3" ht="15">
      <c r="A1896" s="222">
        <v>19022</v>
      </c>
      <c r="B1896" s="223" t="s">
        <v>47</v>
      </c>
      <c r="C1896" s="222" t="s">
        <v>48</v>
      </c>
    </row>
    <row r="1897" spans="1:3" ht="15">
      <c r="A1897" s="222">
        <v>19023</v>
      </c>
      <c r="B1897" s="223" t="s">
        <v>47</v>
      </c>
      <c r="C1897" s="222" t="s">
        <v>48</v>
      </c>
    </row>
    <row r="1898" spans="1:3" ht="15">
      <c r="A1898" s="222">
        <v>19025</v>
      </c>
      <c r="B1898" s="223" t="s">
        <v>47</v>
      </c>
      <c r="C1898" s="222" t="s">
        <v>48</v>
      </c>
    </row>
    <row r="1899" spans="1:3" ht="15">
      <c r="A1899" s="222">
        <v>19026</v>
      </c>
      <c r="B1899" s="223" t="s">
        <v>47</v>
      </c>
      <c r="C1899" s="222" t="s">
        <v>48</v>
      </c>
    </row>
    <row r="1900" spans="1:3" ht="15">
      <c r="A1900" s="222">
        <v>19027</v>
      </c>
      <c r="B1900" s="223" t="s">
        <v>47</v>
      </c>
      <c r="C1900" s="222" t="s">
        <v>48</v>
      </c>
    </row>
    <row r="1901" spans="1:3" ht="15">
      <c r="A1901" s="222">
        <v>19028</v>
      </c>
      <c r="B1901" s="223" t="s">
        <v>47</v>
      </c>
      <c r="C1901" s="222" t="s">
        <v>48</v>
      </c>
    </row>
    <row r="1902" spans="1:3" ht="15">
      <c r="A1902" s="222">
        <v>19029</v>
      </c>
      <c r="B1902" s="223" t="s">
        <v>47</v>
      </c>
      <c r="C1902" s="222" t="s">
        <v>48</v>
      </c>
    </row>
    <row r="1903" spans="1:3" ht="15">
      <c r="A1903" s="222">
        <v>19030</v>
      </c>
      <c r="B1903" s="223" t="s">
        <v>47</v>
      </c>
      <c r="C1903" s="222" t="s">
        <v>48</v>
      </c>
    </row>
    <row r="1904" spans="1:3" ht="15">
      <c r="A1904" s="222">
        <v>19031</v>
      </c>
      <c r="B1904" s="223" t="s">
        <v>47</v>
      </c>
      <c r="C1904" s="222" t="s">
        <v>48</v>
      </c>
    </row>
    <row r="1905" spans="1:3" ht="15">
      <c r="A1905" s="222">
        <v>19032</v>
      </c>
      <c r="B1905" s="223" t="s">
        <v>47</v>
      </c>
      <c r="C1905" s="222" t="s">
        <v>48</v>
      </c>
    </row>
    <row r="1906" spans="1:3" ht="15">
      <c r="A1906" s="222">
        <v>19033</v>
      </c>
      <c r="B1906" s="223" t="s">
        <v>47</v>
      </c>
      <c r="C1906" s="222" t="s">
        <v>48</v>
      </c>
    </row>
    <row r="1907" spans="1:3" ht="15">
      <c r="A1907" s="222">
        <v>19034</v>
      </c>
      <c r="B1907" s="223" t="s">
        <v>47</v>
      </c>
      <c r="C1907" s="222" t="s">
        <v>48</v>
      </c>
    </row>
    <row r="1908" spans="1:3" ht="15">
      <c r="A1908" s="222">
        <v>19035</v>
      </c>
      <c r="B1908" s="223" t="s">
        <v>47</v>
      </c>
      <c r="C1908" s="222" t="s">
        <v>48</v>
      </c>
    </row>
    <row r="1909" spans="1:3" ht="15">
      <c r="A1909" s="222">
        <v>19036</v>
      </c>
      <c r="B1909" s="223" t="s">
        <v>47</v>
      </c>
      <c r="C1909" s="222" t="s">
        <v>48</v>
      </c>
    </row>
    <row r="1910" spans="1:3" ht="15">
      <c r="A1910" s="222">
        <v>19037</v>
      </c>
      <c r="B1910" s="223" t="s">
        <v>47</v>
      </c>
      <c r="C1910" s="222" t="s">
        <v>48</v>
      </c>
    </row>
    <row r="1911" spans="1:3" ht="15">
      <c r="A1911" s="222">
        <v>19038</v>
      </c>
      <c r="B1911" s="223" t="s">
        <v>47</v>
      </c>
      <c r="C1911" s="222" t="s">
        <v>48</v>
      </c>
    </row>
    <row r="1912" spans="1:3" ht="15">
      <c r="A1912" s="222">
        <v>19039</v>
      </c>
      <c r="B1912" s="223" t="s">
        <v>47</v>
      </c>
      <c r="C1912" s="222" t="s">
        <v>48</v>
      </c>
    </row>
    <row r="1913" spans="1:3" ht="15">
      <c r="A1913" s="222">
        <v>19040</v>
      </c>
      <c r="B1913" s="223" t="s">
        <v>47</v>
      </c>
      <c r="C1913" s="222" t="s">
        <v>48</v>
      </c>
    </row>
    <row r="1914" spans="1:3" ht="15">
      <c r="A1914" s="222">
        <v>19041</v>
      </c>
      <c r="B1914" s="223" t="s">
        <v>47</v>
      </c>
      <c r="C1914" s="222" t="s">
        <v>48</v>
      </c>
    </row>
    <row r="1915" spans="1:3" ht="15">
      <c r="A1915" s="222">
        <v>19043</v>
      </c>
      <c r="B1915" s="223" t="s">
        <v>47</v>
      </c>
      <c r="C1915" s="222" t="s">
        <v>48</v>
      </c>
    </row>
    <row r="1916" spans="1:3" ht="15">
      <c r="A1916" s="222">
        <v>19044</v>
      </c>
      <c r="B1916" s="223" t="s">
        <v>47</v>
      </c>
      <c r="C1916" s="222" t="s">
        <v>48</v>
      </c>
    </row>
    <row r="1917" spans="1:3" ht="15">
      <c r="A1917" s="222">
        <v>19046</v>
      </c>
      <c r="B1917" s="223" t="s">
        <v>47</v>
      </c>
      <c r="C1917" s="222" t="s">
        <v>48</v>
      </c>
    </row>
    <row r="1918" spans="1:3" ht="15">
      <c r="A1918" s="222">
        <v>19047</v>
      </c>
      <c r="B1918" s="223" t="s">
        <v>47</v>
      </c>
      <c r="C1918" s="222" t="s">
        <v>48</v>
      </c>
    </row>
    <row r="1919" spans="1:3" ht="15">
      <c r="A1919" s="222">
        <v>19048</v>
      </c>
      <c r="B1919" s="223" t="s">
        <v>47</v>
      </c>
      <c r="C1919" s="222" t="s">
        <v>48</v>
      </c>
    </row>
    <row r="1920" spans="1:3" ht="15">
      <c r="A1920" s="222">
        <v>19049</v>
      </c>
      <c r="B1920" s="223" t="s">
        <v>47</v>
      </c>
      <c r="C1920" s="222" t="s">
        <v>48</v>
      </c>
    </row>
    <row r="1921" spans="1:3" ht="15">
      <c r="A1921" s="222">
        <v>19050</v>
      </c>
      <c r="B1921" s="223" t="s">
        <v>47</v>
      </c>
      <c r="C1921" s="222" t="s">
        <v>48</v>
      </c>
    </row>
    <row r="1922" spans="1:3" ht="15">
      <c r="A1922" s="222">
        <v>19052</v>
      </c>
      <c r="B1922" s="223" t="s">
        <v>47</v>
      </c>
      <c r="C1922" s="222" t="s">
        <v>48</v>
      </c>
    </row>
    <row r="1923" spans="1:3" ht="15">
      <c r="A1923" s="222">
        <v>19053</v>
      </c>
      <c r="B1923" s="223" t="s">
        <v>47</v>
      </c>
      <c r="C1923" s="222" t="s">
        <v>48</v>
      </c>
    </row>
    <row r="1924" spans="1:3" ht="15">
      <c r="A1924" s="222">
        <v>19054</v>
      </c>
      <c r="B1924" s="223" t="s">
        <v>47</v>
      </c>
      <c r="C1924" s="222" t="s">
        <v>48</v>
      </c>
    </row>
    <row r="1925" spans="1:3" ht="15">
      <c r="A1925" s="222">
        <v>19055</v>
      </c>
      <c r="B1925" s="223" t="s">
        <v>47</v>
      </c>
      <c r="C1925" s="222" t="s">
        <v>48</v>
      </c>
    </row>
    <row r="1926" spans="1:3" ht="15">
      <c r="A1926" s="222">
        <v>19056</v>
      </c>
      <c r="B1926" s="223" t="s">
        <v>47</v>
      </c>
      <c r="C1926" s="222" t="s">
        <v>48</v>
      </c>
    </row>
    <row r="1927" spans="1:3" ht="15">
      <c r="A1927" s="222">
        <v>19057</v>
      </c>
      <c r="B1927" s="223" t="s">
        <v>47</v>
      </c>
      <c r="C1927" s="222" t="s">
        <v>48</v>
      </c>
    </row>
    <row r="1928" spans="1:3" ht="15">
      <c r="A1928" s="222">
        <v>19058</v>
      </c>
      <c r="B1928" s="223" t="s">
        <v>47</v>
      </c>
      <c r="C1928" s="222" t="s">
        <v>48</v>
      </c>
    </row>
    <row r="1929" spans="1:3" ht="15">
      <c r="A1929" s="222">
        <v>19059</v>
      </c>
      <c r="B1929" s="223" t="s">
        <v>47</v>
      </c>
      <c r="C1929" s="222" t="s">
        <v>48</v>
      </c>
    </row>
    <row r="1930" spans="1:3" ht="15">
      <c r="A1930" s="222">
        <v>19060</v>
      </c>
      <c r="B1930" s="223" t="s">
        <v>47</v>
      </c>
      <c r="C1930" s="222" t="s">
        <v>48</v>
      </c>
    </row>
    <row r="1931" spans="1:3" ht="15">
      <c r="A1931" s="222">
        <v>19061</v>
      </c>
      <c r="B1931" s="223" t="s">
        <v>47</v>
      </c>
      <c r="C1931" s="222" t="s">
        <v>48</v>
      </c>
    </row>
    <row r="1932" spans="1:3" ht="15">
      <c r="A1932" s="222">
        <v>19063</v>
      </c>
      <c r="B1932" s="223" t="s">
        <v>47</v>
      </c>
      <c r="C1932" s="222" t="s">
        <v>48</v>
      </c>
    </row>
    <row r="1933" spans="1:3" ht="15">
      <c r="A1933" s="222">
        <v>19064</v>
      </c>
      <c r="B1933" s="223" t="s">
        <v>47</v>
      </c>
      <c r="C1933" s="222" t="s">
        <v>48</v>
      </c>
    </row>
    <row r="1934" spans="1:3" ht="15">
      <c r="A1934" s="222">
        <v>19065</v>
      </c>
      <c r="B1934" s="223" t="s">
        <v>47</v>
      </c>
      <c r="C1934" s="222" t="s">
        <v>48</v>
      </c>
    </row>
    <row r="1935" spans="1:3" ht="15">
      <c r="A1935" s="222">
        <v>19066</v>
      </c>
      <c r="B1935" s="223" t="s">
        <v>47</v>
      </c>
      <c r="C1935" s="222" t="s">
        <v>48</v>
      </c>
    </row>
    <row r="1936" spans="1:3" ht="15">
      <c r="A1936" s="222">
        <v>19067</v>
      </c>
      <c r="B1936" s="223" t="s">
        <v>47</v>
      </c>
      <c r="C1936" s="222" t="s">
        <v>48</v>
      </c>
    </row>
    <row r="1937" spans="1:3" ht="15">
      <c r="A1937" s="222">
        <v>19070</v>
      </c>
      <c r="B1937" s="223" t="s">
        <v>47</v>
      </c>
      <c r="C1937" s="222" t="s">
        <v>48</v>
      </c>
    </row>
    <row r="1938" spans="1:3" ht="15">
      <c r="A1938" s="222">
        <v>19072</v>
      </c>
      <c r="B1938" s="223" t="s">
        <v>47</v>
      </c>
      <c r="C1938" s="222" t="s">
        <v>48</v>
      </c>
    </row>
    <row r="1939" spans="1:3" ht="15">
      <c r="A1939" s="222">
        <v>19073</v>
      </c>
      <c r="B1939" s="223" t="s">
        <v>47</v>
      </c>
      <c r="C1939" s="222" t="s">
        <v>48</v>
      </c>
    </row>
    <row r="1940" spans="1:3" ht="15">
      <c r="A1940" s="222">
        <v>19074</v>
      </c>
      <c r="B1940" s="223" t="s">
        <v>47</v>
      </c>
      <c r="C1940" s="222" t="s">
        <v>48</v>
      </c>
    </row>
    <row r="1941" spans="1:3" ht="15">
      <c r="A1941" s="222">
        <v>19075</v>
      </c>
      <c r="B1941" s="223" t="s">
        <v>47</v>
      </c>
      <c r="C1941" s="222" t="s">
        <v>48</v>
      </c>
    </row>
    <row r="1942" spans="1:3" ht="15">
      <c r="A1942" s="222">
        <v>19076</v>
      </c>
      <c r="B1942" s="223" t="s">
        <v>47</v>
      </c>
      <c r="C1942" s="222" t="s">
        <v>48</v>
      </c>
    </row>
    <row r="1943" spans="1:3" ht="15">
      <c r="A1943" s="222">
        <v>19078</v>
      </c>
      <c r="B1943" s="223" t="s">
        <v>47</v>
      </c>
      <c r="C1943" s="222" t="s">
        <v>48</v>
      </c>
    </row>
    <row r="1944" spans="1:3" ht="15">
      <c r="A1944" s="222">
        <v>19079</v>
      </c>
      <c r="B1944" s="223" t="s">
        <v>47</v>
      </c>
      <c r="C1944" s="222" t="s">
        <v>48</v>
      </c>
    </row>
    <row r="1945" spans="1:3" ht="15">
      <c r="A1945" s="222">
        <v>19080</v>
      </c>
      <c r="B1945" s="223" t="s">
        <v>47</v>
      </c>
      <c r="C1945" s="222" t="s">
        <v>48</v>
      </c>
    </row>
    <row r="1946" spans="1:3" ht="15">
      <c r="A1946" s="222">
        <v>19081</v>
      </c>
      <c r="B1946" s="223" t="s">
        <v>47</v>
      </c>
      <c r="C1946" s="222" t="s">
        <v>48</v>
      </c>
    </row>
    <row r="1947" spans="1:3" ht="15">
      <c r="A1947" s="222">
        <v>19082</v>
      </c>
      <c r="B1947" s="223" t="s">
        <v>47</v>
      </c>
      <c r="C1947" s="222" t="s">
        <v>48</v>
      </c>
    </row>
    <row r="1948" spans="1:3" ht="15">
      <c r="A1948" s="222">
        <v>19083</v>
      </c>
      <c r="B1948" s="223" t="s">
        <v>47</v>
      </c>
      <c r="C1948" s="222" t="s">
        <v>48</v>
      </c>
    </row>
    <row r="1949" spans="1:3" ht="15">
      <c r="A1949" s="222">
        <v>19085</v>
      </c>
      <c r="B1949" s="223" t="s">
        <v>47</v>
      </c>
      <c r="C1949" s="222" t="s">
        <v>48</v>
      </c>
    </row>
    <row r="1950" spans="1:3" ht="15">
      <c r="A1950" s="222">
        <v>19086</v>
      </c>
      <c r="B1950" s="223" t="s">
        <v>47</v>
      </c>
      <c r="C1950" s="222" t="s">
        <v>48</v>
      </c>
    </row>
    <row r="1951" spans="1:3" ht="15">
      <c r="A1951" s="222">
        <v>19087</v>
      </c>
      <c r="B1951" s="223" t="s">
        <v>47</v>
      </c>
      <c r="C1951" s="222" t="s">
        <v>48</v>
      </c>
    </row>
    <row r="1952" spans="1:3" ht="15">
      <c r="A1952" s="222">
        <v>19088</v>
      </c>
      <c r="B1952" s="223" t="s">
        <v>47</v>
      </c>
      <c r="C1952" s="222" t="s">
        <v>48</v>
      </c>
    </row>
    <row r="1953" spans="1:3" ht="15">
      <c r="A1953" s="222">
        <v>19089</v>
      </c>
      <c r="B1953" s="223" t="s">
        <v>47</v>
      </c>
      <c r="C1953" s="222" t="s">
        <v>48</v>
      </c>
    </row>
    <row r="1954" spans="1:3" ht="15">
      <c r="A1954" s="222">
        <v>19090</v>
      </c>
      <c r="B1954" s="223" t="s">
        <v>47</v>
      </c>
      <c r="C1954" s="222" t="s">
        <v>48</v>
      </c>
    </row>
    <row r="1955" spans="1:3" ht="15">
      <c r="A1955" s="222">
        <v>19091</v>
      </c>
      <c r="B1955" s="223" t="s">
        <v>47</v>
      </c>
      <c r="C1955" s="222" t="s">
        <v>48</v>
      </c>
    </row>
    <row r="1956" spans="1:3" ht="15">
      <c r="A1956" s="222">
        <v>19092</v>
      </c>
      <c r="B1956" s="223" t="s">
        <v>47</v>
      </c>
      <c r="C1956" s="222" t="s">
        <v>48</v>
      </c>
    </row>
    <row r="1957" spans="1:3" ht="15">
      <c r="A1957" s="222">
        <v>19093</v>
      </c>
      <c r="B1957" s="223" t="s">
        <v>47</v>
      </c>
      <c r="C1957" s="222" t="s">
        <v>48</v>
      </c>
    </row>
    <row r="1958" spans="1:3" ht="15">
      <c r="A1958" s="222">
        <v>19094</v>
      </c>
      <c r="B1958" s="223" t="s">
        <v>47</v>
      </c>
      <c r="C1958" s="222" t="s">
        <v>48</v>
      </c>
    </row>
    <row r="1959" spans="1:3" ht="15">
      <c r="A1959" s="222">
        <v>19095</v>
      </c>
      <c r="B1959" s="223" t="s">
        <v>47</v>
      </c>
      <c r="C1959" s="222" t="s">
        <v>48</v>
      </c>
    </row>
    <row r="1960" spans="1:3" ht="15">
      <c r="A1960" s="222">
        <v>19096</v>
      </c>
      <c r="B1960" s="223" t="s">
        <v>47</v>
      </c>
      <c r="C1960" s="222" t="s">
        <v>48</v>
      </c>
    </row>
    <row r="1961" spans="1:3" ht="15">
      <c r="A1961" s="222">
        <v>19098</v>
      </c>
      <c r="B1961" s="223" t="s">
        <v>47</v>
      </c>
      <c r="C1961" s="222" t="s">
        <v>48</v>
      </c>
    </row>
    <row r="1962" spans="1:3" ht="15">
      <c r="A1962" s="222">
        <v>19099</v>
      </c>
      <c r="B1962" s="223" t="s">
        <v>47</v>
      </c>
      <c r="C1962" s="222" t="s">
        <v>48</v>
      </c>
    </row>
    <row r="1963" spans="1:3" ht="15">
      <c r="A1963" s="222">
        <v>19101</v>
      </c>
      <c r="B1963" s="223" t="s">
        <v>47</v>
      </c>
      <c r="C1963" s="222" t="s">
        <v>48</v>
      </c>
    </row>
    <row r="1964" spans="1:3" ht="15">
      <c r="A1964" s="222">
        <v>19102</v>
      </c>
      <c r="B1964" s="223" t="s">
        <v>47</v>
      </c>
      <c r="C1964" s="222" t="s">
        <v>48</v>
      </c>
    </row>
    <row r="1965" spans="1:3" ht="15">
      <c r="A1965" s="222">
        <v>19103</v>
      </c>
      <c r="B1965" s="223" t="s">
        <v>47</v>
      </c>
      <c r="C1965" s="222" t="s">
        <v>48</v>
      </c>
    </row>
    <row r="1966" spans="1:3" ht="15">
      <c r="A1966" s="222">
        <v>19104</v>
      </c>
      <c r="B1966" s="223" t="s">
        <v>47</v>
      </c>
      <c r="C1966" s="222" t="s">
        <v>48</v>
      </c>
    </row>
    <row r="1967" spans="1:3" ht="15">
      <c r="A1967" s="222">
        <v>19105</v>
      </c>
      <c r="B1967" s="223" t="s">
        <v>47</v>
      </c>
      <c r="C1967" s="222" t="s">
        <v>48</v>
      </c>
    </row>
    <row r="1968" spans="1:3" ht="15">
      <c r="A1968" s="222">
        <v>19106</v>
      </c>
      <c r="B1968" s="223" t="s">
        <v>47</v>
      </c>
      <c r="C1968" s="222" t="s">
        <v>48</v>
      </c>
    </row>
    <row r="1969" spans="1:3" ht="15">
      <c r="A1969" s="222">
        <v>19107</v>
      </c>
      <c r="B1969" s="223" t="s">
        <v>47</v>
      </c>
      <c r="C1969" s="222" t="s">
        <v>48</v>
      </c>
    </row>
    <row r="1970" spans="1:3" ht="15">
      <c r="A1970" s="222">
        <v>19108</v>
      </c>
      <c r="B1970" s="223" t="s">
        <v>47</v>
      </c>
      <c r="C1970" s="222" t="s">
        <v>48</v>
      </c>
    </row>
    <row r="1971" spans="1:3" ht="15">
      <c r="A1971" s="222">
        <v>19109</v>
      </c>
      <c r="B1971" s="223" t="s">
        <v>47</v>
      </c>
      <c r="C1971" s="222" t="s">
        <v>48</v>
      </c>
    </row>
    <row r="1972" spans="1:3" ht="15">
      <c r="A1972" s="222">
        <v>19110</v>
      </c>
      <c r="B1972" s="223" t="s">
        <v>47</v>
      </c>
      <c r="C1972" s="222" t="s">
        <v>48</v>
      </c>
    </row>
    <row r="1973" spans="1:3" ht="15">
      <c r="A1973" s="222">
        <v>19111</v>
      </c>
      <c r="B1973" s="223" t="s">
        <v>47</v>
      </c>
      <c r="C1973" s="222" t="s">
        <v>48</v>
      </c>
    </row>
    <row r="1974" spans="1:3" ht="15">
      <c r="A1974" s="222">
        <v>19112</v>
      </c>
      <c r="B1974" s="223" t="s">
        <v>47</v>
      </c>
      <c r="C1974" s="222" t="s">
        <v>48</v>
      </c>
    </row>
    <row r="1975" spans="1:3" ht="15">
      <c r="A1975" s="222">
        <v>19113</v>
      </c>
      <c r="B1975" s="223" t="s">
        <v>47</v>
      </c>
      <c r="C1975" s="222" t="s">
        <v>48</v>
      </c>
    </row>
    <row r="1976" spans="1:3" ht="15">
      <c r="A1976" s="222">
        <v>19114</v>
      </c>
      <c r="B1976" s="223" t="s">
        <v>47</v>
      </c>
      <c r="C1976" s="222" t="s">
        <v>48</v>
      </c>
    </row>
    <row r="1977" spans="1:3" ht="15">
      <c r="A1977" s="222">
        <v>19115</v>
      </c>
      <c r="B1977" s="223" t="s">
        <v>47</v>
      </c>
      <c r="C1977" s="222" t="s">
        <v>48</v>
      </c>
    </row>
    <row r="1978" spans="1:3" ht="15">
      <c r="A1978" s="222">
        <v>19116</v>
      </c>
      <c r="B1978" s="223" t="s">
        <v>47</v>
      </c>
      <c r="C1978" s="222" t="s">
        <v>48</v>
      </c>
    </row>
    <row r="1979" spans="1:3" ht="15">
      <c r="A1979" s="222">
        <v>19118</v>
      </c>
      <c r="B1979" s="223" t="s">
        <v>47</v>
      </c>
      <c r="C1979" s="222" t="s">
        <v>48</v>
      </c>
    </row>
    <row r="1980" spans="1:3" ht="15">
      <c r="A1980" s="222">
        <v>19119</v>
      </c>
      <c r="B1980" s="223" t="s">
        <v>47</v>
      </c>
      <c r="C1980" s="222" t="s">
        <v>48</v>
      </c>
    </row>
    <row r="1981" spans="1:3" ht="15">
      <c r="A1981" s="222">
        <v>19120</v>
      </c>
      <c r="B1981" s="223" t="s">
        <v>47</v>
      </c>
      <c r="C1981" s="222" t="s">
        <v>48</v>
      </c>
    </row>
    <row r="1982" spans="1:3" ht="15">
      <c r="A1982" s="222">
        <v>19121</v>
      </c>
      <c r="B1982" s="223" t="s">
        <v>47</v>
      </c>
      <c r="C1982" s="222" t="s">
        <v>48</v>
      </c>
    </row>
    <row r="1983" spans="1:3" ht="15">
      <c r="A1983" s="222">
        <v>19122</v>
      </c>
      <c r="B1983" s="223" t="s">
        <v>47</v>
      </c>
      <c r="C1983" s="222" t="s">
        <v>48</v>
      </c>
    </row>
    <row r="1984" spans="1:3" ht="15">
      <c r="A1984" s="222">
        <v>19123</v>
      </c>
      <c r="B1984" s="223" t="s">
        <v>47</v>
      </c>
      <c r="C1984" s="222" t="s">
        <v>48</v>
      </c>
    </row>
    <row r="1985" spans="1:3" ht="15">
      <c r="A1985" s="222">
        <v>19124</v>
      </c>
      <c r="B1985" s="223" t="s">
        <v>47</v>
      </c>
      <c r="C1985" s="222" t="s">
        <v>48</v>
      </c>
    </row>
    <row r="1986" spans="1:3" ht="15">
      <c r="A1986" s="222">
        <v>19125</v>
      </c>
      <c r="B1986" s="223" t="s">
        <v>47</v>
      </c>
      <c r="C1986" s="222" t="s">
        <v>48</v>
      </c>
    </row>
    <row r="1987" spans="1:3" ht="15">
      <c r="A1987" s="222">
        <v>19126</v>
      </c>
      <c r="B1987" s="223" t="s">
        <v>47</v>
      </c>
      <c r="C1987" s="222" t="s">
        <v>48</v>
      </c>
    </row>
    <row r="1988" spans="1:3" ht="15">
      <c r="A1988" s="222">
        <v>19127</v>
      </c>
      <c r="B1988" s="223" t="s">
        <v>47</v>
      </c>
      <c r="C1988" s="222" t="s">
        <v>48</v>
      </c>
    </row>
    <row r="1989" spans="1:3" ht="15">
      <c r="A1989" s="222">
        <v>19128</v>
      </c>
      <c r="B1989" s="223" t="s">
        <v>47</v>
      </c>
      <c r="C1989" s="222" t="s">
        <v>48</v>
      </c>
    </row>
    <row r="1990" spans="1:3" ht="15">
      <c r="A1990" s="222">
        <v>19129</v>
      </c>
      <c r="B1990" s="223" t="s">
        <v>47</v>
      </c>
      <c r="C1990" s="222" t="s">
        <v>48</v>
      </c>
    </row>
    <row r="1991" spans="1:3" ht="15">
      <c r="A1991" s="222">
        <v>19130</v>
      </c>
      <c r="B1991" s="223" t="s">
        <v>47</v>
      </c>
      <c r="C1991" s="222" t="s">
        <v>48</v>
      </c>
    </row>
    <row r="1992" spans="1:3" ht="15">
      <c r="A1992" s="222">
        <v>19131</v>
      </c>
      <c r="B1992" s="223" t="s">
        <v>47</v>
      </c>
      <c r="C1992" s="222" t="s">
        <v>48</v>
      </c>
    </row>
    <row r="1993" spans="1:3" ht="15">
      <c r="A1993" s="222">
        <v>19132</v>
      </c>
      <c r="B1993" s="223" t="s">
        <v>47</v>
      </c>
      <c r="C1993" s="222" t="s">
        <v>48</v>
      </c>
    </row>
    <row r="1994" spans="1:3" ht="15">
      <c r="A1994" s="222">
        <v>19133</v>
      </c>
      <c r="B1994" s="223" t="s">
        <v>47</v>
      </c>
      <c r="C1994" s="222" t="s">
        <v>48</v>
      </c>
    </row>
    <row r="1995" spans="1:3" ht="15">
      <c r="A1995" s="222">
        <v>19134</v>
      </c>
      <c r="B1995" s="223" t="s">
        <v>47</v>
      </c>
      <c r="C1995" s="222" t="s">
        <v>48</v>
      </c>
    </row>
    <row r="1996" spans="1:3" ht="15">
      <c r="A1996" s="222">
        <v>19135</v>
      </c>
      <c r="B1996" s="223" t="s">
        <v>47</v>
      </c>
      <c r="C1996" s="222" t="s">
        <v>48</v>
      </c>
    </row>
    <row r="1997" spans="1:3" ht="15">
      <c r="A1997" s="222">
        <v>19136</v>
      </c>
      <c r="B1997" s="223" t="s">
        <v>47</v>
      </c>
      <c r="C1997" s="222" t="s">
        <v>48</v>
      </c>
    </row>
    <row r="1998" spans="1:3" ht="15">
      <c r="A1998" s="222">
        <v>19137</v>
      </c>
      <c r="B1998" s="223" t="s">
        <v>47</v>
      </c>
      <c r="C1998" s="222" t="s">
        <v>48</v>
      </c>
    </row>
    <row r="1999" spans="1:3" ht="15">
      <c r="A1999" s="222">
        <v>19138</v>
      </c>
      <c r="B1999" s="223" t="s">
        <v>47</v>
      </c>
      <c r="C1999" s="222" t="s">
        <v>48</v>
      </c>
    </row>
    <row r="2000" spans="1:3" ht="15">
      <c r="A2000" s="222">
        <v>19139</v>
      </c>
      <c r="B2000" s="223" t="s">
        <v>47</v>
      </c>
      <c r="C2000" s="222" t="s">
        <v>48</v>
      </c>
    </row>
    <row r="2001" spans="1:3" ht="15">
      <c r="A2001" s="222">
        <v>19140</v>
      </c>
      <c r="B2001" s="223" t="s">
        <v>47</v>
      </c>
      <c r="C2001" s="222" t="s">
        <v>48</v>
      </c>
    </row>
    <row r="2002" spans="1:3" ht="15">
      <c r="A2002" s="222">
        <v>19141</v>
      </c>
      <c r="B2002" s="223" t="s">
        <v>47</v>
      </c>
      <c r="C2002" s="222" t="s">
        <v>48</v>
      </c>
    </row>
    <row r="2003" spans="1:3" ht="15">
      <c r="A2003" s="222">
        <v>19142</v>
      </c>
      <c r="B2003" s="223" t="s">
        <v>47</v>
      </c>
      <c r="C2003" s="222" t="s">
        <v>48</v>
      </c>
    </row>
    <row r="2004" spans="1:3" ht="15">
      <c r="A2004" s="222">
        <v>19143</v>
      </c>
      <c r="B2004" s="223" t="s">
        <v>47</v>
      </c>
      <c r="C2004" s="222" t="s">
        <v>48</v>
      </c>
    </row>
    <row r="2005" spans="1:3" ht="15">
      <c r="A2005" s="222">
        <v>19144</v>
      </c>
      <c r="B2005" s="223" t="s">
        <v>47</v>
      </c>
      <c r="C2005" s="222" t="s">
        <v>48</v>
      </c>
    </row>
    <row r="2006" spans="1:3" ht="15">
      <c r="A2006" s="222">
        <v>19145</v>
      </c>
      <c r="B2006" s="223" t="s">
        <v>47</v>
      </c>
      <c r="C2006" s="222" t="s">
        <v>48</v>
      </c>
    </row>
    <row r="2007" spans="1:3" ht="15">
      <c r="A2007" s="222">
        <v>19146</v>
      </c>
      <c r="B2007" s="223" t="s">
        <v>47</v>
      </c>
      <c r="C2007" s="222" t="s">
        <v>48</v>
      </c>
    </row>
    <row r="2008" spans="1:3" ht="15">
      <c r="A2008" s="222">
        <v>19147</v>
      </c>
      <c r="B2008" s="223" t="s">
        <v>47</v>
      </c>
      <c r="C2008" s="222" t="s">
        <v>48</v>
      </c>
    </row>
    <row r="2009" spans="1:3" ht="15">
      <c r="A2009" s="222">
        <v>19148</v>
      </c>
      <c r="B2009" s="223" t="s">
        <v>47</v>
      </c>
      <c r="C2009" s="222" t="s">
        <v>48</v>
      </c>
    </row>
    <row r="2010" spans="1:3" ht="15">
      <c r="A2010" s="222">
        <v>19149</v>
      </c>
      <c r="B2010" s="223" t="s">
        <v>47</v>
      </c>
      <c r="C2010" s="222" t="s">
        <v>48</v>
      </c>
    </row>
    <row r="2011" spans="1:3" ht="15">
      <c r="A2011" s="222">
        <v>19150</v>
      </c>
      <c r="B2011" s="223" t="s">
        <v>47</v>
      </c>
      <c r="C2011" s="222" t="s">
        <v>48</v>
      </c>
    </row>
    <row r="2012" spans="1:3" ht="15">
      <c r="A2012" s="222">
        <v>19151</v>
      </c>
      <c r="B2012" s="223" t="s">
        <v>47</v>
      </c>
      <c r="C2012" s="222" t="s">
        <v>48</v>
      </c>
    </row>
    <row r="2013" spans="1:3" ht="15">
      <c r="A2013" s="222">
        <v>19152</v>
      </c>
      <c r="B2013" s="223" t="s">
        <v>47</v>
      </c>
      <c r="C2013" s="222" t="s">
        <v>48</v>
      </c>
    </row>
    <row r="2014" spans="1:3" ht="15">
      <c r="A2014" s="222">
        <v>19153</v>
      </c>
      <c r="B2014" s="223" t="s">
        <v>47</v>
      </c>
      <c r="C2014" s="222" t="s">
        <v>48</v>
      </c>
    </row>
    <row r="2015" spans="1:3" ht="15">
      <c r="A2015" s="222">
        <v>19154</v>
      </c>
      <c r="B2015" s="223" t="s">
        <v>47</v>
      </c>
      <c r="C2015" s="222" t="s">
        <v>48</v>
      </c>
    </row>
    <row r="2016" spans="1:3" ht="15">
      <c r="A2016" s="222">
        <v>19155</v>
      </c>
      <c r="B2016" s="223" t="s">
        <v>47</v>
      </c>
      <c r="C2016" s="222" t="s">
        <v>48</v>
      </c>
    </row>
    <row r="2017" spans="1:3" ht="15">
      <c r="A2017" s="222">
        <v>19160</v>
      </c>
      <c r="B2017" s="223" t="s">
        <v>47</v>
      </c>
      <c r="C2017" s="222" t="s">
        <v>48</v>
      </c>
    </row>
    <row r="2018" spans="1:3" ht="15">
      <c r="A2018" s="222">
        <v>19161</v>
      </c>
      <c r="B2018" s="223" t="s">
        <v>47</v>
      </c>
      <c r="C2018" s="222" t="s">
        <v>48</v>
      </c>
    </row>
    <row r="2019" spans="1:3" ht="15">
      <c r="A2019" s="222">
        <v>19162</v>
      </c>
      <c r="B2019" s="223" t="s">
        <v>47</v>
      </c>
      <c r="C2019" s="222" t="s">
        <v>48</v>
      </c>
    </row>
    <row r="2020" spans="1:3" ht="15">
      <c r="A2020" s="222">
        <v>19170</v>
      </c>
      <c r="B2020" s="223" t="s">
        <v>47</v>
      </c>
      <c r="C2020" s="222" t="s">
        <v>48</v>
      </c>
    </row>
    <row r="2021" spans="1:3" ht="15">
      <c r="A2021" s="222">
        <v>19171</v>
      </c>
      <c r="B2021" s="223" t="s">
        <v>47</v>
      </c>
      <c r="C2021" s="222" t="s">
        <v>48</v>
      </c>
    </row>
    <row r="2022" spans="1:3" ht="15">
      <c r="A2022" s="222">
        <v>19172</v>
      </c>
      <c r="B2022" s="223" t="s">
        <v>47</v>
      </c>
      <c r="C2022" s="222" t="s">
        <v>48</v>
      </c>
    </row>
    <row r="2023" spans="1:3" ht="15">
      <c r="A2023" s="222">
        <v>19173</v>
      </c>
      <c r="B2023" s="223" t="s">
        <v>47</v>
      </c>
      <c r="C2023" s="222" t="s">
        <v>48</v>
      </c>
    </row>
    <row r="2024" spans="1:3" ht="15">
      <c r="A2024" s="222">
        <v>19175</v>
      </c>
      <c r="B2024" s="223" t="s">
        <v>47</v>
      </c>
      <c r="C2024" s="222" t="s">
        <v>48</v>
      </c>
    </row>
    <row r="2025" spans="1:3" ht="15">
      <c r="A2025" s="222">
        <v>19176</v>
      </c>
      <c r="B2025" s="223" t="s">
        <v>47</v>
      </c>
      <c r="C2025" s="222" t="s">
        <v>48</v>
      </c>
    </row>
    <row r="2026" spans="1:3" ht="15">
      <c r="A2026" s="222">
        <v>19177</v>
      </c>
      <c r="B2026" s="223" t="s">
        <v>47</v>
      </c>
      <c r="C2026" s="222" t="s">
        <v>48</v>
      </c>
    </row>
    <row r="2027" spans="1:3" ht="15">
      <c r="A2027" s="222">
        <v>19178</v>
      </c>
      <c r="B2027" s="223" t="s">
        <v>47</v>
      </c>
      <c r="C2027" s="222" t="s">
        <v>48</v>
      </c>
    </row>
    <row r="2028" spans="1:3" ht="15">
      <c r="A2028" s="222">
        <v>19179</v>
      </c>
      <c r="B2028" s="223" t="s">
        <v>47</v>
      </c>
      <c r="C2028" s="222" t="s">
        <v>48</v>
      </c>
    </row>
    <row r="2029" spans="1:3" ht="15">
      <c r="A2029" s="222">
        <v>19181</v>
      </c>
      <c r="B2029" s="223" t="s">
        <v>47</v>
      </c>
      <c r="C2029" s="222" t="s">
        <v>48</v>
      </c>
    </row>
    <row r="2030" spans="1:3" ht="15">
      <c r="A2030" s="222">
        <v>19182</v>
      </c>
      <c r="B2030" s="223" t="s">
        <v>47</v>
      </c>
      <c r="C2030" s="222" t="s">
        <v>48</v>
      </c>
    </row>
    <row r="2031" spans="1:3" ht="15">
      <c r="A2031" s="222">
        <v>19183</v>
      </c>
      <c r="B2031" s="223" t="s">
        <v>47</v>
      </c>
      <c r="C2031" s="222" t="s">
        <v>48</v>
      </c>
    </row>
    <row r="2032" spans="1:3" ht="15">
      <c r="A2032" s="222">
        <v>19184</v>
      </c>
      <c r="B2032" s="223" t="s">
        <v>47</v>
      </c>
      <c r="C2032" s="222" t="s">
        <v>48</v>
      </c>
    </row>
    <row r="2033" spans="1:3" ht="15">
      <c r="A2033" s="222">
        <v>19185</v>
      </c>
      <c r="B2033" s="223" t="s">
        <v>47</v>
      </c>
      <c r="C2033" s="222" t="s">
        <v>48</v>
      </c>
    </row>
    <row r="2034" spans="1:3" ht="15">
      <c r="A2034" s="222">
        <v>19187</v>
      </c>
      <c r="B2034" s="223" t="s">
        <v>47</v>
      </c>
      <c r="C2034" s="222" t="s">
        <v>48</v>
      </c>
    </row>
    <row r="2035" spans="1:3" ht="15">
      <c r="A2035" s="222">
        <v>19188</v>
      </c>
      <c r="B2035" s="223" t="s">
        <v>47</v>
      </c>
      <c r="C2035" s="222" t="s">
        <v>48</v>
      </c>
    </row>
    <row r="2036" spans="1:3" ht="15">
      <c r="A2036" s="222">
        <v>19190</v>
      </c>
      <c r="B2036" s="223" t="s">
        <v>47</v>
      </c>
      <c r="C2036" s="222" t="s">
        <v>48</v>
      </c>
    </row>
    <row r="2037" spans="1:3" ht="15">
      <c r="A2037" s="222">
        <v>19191</v>
      </c>
      <c r="B2037" s="223" t="s">
        <v>47</v>
      </c>
      <c r="C2037" s="222" t="s">
        <v>48</v>
      </c>
    </row>
    <row r="2038" spans="1:3" ht="15">
      <c r="A2038" s="222">
        <v>19192</v>
      </c>
      <c r="B2038" s="223" t="s">
        <v>47</v>
      </c>
      <c r="C2038" s="222" t="s">
        <v>48</v>
      </c>
    </row>
    <row r="2039" spans="1:3" ht="15">
      <c r="A2039" s="222">
        <v>19193</v>
      </c>
      <c r="B2039" s="223" t="s">
        <v>47</v>
      </c>
      <c r="C2039" s="222" t="s">
        <v>48</v>
      </c>
    </row>
    <row r="2040" spans="1:3" ht="15">
      <c r="A2040" s="222">
        <v>19194</v>
      </c>
      <c r="B2040" s="223" t="s">
        <v>47</v>
      </c>
      <c r="C2040" s="222" t="s">
        <v>48</v>
      </c>
    </row>
    <row r="2041" spans="1:3" ht="15">
      <c r="A2041" s="222">
        <v>19195</v>
      </c>
      <c r="B2041" s="223" t="s">
        <v>47</v>
      </c>
      <c r="C2041" s="222" t="s">
        <v>48</v>
      </c>
    </row>
    <row r="2042" spans="1:3" ht="15">
      <c r="A2042" s="222">
        <v>19196</v>
      </c>
      <c r="B2042" s="223" t="s">
        <v>47</v>
      </c>
      <c r="C2042" s="222" t="s">
        <v>48</v>
      </c>
    </row>
    <row r="2043" spans="1:3" ht="15">
      <c r="A2043" s="222">
        <v>19197</v>
      </c>
      <c r="B2043" s="223" t="s">
        <v>47</v>
      </c>
      <c r="C2043" s="222" t="s">
        <v>48</v>
      </c>
    </row>
    <row r="2044" spans="1:3" ht="15">
      <c r="A2044" s="222">
        <v>19244</v>
      </c>
      <c r="B2044" s="223" t="s">
        <v>47</v>
      </c>
      <c r="C2044" s="222" t="s">
        <v>48</v>
      </c>
    </row>
    <row r="2045" spans="1:3" ht="15">
      <c r="A2045" s="222">
        <v>19255</v>
      </c>
      <c r="B2045" s="223" t="s">
        <v>47</v>
      </c>
      <c r="C2045" s="222" t="s">
        <v>48</v>
      </c>
    </row>
    <row r="2046" spans="1:3" ht="15">
      <c r="A2046" s="222">
        <v>19301</v>
      </c>
      <c r="B2046" s="223" t="s">
        <v>47</v>
      </c>
      <c r="C2046" s="222" t="s">
        <v>48</v>
      </c>
    </row>
    <row r="2047" spans="1:3" ht="15">
      <c r="A2047" s="222">
        <v>19310</v>
      </c>
      <c r="B2047" s="223" t="s">
        <v>47</v>
      </c>
      <c r="C2047" s="222" t="s">
        <v>48</v>
      </c>
    </row>
    <row r="2048" spans="1:3" ht="15">
      <c r="A2048" s="222">
        <v>19311</v>
      </c>
      <c r="B2048" s="223" t="s">
        <v>47</v>
      </c>
      <c r="C2048" s="222" t="s">
        <v>48</v>
      </c>
    </row>
    <row r="2049" spans="1:3" ht="15">
      <c r="A2049" s="222">
        <v>19312</v>
      </c>
      <c r="B2049" s="223" t="s">
        <v>47</v>
      </c>
      <c r="C2049" s="222" t="s">
        <v>48</v>
      </c>
    </row>
    <row r="2050" spans="1:3" ht="15">
      <c r="A2050" s="222">
        <v>19316</v>
      </c>
      <c r="B2050" s="223" t="s">
        <v>47</v>
      </c>
      <c r="C2050" s="222" t="s">
        <v>48</v>
      </c>
    </row>
    <row r="2051" spans="1:3" ht="15">
      <c r="A2051" s="222">
        <v>19317</v>
      </c>
      <c r="B2051" s="223" t="s">
        <v>47</v>
      </c>
      <c r="C2051" s="222" t="s">
        <v>48</v>
      </c>
    </row>
    <row r="2052" spans="1:3" ht="15">
      <c r="A2052" s="222">
        <v>19318</v>
      </c>
      <c r="B2052" s="223" t="s">
        <v>47</v>
      </c>
      <c r="C2052" s="222" t="s">
        <v>48</v>
      </c>
    </row>
    <row r="2053" spans="1:3" ht="15">
      <c r="A2053" s="222">
        <v>19319</v>
      </c>
      <c r="B2053" s="223" t="s">
        <v>47</v>
      </c>
      <c r="C2053" s="222" t="s">
        <v>48</v>
      </c>
    </row>
    <row r="2054" spans="1:3" ht="15">
      <c r="A2054" s="222">
        <v>19320</v>
      </c>
      <c r="B2054" s="223" t="s">
        <v>47</v>
      </c>
      <c r="C2054" s="222" t="s">
        <v>48</v>
      </c>
    </row>
    <row r="2055" spans="1:3" ht="15">
      <c r="A2055" s="222">
        <v>19330</v>
      </c>
      <c r="B2055" s="223" t="s">
        <v>47</v>
      </c>
      <c r="C2055" s="222" t="s">
        <v>48</v>
      </c>
    </row>
    <row r="2056" spans="1:3" ht="15">
      <c r="A2056" s="222">
        <v>19331</v>
      </c>
      <c r="B2056" s="223" t="s">
        <v>47</v>
      </c>
      <c r="C2056" s="222" t="s">
        <v>48</v>
      </c>
    </row>
    <row r="2057" spans="1:3" ht="15">
      <c r="A2057" s="222">
        <v>19333</v>
      </c>
      <c r="B2057" s="223" t="s">
        <v>47</v>
      </c>
      <c r="C2057" s="222" t="s">
        <v>48</v>
      </c>
    </row>
    <row r="2058" spans="1:3" ht="15">
      <c r="A2058" s="222">
        <v>19335</v>
      </c>
      <c r="B2058" s="223" t="s">
        <v>47</v>
      </c>
      <c r="C2058" s="222" t="s">
        <v>48</v>
      </c>
    </row>
    <row r="2059" spans="1:3" ht="15">
      <c r="A2059" s="222">
        <v>19339</v>
      </c>
      <c r="B2059" s="223" t="s">
        <v>47</v>
      </c>
      <c r="C2059" s="222" t="s">
        <v>48</v>
      </c>
    </row>
    <row r="2060" spans="1:3" ht="15">
      <c r="A2060" s="222">
        <v>19340</v>
      </c>
      <c r="B2060" s="223" t="s">
        <v>47</v>
      </c>
      <c r="C2060" s="222" t="s">
        <v>48</v>
      </c>
    </row>
    <row r="2061" spans="1:3" ht="15">
      <c r="A2061" s="222">
        <v>19341</v>
      </c>
      <c r="B2061" s="223" t="s">
        <v>47</v>
      </c>
      <c r="C2061" s="222" t="s">
        <v>48</v>
      </c>
    </row>
    <row r="2062" spans="1:3" ht="15">
      <c r="A2062" s="222">
        <v>19342</v>
      </c>
      <c r="B2062" s="223" t="s">
        <v>47</v>
      </c>
      <c r="C2062" s="222" t="s">
        <v>48</v>
      </c>
    </row>
    <row r="2063" spans="1:3" ht="15">
      <c r="A2063" s="222">
        <v>19343</v>
      </c>
      <c r="B2063" s="223" t="s">
        <v>47</v>
      </c>
      <c r="C2063" s="222" t="s">
        <v>48</v>
      </c>
    </row>
    <row r="2064" spans="1:3" ht="15">
      <c r="A2064" s="222">
        <v>19344</v>
      </c>
      <c r="B2064" s="223" t="s">
        <v>47</v>
      </c>
      <c r="C2064" s="222" t="s">
        <v>48</v>
      </c>
    </row>
    <row r="2065" spans="1:3" ht="15">
      <c r="A2065" s="222">
        <v>19345</v>
      </c>
      <c r="B2065" s="223" t="s">
        <v>47</v>
      </c>
      <c r="C2065" s="222" t="s">
        <v>48</v>
      </c>
    </row>
    <row r="2066" spans="1:3" ht="15">
      <c r="A2066" s="222">
        <v>19346</v>
      </c>
      <c r="B2066" s="223" t="s">
        <v>47</v>
      </c>
      <c r="C2066" s="222" t="s">
        <v>48</v>
      </c>
    </row>
    <row r="2067" spans="1:3" ht="15">
      <c r="A2067" s="222">
        <v>19347</v>
      </c>
      <c r="B2067" s="223" t="s">
        <v>47</v>
      </c>
      <c r="C2067" s="222" t="s">
        <v>48</v>
      </c>
    </row>
    <row r="2068" spans="1:3" ht="15">
      <c r="A2068" s="222">
        <v>19348</v>
      </c>
      <c r="B2068" s="223" t="s">
        <v>47</v>
      </c>
      <c r="C2068" s="222" t="s">
        <v>48</v>
      </c>
    </row>
    <row r="2069" spans="1:3" ht="15">
      <c r="A2069" s="222">
        <v>19350</v>
      </c>
      <c r="B2069" s="223" t="s">
        <v>47</v>
      </c>
      <c r="C2069" s="222" t="s">
        <v>48</v>
      </c>
    </row>
    <row r="2070" spans="1:3" ht="15">
      <c r="A2070" s="222">
        <v>19351</v>
      </c>
      <c r="B2070" s="223" t="s">
        <v>47</v>
      </c>
      <c r="C2070" s="222" t="s">
        <v>48</v>
      </c>
    </row>
    <row r="2071" spans="1:3" ht="15">
      <c r="A2071" s="222">
        <v>19352</v>
      </c>
      <c r="B2071" s="223" t="s">
        <v>47</v>
      </c>
      <c r="C2071" s="222" t="s">
        <v>48</v>
      </c>
    </row>
    <row r="2072" spans="1:3" ht="15">
      <c r="A2072" s="222">
        <v>19353</v>
      </c>
      <c r="B2072" s="223" t="s">
        <v>47</v>
      </c>
      <c r="C2072" s="222" t="s">
        <v>48</v>
      </c>
    </row>
    <row r="2073" spans="1:3" ht="15">
      <c r="A2073" s="222">
        <v>19354</v>
      </c>
      <c r="B2073" s="223" t="s">
        <v>47</v>
      </c>
      <c r="C2073" s="222" t="s">
        <v>48</v>
      </c>
    </row>
    <row r="2074" spans="1:3" ht="15">
      <c r="A2074" s="222">
        <v>19355</v>
      </c>
      <c r="B2074" s="223" t="s">
        <v>47</v>
      </c>
      <c r="C2074" s="222" t="s">
        <v>48</v>
      </c>
    </row>
    <row r="2075" spans="1:3" ht="15">
      <c r="A2075" s="222">
        <v>19357</v>
      </c>
      <c r="B2075" s="223" t="s">
        <v>47</v>
      </c>
      <c r="C2075" s="222" t="s">
        <v>48</v>
      </c>
    </row>
    <row r="2076" spans="1:3" ht="15">
      <c r="A2076" s="222">
        <v>19358</v>
      </c>
      <c r="B2076" s="223" t="s">
        <v>47</v>
      </c>
      <c r="C2076" s="222" t="s">
        <v>48</v>
      </c>
    </row>
    <row r="2077" spans="1:3" ht="15">
      <c r="A2077" s="222">
        <v>19360</v>
      </c>
      <c r="B2077" s="223" t="s">
        <v>47</v>
      </c>
      <c r="C2077" s="222" t="s">
        <v>48</v>
      </c>
    </row>
    <row r="2078" spans="1:3" ht="15">
      <c r="A2078" s="222">
        <v>19362</v>
      </c>
      <c r="B2078" s="223" t="s">
        <v>47</v>
      </c>
      <c r="C2078" s="222" t="s">
        <v>48</v>
      </c>
    </row>
    <row r="2079" spans="1:3" ht="15">
      <c r="A2079" s="222">
        <v>19363</v>
      </c>
      <c r="B2079" s="223" t="s">
        <v>47</v>
      </c>
      <c r="C2079" s="222" t="s">
        <v>48</v>
      </c>
    </row>
    <row r="2080" spans="1:3" ht="15">
      <c r="A2080" s="222">
        <v>19365</v>
      </c>
      <c r="B2080" s="223" t="s">
        <v>47</v>
      </c>
      <c r="C2080" s="222" t="s">
        <v>48</v>
      </c>
    </row>
    <row r="2081" spans="1:3" ht="15">
      <c r="A2081" s="222">
        <v>19366</v>
      </c>
      <c r="B2081" s="223" t="s">
        <v>47</v>
      </c>
      <c r="C2081" s="222" t="s">
        <v>48</v>
      </c>
    </row>
    <row r="2082" spans="1:3" ht="15">
      <c r="A2082" s="222">
        <v>19367</v>
      </c>
      <c r="B2082" s="223" t="s">
        <v>47</v>
      </c>
      <c r="C2082" s="222" t="s">
        <v>48</v>
      </c>
    </row>
    <row r="2083" spans="1:3" ht="15">
      <c r="A2083" s="222">
        <v>19369</v>
      </c>
      <c r="B2083" s="223" t="s">
        <v>47</v>
      </c>
      <c r="C2083" s="222" t="s">
        <v>48</v>
      </c>
    </row>
    <row r="2084" spans="1:3" ht="15">
      <c r="A2084" s="222">
        <v>19371</v>
      </c>
      <c r="B2084" s="223" t="s">
        <v>47</v>
      </c>
      <c r="C2084" s="222" t="s">
        <v>48</v>
      </c>
    </row>
    <row r="2085" spans="1:3" ht="15">
      <c r="A2085" s="222">
        <v>19372</v>
      </c>
      <c r="B2085" s="223" t="s">
        <v>47</v>
      </c>
      <c r="C2085" s="222" t="s">
        <v>48</v>
      </c>
    </row>
    <row r="2086" spans="1:3" ht="15">
      <c r="A2086" s="222">
        <v>19373</v>
      </c>
      <c r="B2086" s="223" t="s">
        <v>47</v>
      </c>
      <c r="C2086" s="222" t="s">
        <v>48</v>
      </c>
    </row>
    <row r="2087" spans="1:3" ht="15">
      <c r="A2087" s="222">
        <v>19374</v>
      </c>
      <c r="B2087" s="223" t="s">
        <v>47</v>
      </c>
      <c r="C2087" s="222" t="s">
        <v>48</v>
      </c>
    </row>
    <row r="2088" spans="1:3" ht="15">
      <c r="A2088" s="222">
        <v>19375</v>
      </c>
      <c r="B2088" s="223" t="s">
        <v>47</v>
      </c>
      <c r="C2088" s="222" t="s">
        <v>48</v>
      </c>
    </row>
    <row r="2089" spans="1:3" ht="15">
      <c r="A2089" s="222">
        <v>19376</v>
      </c>
      <c r="B2089" s="223" t="s">
        <v>47</v>
      </c>
      <c r="C2089" s="222" t="s">
        <v>48</v>
      </c>
    </row>
    <row r="2090" spans="1:3" ht="15">
      <c r="A2090" s="222">
        <v>19380</v>
      </c>
      <c r="B2090" s="223" t="s">
        <v>47</v>
      </c>
      <c r="C2090" s="222" t="s">
        <v>48</v>
      </c>
    </row>
    <row r="2091" spans="1:3" ht="15">
      <c r="A2091" s="222">
        <v>19381</v>
      </c>
      <c r="B2091" s="223" t="s">
        <v>47</v>
      </c>
      <c r="C2091" s="222" t="s">
        <v>48</v>
      </c>
    </row>
    <row r="2092" spans="1:3" ht="15">
      <c r="A2092" s="222">
        <v>19382</v>
      </c>
      <c r="B2092" s="223" t="s">
        <v>47</v>
      </c>
      <c r="C2092" s="222" t="s">
        <v>48</v>
      </c>
    </row>
    <row r="2093" spans="1:3" ht="15">
      <c r="A2093" s="222">
        <v>19383</v>
      </c>
      <c r="B2093" s="223" t="s">
        <v>47</v>
      </c>
      <c r="C2093" s="222" t="s">
        <v>48</v>
      </c>
    </row>
    <row r="2094" spans="1:3" ht="15">
      <c r="A2094" s="222">
        <v>19388</v>
      </c>
      <c r="B2094" s="223" t="s">
        <v>47</v>
      </c>
      <c r="C2094" s="222" t="s">
        <v>48</v>
      </c>
    </row>
    <row r="2095" spans="1:3" ht="15">
      <c r="A2095" s="222">
        <v>19390</v>
      </c>
      <c r="B2095" s="223" t="s">
        <v>47</v>
      </c>
      <c r="C2095" s="222" t="s">
        <v>48</v>
      </c>
    </row>
    <row r="2096" spans="1:3" ht="15">
      <c r="A2096" s="222">
        <v>19395</v>
      </c>
      <c r="B2096" s="223" t="s">
        <v>47</v>
      </c>
      <c r="C2096" s="222" t="s">
        <v>48</v>
      </c>
    </row>
    <row r="2097" spans="1:3" ht="15">
      <c r="A2097" s="222">
        <v>19397</v>
      </c>
      <c r="B2097" s="223" t="s">
        <v>47</v>
      </c>
      <c r="C2097" s="222" t="s">
        <v>48</v>
      </c>
    </row>
    <row r="2098" spans="1:3" ht="15">
      <c r="A2098" s="222">
        <v>19398</v>
      </c>
      <c r="B2098" s="223" t="s">
        <v>47</v>
      </c>
      <c r="C2098" s="222" t="s">
        <v>48</v>
      </c>
    </row>
    <row r="2099" spans="1:3" ht="15">
      <c r="A2099" s="222">
        <v>19399</v>
      </c>
      <c r="B2099" s="223" t="s">
        <v>47</v>
      </c>
      <c r="C2099" s="222" t="s">
        <v>48</v>
      </c>
    </row>
    <row r="2100" spans="1:3" ht="15">
      <c r="A2100" s="222">
        <v>19401</v>
      </c>
      <c r="B2100" s="223" t="s">
        <v>47</v>
      </c>
      <c r="C2100" s="222" t="s">
        <v>48</v>
      </c>
    </row>
    <row r="2101" spans="1:3" ht="15">
      <c r="A2101" s="222">
        <v>19403</v>
      </c>
      <c r="B2101" s="223" t="s">
        <v>47</v>
      </c>
      <c r="C2101" s="222" t="s">
        <v>48</v>
      </c>
    </row>
    <row r="2102" spans="1:3" ht="15">
      <c r="A2102" s="222">
        <v>19404</v>
      </c>
      <c r="B2102" s="223" t="s">
        <v>47</v>
      </c>
      <c r="C2102" s="222" t="s">
        <v>48</v>
      </c>
    </row>
    <row r="2103" spans="1:3" ht="15">
      <c r="A2103" s="222">
        <v>19405</v>
      </c>
      <c r="B2103" s="223" t="s">
        <v>47</v>
      </c>
      <c r="C2103" s="222" t="s">
        <v>48</v>
      </c>
    </row>
    <row r="2104" spans="1:3" ht="15">
      <c r="A2104" s="222">
        <v>19406</v>
      </c>
      <c r="B2104" s="223" t="s">
        <v>47</v>
      </c>
      <c r="C2104" s="222" t="s">
        <v>48</v>
      </c>
    </row>
    <row r="2105" spans="1:3" ht="15">
      <c r="A2105" s="222">
        <v>19407</v>
      </c>
      <c r="B2105" s="223" t="s">
        <v>47</v>
      </c>
      <c r="C2105" s="222" t="s">
        <v>48</v>
      </c>
    </row>
    <row r="2106" spans="1:3" ht="15">
      <c r="A2106" s="222">
        <v>19408</v>
      </c>
      <c r="B2106" s="223" t="s">
        <v>47</v>
      </c>
      <c r="C2106" s="222" t="s">
        <v>48</v>
      </c>
    </row>
    <row r="2107" spans="1:3" ht="15">
      <c r="A2107" s="222">
        <v>19409</v>
      </c>
      <c r="B2107" s="223" t="s">
        <v>47</v>
      </c>
      <c r="C2107" s="222" t="s">
        <v>48</v>
      </c>
    </row>
    <row r="2108" spans="1:3" ht="15">
      <c r="A2108" s="222">
        <v>19415</v>
      </c>
      <c r="B2108" s="223" t="s">
        <v>47</v>
      </c>
      <c r="C2108" s="222" t="s">
        <v>48</v>
      </c>
    </row>
    <row r="2109" spans="1:3" ht="15">
      <c r="A2109" s="222">
        <v>19420</v>
      </c>
      <c r="B2109" s="223" t="s">
        <v>47</v>
      </c>
      <c r="C2109" s="222" t="s">
        <v>48</v>
      </c>
    </row>
    <row r="2110" spans="1:3" ht="15">
      <c r="A2110" s="222">
        <v>19421</v>
      </c>
      <c r="B2110" s="223" t="s">
        <v>47</v>
      </c>
      <c r="C2110" s="222" t="s">
        <v>48</v>
      </c>
    </row>
    <row r="2111" spans="1:3" ht="15">
      <c r="A2111" s="222">
        <v>19422</v>
      </c>
      <c r="B2111" s="223" t="s">
        <v>47</v>
      </c>
      <c r="C2111" s="222" t="s">
        <v>48</v>
      </c>
    </row>
    <row r="2112" spans="1:3" ht="15">
      <c r="A2112" s="222">
        <v>19423</v>
      </c>
      <c r="B2112" s="223" t="s">
        <v>47</v>
      </c>
      <c r="C2112" s="222" t="s">
        <v>48</v>
      </c>
    </row>
    <row r="2113" spans="1:3" ht="15">
      <c r="A2113" s="222">
        <v>19424</v>
      </c>
      <c r="B2113" s="223" t="s">
        <v>47</v>
      </c>
      <c r="C2113" s="222" t="s">
        <v>48</v>
      </c>
    </row>
    <row r="2114" spans="1:3" ht="15">
      <c r="A2114" s="222">
        <v>19425</v>
      </c>
      <c r="B2114" s="223" t="s">
        <v>47</v>
      </c>
      <c r="C2114" s="222" t="s">
        <v>48</v>
      </c>
    </row>
    <row r="2115" spans="1:3" ht="15">
      <c r="A2115" s="222">
        <v>19426</v>
      </c>
      <c r="B2115" s="223" t="s">
        <v>47</v>
      </c>
      <c r="C2115" s="222" t="s">
        <v>48</v>
      </c>
    </row>
    <row r="2116" spans="1:3" ht="15">
      <c r="A2116" s="222">
        <v>19428</v>
      </c>
      <c r="B2116" s="223" t="s">
        <v>47</v>
      </c>
      <c r="C2116" s="222" t="s">
        <v>48</v>
      </c>
    </row>
    <row r="2117" spans="1:3" ht="15">
      <c r="A2117" s="222">
        <v>19429</v>
      </c>
      <c r="B2117" s="223" t="s">
        <v>47</v>
      </c>
      <c r="C2117" s="222" t="s">
        <v>48</v>
      </c>
    </row>
    <row r="2118" spans="1:3" ht="15">
      <c r="A2118" s="222">
        <v>19430</v>
      </c>
      <c r="B2118" s="223" t="s">
        <v>47</v>
      </c>
      <c r="C2118" s="222" t="s">
        <v>48</v>
      </c>
    </row>
    <row r="2119" spans="1:3" ht="15">
      <c r="A2119" s="222">
        <v>19432</v>
      </c>
      <c r="B2119" s="223" t="s">
        <v>47</v>
      </c>
      <c r="C2119" s="222" t="s">
        <v>48</v>
      </c>
    </row>
    <row r="2120" spans="1:3" ht="15">
      <c r="A2120" s="222">
        <v>19435</v>
      </c>
      <c r="B2120" s="223" t="s">
        <v>47</v>
      </c>
      <c r="C2120" s="222" t="s">
        <v>48</v>
      </c>
    </row>
    <row r="2121" spans="1:3" ht="15">
      <c r="A2121" s="222">
        <v>19436</v>
      </c>
      <c r="B2121" s="223" t="s">
        <v>47</v>
      </c>
      <c r="C2121" s="222" t="s">
        <v>48</v>
      </c>
    </row>
    <row r="2122" spans="1:3" ht="15">
      <c r="A2122" s="222">
        <v>19437</v>
      </c>
      <c r="B2122" s="223" t="s">
        <v>47</v>
      </c>
      <c r="C2122" s="222" t="s">
        <v>48</v>
      </c>
    </row>
    <row r="2123" spans="1:3" ht="15">
      <c r="A2123" s="222">
        <v>19438</v>
      </c>
      <c r="B2123" s="223" t="s">
        <v>47</v>
      </c>
      <c r="C2123" s="222" t="s">
        <v>48</v>
      </c>
    </row>
    <row r="2124" spans="1:3" ht="15">
      <c r="A2124" s="222">
        <v>19440</v>
      </c>
      <c r="B2124" s="223" t="s">
        <v>47</v>
      </c>
      <c r="C2124" s="222" t="s">
        <v>48</v>
      </c>
    </row>
    <row r="2125" spans="1:3" ht="15">
      <c r="A2125" s="222">
        <v>19441</v>
      </c>
      <c r="B2125" s="223" t="s">
        <v>47</v>
      </c>
      <c r="C2125" s="222" t="s">
        <v>48</v>
      </c>
    </row>
    <row r="2126" spans="1:3" ht="15">
      <c r="A2126" s="222">
        <v>19442</v>
      </c>
      <c r="B2126" s="223" t="s">
        <v>47</v>
      </c>
      <c r="C2126" s="222" t="s">
        <v>48</v>
      </c>
    </row>
    <row r="2127" spans="1:3" ht="15">
      <c r="A2127" s="222">
        <v>19443</v>
      </c>
      <c r="B2127" s="223" t="s">
        <v>47</v>
      </c>
      <c r="C2127" s="222" t="s">
        <v>48</v>
      </c>
    </row>
    <row r="2128" spans="1:3" ht="15">
      <c r="A2128" s="222">
        <v>19444</v>
      </c>
      <c r="B2128" s="223" t="s">
        <v>47</v>
      </c>
      <c r="C2128" s="222" t="s">
        <v>48</v>
      </c>
    </row>
    <row r="2129" spans="1:3" ht="15">
      <c r="A2129" s="222">
        <v>19446</v>
      </c>
      <c r="B2129" s="223" t="s">
        <v>47</v>
      </c>
      <c r="C2129" s="222" t="s">
        <v>48</v>
      </c>
    </row>
    <row r="2130" spans="1:3" ht="15">
      <c r="A2130" s="222">
        <v>19450</v>
      </c>
      <c r="B2130" s="223" t="s">
        <v>47</v>
      </c>
      <c r="C2130" s="222" t="s">
        <v>48</v>
      </c>
    </row>
    <row r="2131" spans="1:3" ht="15">
      <c r="A2131" s="222">
        <v>19451</v>
      </c>
      <c r="B2131" s="223" t="s">
        <v>47</v>
      </c>
      <c r="C2131" s="222" t="s">
        <v>48</v>
      </c>
    </row>
    <row r="2132" spans="1:3" ht="15">
      <c r="A2132" s="222">
        <v>19453</v>
      </c>
      <c r="B2132" s="223" t="s">
        <v>47</v>
      </c>
      <c r="C2132" s="222" t="s">
        <v>48</v>
      </c>
    </row>
    <row r="2133" spans="1:3" ht="15">
      <c r="A2133" s="222">
        <v>19454</v>
      </c>
      <c r="B2133" s="223" t="s">
        <v>47</v>
      </c>
      <c r="C2133" s="222" t="s">
        <v>48</v>
      </c>
    </row>
    <row r="2134" spans="1:3" ht="15">
      <c r="A2134" s="222">
        <v>19455</v>
      </c>
      <c r="B2134" s="223" t="s">
        <v>47</v>
      </c>
      <c r="C2134" s="222" t="s">
        <v>48</v>
      </c>
    </row>
    <row r="2135" spans="1:3" ht="15">
      <c r="A2135" s="222">
        <v>19456</v>
      </c>
      <c r="B2135" s="223" t="s">
        <v>47</v>
      </c>
      <c r="C2135" s="222" t="s">
        <v>48</v>
      </c>
    </row>
    <row r="2136" spans="1:3" ht="15">
      <c r="A2136" s="222">
        <v>19457</v>
      </c>
      <c r="B2136" s="223" t="s">
        <v>47</v>
      </c>
      <c r="C2136" s="222" t="s">
        <v>48</v>
      </c>
    </row>
    <row r="2137" spans="1:3" ht="15">
      <c r="A2137" s="222">
        <v>19460</v>
      </c>
      <c r="B2137" s="223" t="s">
        <v>47</v>
      </c>
      <c r="C2137" s="222" t="s">
        <v>48</v>
      </c>
    </row>
    <row r="2138" spans="1:3" ht="15">
      <c r="A2138" s="222">
        <v>19462</v>
      </c>
      <c r="B2138" s="223" t="s">
        <v>47</v>
      </c>
      <c r="C2138" s="222" t="s">
        <v>48</v>
      </c>
    </row>
    <row r="2139" spans="1:3" ht="15">
      <c r="A2139" s="222">
        <v>19464</v>
      </c>
      <c r="B2139" s="223" t="s">
        <v>47</v>
      </c>
      <c r="C2139" s="222" t="s">
        <v>48</v>
      </c>
    </row>
    <row r="2140" spans="1:3" ht="15">
      <c r="A2140" s="222">
        <v>19465</v>
      </c>
      <c r="B2140" s="223" t="s">
        <v>47</v>
      </c>
      <c r="C2140" s="222" t="s">
        <v>48</v>
      </c>
    </row>
    <row r="2141" spans="1:3" ht="15">
      <c r="A2141" s="222">
        <v>19468</v>
      </c>
      <c r="B2141" s="223" t="s">
        <v>47</v>
      </c>
      <c r="C2141" s="222" t="s">
        <v>48</v>
      </c>
    </row>
    <row r="2142" spans="1:3" ht="15">
      <c r="A2142" s="222">
        <v>19470</v>
      </c>
      <c r="B2142" s="223" t="s">
        <v>47</v>
      </c>
      <c r="C2142" s="222" t="s">
        <v>48</v>
      </c>
    </row>
    <row r="2143" spans="1:3" ht="15">
      <c r="A2143" s="222">
        <v>19472</v>
      </c>
      <c r="B2143" s="223" t="s">
        <v>47</v>
      </c>
      <c r="C2143" s="222" t="s">
        <v>48</v>
      </c>
    </row>
    <row r="2144" spans="1:3" ht="15">
      <c r="A2144" s="222">
        <v>19473</v>
      </c>
      <c r="B2144" s="223" t="s">
        <v>47</v>
      </c>
      <c r="C2144" s="222" t="s">
        <v>48</v>
      </c>
    </row>
    <row r="2145" spans="1:3" ht="15">
      <c r="A2145" s="222">
        <v>19474</v>
      </c>
      <c r="B2145" s="223" t="s">
        <v>47</v>
      </c>
      <c r="C2145" s="222" t="s">
        <v>48</v>
      </c>
    </row>
    <row r="2146" spans="1:3" ht="15">
      <c r="A2146" s="222">
        <v>19475</v>
      </c>
      <c r="B2146" s="223" t="s">
        <v>47</v>
      </c>
      <c r="C2146" s="222" t="s">
        <v>48</v>
      </c>
    </row>
    <row r="2147" spans="1:3" ht="15">
      <c r="A2147" s="222">
        <v>19477</v>
      </c>
      <c r="B2147" s="223" t="s">
        <v>47</v>
      </c>
      <c r="C2147" s="222" t="s">
        <v>48</v>
      </c>
    </row>
    <row r="2148" spans="1:3" ht="15">
      <c r="A2148" s="222">
        <v>19478</v>
      </c>
      <c r="B2148" s="223" t="s">
        <v>47</v>
      </c>
      <c r="C2148" s="222" t="s">
        <v>48</v>
      </c>
    </row>
    <row r="2149" spans="1:3" ht="15">
      <c r="A2149" s="222">
        <v>19480</v>
      </c>
      <c r="B2149" s="223" t="s">
        <v>47</v>
      </c>
      <c r="C2149" s="222" t="s">
        <v>48</v>
      </c>
    </row>
    <row r="2150" spans="1:3" ht="15">
      <c r="A2150" s="222">
        <v>19481</v>
      </c>
      <c r="B2150" s="223" t="s">
        <v>47</v>
      </c>
      <c r="C2150" s="222" t="s">
        <v>48</v>
      </c>
    </row>
    <row r="2151" spans="1:3" ht="15">
      <c r="A2151" s="222">
        <v>19482</v>
      </c>
      <c r="B2151" s="223" t="s">
        <v>47</v>
      </c>
      <c r="C2151" s="222" t="s">
        <v>48</v>
      </c>
    </row>
    <row r="2152" spans="1:3" ht="15">
      <c r="A2152" s="222">
        <v>19483</v>
      </c>
      <c r="B2152" s="223" t="s">
        <v>47</v>
      </c>
      <c r="C2152" s="222" t="s">
        <v>48</v>
      </c>
    </row>
    <row r="2153" spans="1:3" ht="15">
      <c r="A2153" s="222">
        <v>19484</v>
      </c>
      <c r="B2153" s="223" t="s">
        <v>47</v>
      </c>
      <c r="C2153" s="222" t="s">
        <v>48</v>
      </c>
    </row>
    <row r="2154" spans="1:3" ht="15">
      <c r="A2154" s="222">
        <v>19485</v>
      </c>
      <c r="B2154" s="223" t="s">
        <v>47</v>
      </c>
      <c r="C2154" s="222" t="s">
        <v>48</v>
      </c>
    </row>
    <row r="2155" spans="1:3" ht="15">
      <c r="A2155" s="222">
        <v>19486</v>
      </c>
      <c r="B2155" s="223" t="s">
        <v>47</v>
      </c>
      <c r="C2155" s="222" t="s">
        <v>48</v>
      </c>
    </row>
    <row r="2156" spans="1:3" ht="15">
      <c r="A2156" s="222">
        <v>19487</v>
      </c>
      <c r="B2156" s="223" t="s">
        <v>47</v>
      </c>
      <c r="C2156" s="222" t="s">
        <v>48</v>
      </c>
    </row>
    <row r="2157" spans="1:3" ht="15">
      <c r="A2157" s="222">
        <v>19488</v>
      </c>
      <c r="B2157" s="223" t="s">
        <v>47</v>
      </c>
      <c r="C2157" s="222" t="s">
        <v>48</v>
      </c>
    </row>
    <row r="2158" spans="1:3" ht="15">
      <c r="A2158" s="222">
        <v>19489</v>
      </c>
      <c r="B2158" s="223" t="s">
        <v>47</v>
      </c>
      <c r="C2158" s="222" t="s">
        <v>48</v>
      </c>
    </row>
    <row r="2159" spans="1:3" ht="15">
      <c r="A2159" s="222">
        <v>19490</v>
      </c>
      <c r="B2159" s="223" t="s">
        <v>47</v>
      </c>
      <c r="C2159" s="222" t="s">
        <v>48</v>
      </c>
    </row>
    <row r="2160" spans="1:3" ht="15">
      <c r="A2160" s="222">
        <v>19492</v>
      </c>
      <c r="B2160" s="223" t="s">
        <v>47</v>
      </c>
      <c r="C2160" s="222" t="s">
        <v>48</v>
      </c>
    </row>
    <row r="2161" spans="1:3" ht="15">
      <c r="A2161" s="222">
        <v>19493</v>
      </c>
      <c r="B2161" s="223" t="s">
        <v>47</v>
      </c>
      <c r="C2161" s="222" t="s">
        <v>48</v>
      </c>
    </row>
    <row r="2162" spans="1:3" ht="15">
      <c r="A2162" s="222">
        <v>19494</v>
      </c>
      <c r="B2162" s="223" t="s">
        <v>47</v>
      </c>
      <c r="C2162" s="222" t="s">
        <v>48</v>
      </c>
    </row>
    <row r="2163" spans="1:3" ht="15">
      <c r="A2163" s="222">
        <v>19495</v>
      </c>
      <c r="B2163" s="223" t="s">
        <v>47</v>
      </c>
      <c r="C2163" s="222" t="s">
        <v>48</v>
      </c>
    </row>
    <row r="2164" spans="1:3" ht="15">
      <c r="A2164" s="222">
        <v>19496</v>
      </c>
      <c r="B2164" s="223" t="s">
        <v>47</v>
      </c>
      <c r="C2164" s="222" t="s">
        <v>48</v>
      </c>
    </row>
    <row r="2165" spans="1:3" ht="15">
      <c r="A2165" s="222">
        <v>19501</v>
      </c>
      <c r="B2165" s="223" t="s">
        <v>47</v>
      </c>
      <c r="C2165" s="222" t="s">
        <v>48</v>
      </c>
    </row>
    <row r="2166" spans="1:3" ht="15">
      <c r="A2166" s="222">
        <v>19503</v>
      </c>
      <c r="B2166" s="223" t="s">
        <v>47</v>
      </c>
      <c r="C2166" s="222" t="s">
        <v>48</v>
      </c>
    </row>
    <row r="2167" spans="1:3" ht="15">
      <c r="A2167" s="222">
        <v>19504</v>
      </c>
      <c r="B2167" s="223" t="s">
        <v>47</v>
      </c>
      <c r="C2167" s="222" t="s">
        <v>48</v>
      </c>
    </row>
    <row r="2168" spans="1:3" ht="15">
      <c r="A2168" s="222">
        <v>19505</v>
      </c>
      <c r="B2168" s="223" t="s">
        <v>47</v>
      </c>
      <c r="C2168" s="222" t="s">
        <v>48</v>
      </c>
    </row>
    <row r="2169" spans="1:3" ht="15">
      <c r="A2169" s="222">
        <v>19506</v>
      </c>
      <c r="B2169" s="223" t="s">
        <v>47</v>
      </c>
      <c r="C2169" s="222" t="s">
        <v>48</v>
      </c>
    </row>
    <row r="2170" spans="1:3" ht="15">
      <c r="A2170" s="222">
        <v>19507</v>
      </c>
      <c r="B2170" s="223" t="s">
        <v>47</v>
      </c>
      <c r="C2170" s="222" t="s">
        <v>48</v>
      </c>
    </row>
    <row r="2171" spans="1:3" ht="15">
      <c r="A2171" s="222">
        <v>19508</v>
      </c>
      <c r="B2171" s="223" t="s">
        <v>47</v>
      </c>
      <c r="C2171" s="222" t="s">
        <v>48</v>
      </c>
    </row>
    <row r="2172" spans="1:3" ht="15">
      <c r="A2172" s="222">
        <v>19510</v>
      </c>
      <c r="B2172" s="223" t="s">
        <v>47</v>
      </c>
      <c r="C2172" s="222" t="s">
        <v>48</v>
      </c>
    </row>
    <row r="2173" spans="1:3" ht="15">
      <c r="A2173" s="222">
        <v>19511</v>
      </c>
      <c r="B2173" s="223" t="s">
        <v>47</v>
      </c>
      <c r="C2173" s="222" t="s">
        <v>48</v>
      </c>
    </row>
    <row r="2174" spans="1:3" ht="15">
      <c r="A2174" s="222">
        <v>19512</v>
      </c>
      <c r="B2174" s="223" t="s">
        <v>47</v>
      </c>
      <c r="C2174" s="222" t="s">
        <v>48</v>
      </c>
    </row>
    <row r="2175" spans="1:3" ht="15">
      <c r="A2175" s="222">
        <v>19516</v>
      </c>
      <c r="B2175" s="223" t="s">
        <v>47</v>
      </c>
      <c r="C2175" s="222" t="s">
        <v>48</v>
      </c>
    </row>
    <row r="2176" spans="1:3" ht="15">
      <c r="A2176" s="222">
        <v>19518</v>
      </c>
      <c r="B2176" s="223" t="s">
        <v>47</v>
      </c>
      <c r="C2176" s="222" t="s">
        <v>48</v>
      </c>
    </row>
    <row r="2177" spans="1:3" ht="15">
      <c r="A2177" s="222">
        <v>19519</v>
      </c>
      <c r="B2177" s="223" t="s">
        <v>47</v>
      </c>
      <c r="C2177" s="222" t="s">
        <v>48</v>
      </c>
    </row>
    <row r="2178" spans="1:3" ht="15">
      <c r="A2178" s="222">
        <v>19520</v>
      </c>
      <c r="B2178" s="223" t="s">
        <v>47</v>
      </c>
      <c r="C2178" s="222" t="s">
        <v>48</v>
      </c>
    </row>
    <row r="2179" spans="1:3" ht="15">
      <c r="A2179" s="222">
        <v>19522</v>
      </c>
      <c r="B2179" s="223" t="s">
        <v>47</v>
      </c>
      <c r="C2179" s="222" t="s">
        <v>48</v>
      </c>
    </row>
    <row r="2180" spans="1:3" ht="15">
      <c r="A2180" s="222">
        <v>19523</v>
      </c>
      <c r="B2180" s="223" t="s">
        <v>47</v>
      </c>
      <c r="C2180" s="222" t="s">
        <v>48</v>
      </c>
    </row>
    <row r="2181" spans="1:3" ht="15">
      <c r="A2181" s="222">
        <v>19525</v>
      </c>
      <c r="B2181" s="223" t="s">
        <v>47</v>
      </c>
      <c r="C2181" s="222" t="s">
        <v>48</v>
      </c>
    </row>
    <row r="2182" spans="1:3" ht="15">
      <c r="A2182" s="222">
        <v>19526</v>
      </c>
      <c r="B2182" s="223" t="s">
        <v>47</v>
      </c>
      <c r="C2182" s="222" t="s">
        <v>48</v>
      </c>
    </row>
    <row r="2183" spans="1:3" ht="15">
      <c r="A2183" s="222">
        <v>19529</v>
      </c>
      <c r="B2183" s="223" t="s">
        <v>47</v>
      </c>
      <c r="C2183" s="222" t="s">
        <v>48</v>
      </c>
    </row>
    <row r="2184" spans="1:3" ht="15">
      <c r="A2184" s="222">
        <v>19530</v>
      </c>
      <c r="B2184" s="223" t="s">
        <v>47</v>
      </c>
      <c r="C2184" s="222" t="s">
        <v>48</v>
      </c>
    </row>
    <row r="2185" spans="1:3" ht="15">
      <c r="A2185" s="222">
        <v>19533</v>
      </c>
      <c r="B2185" s="223" t="s">
        <v>47</v>
      </c>
      <c r="C2185" s="222" t="s">
        <v>48</v>
      </c>
    </row>
    <row r="2186" spans="1:3" ht="15">
      <c r="A2186" s="222">
        <v>19534</v>
      </c>
      <c r="B2186" s="223" t="s">
        <v>47</v>
      </c>
      <c r="C2186" s="222" t="s">
        <v>48</v>
      </c>
    </row>
    <row r="2187" spans="1:3" ht="15">
      <c r="A2187" s="222">
        <v>19535</v>
      </c>
      <c r="B2187" s="223" t="s">
        <v>47</v>
      </c>
      <c r="C2187" s="222" t="s">
        <v>48</v>
      </c>
    </row>
    <row r="2188" spans="1:3" ht="15">
      <c r="A2188" s="222">
        <v>19536</v>
      </c>
      <c r="B2188" s="223" t="s">
        <v>47</v>
      </c>
      <c r="C2188" s="222" t="s">
        <v>48</v>
      </c>
    </row>
    <row r="2189" spans="1:3" ht="15">
      <c r="A2189" s="222">
        <v>19538</v>
      </c>
      <c r="B2189" s="223" t="s">
        <v>47</v>
      </c>
      <c r="C2189" s="222" t="s">
        <v>48</v>
      </c>
    </row>
    <row r="2190" spans="1:3" ht="15">
      <c r="A2190" s="222">
        <v>19539</v>
      </c>
      <c r="B2190" s="223" t="s">
        <v>47</v>
      </c>
      <c r="C2190" s="222" t="s">
        <v>48</v>
      </c>
    </row>
    <row r="2191" spans="1:3" ht="15">
      <c r="A2191" s="222">
        <v>19540</v>
      </c>
      <c r="B2191" s="223" t="s">
        <v>47</v>
      </c>
      <c r="C2191" s="222" t="s">
        <v>48</v>
      </c>
    </row>
    <row r="2192" spans="1:3" ht="15">
      <c r="A2192" s="222">
        <v>19541</v>
      </c>
      <c r="B2192" s="223" t="s">
        <v>47</v>
      </c>
      <c r="C2192" s="222" t="s">
        <v>48</v>
      </c>
    </row>
    <row r="2193" spans="1:3" ht="15">
      <c r="A2193" s="222">
        <v>19542</v>
      </c>
      <c r="B2193" s="223" t="s">
        <v>47</v>
      </c>
      <c r="C2193" s="222" t="s">
        <v>48</v>
      </c>
    </row>
    <row r="2194" spans="1:3" ht="15">
      <c r="A2194" s="222">
        <v>19543</v>
      </c>
      <c r="B2194" s="223" t="s">
        <v>47</v>
      </c>
      <c r="C2194" s="222" t="s">
        <v>48</v>
      </c>
    </row>
    <row r="2195" spans="1:3" ht="15">
      <c r="A2195" s="222">
        <v>19544</v>
      </c>
      <c r="B2195" s="223" t="s">
        <v>47</v>
      </c>
      <c r="C2195" s="222" t="s">
        <v>48</v>
      </c>
    </row>
    <row r="2196" spans="1:3" ht="15">
      <c r="A2196" s="222">
        <v>19545</v>
      </c>
      <c r="B2196" s="223" t="s">
        <v>47</v>
      </c>
      <c r="C2196" s="222" t="s">
        <v>48</v>
      </c>
    </row>
    <row r="2197" spans="1:3" ht="15">
      <c r="A2197" s="222">
        <v>19547</v>
      </c>
      <c r="B2197" s="223" t="s">
        <v>47</v>
      </c>
      <c r="C2197" s="222" t="s">
        <v>48</v>
      </c>
    </row>
    <row r="2198" spans="1:3" ht="15">
      <c r="A2198" s="222">
        <v>19548</v>
      </c>
      <c r="B2198" s="223" t="s">
        <v>47</v>
      </c>
      <c r="C2198" s="222" t="s">
        <v>48</v>
      </c>
    </row>
    <row r="2199" spans="1:3" ht="15">
      <c r="A2199" s="222">
        <v>19549</v>
      </c>
      <c r="B2199" s="223" t="s">
        <v>49</v>
      </c>
      <c r="C2199" s="222" t="s">
        <v>50</v>
      </c>
    </row>
    <row r="2200" spans="1:3" ht="15">
      <c r="A2200" s="222">
        <v>19550</v>
      </c>
      <c r="B2200" s="223" t="s">
        <v>47</v>
      </c>
      <c r="C2200" s="222" t="s">
        <v>48</v>
      </c>
    </row>
    <row r="2201" spans="1:3" ht="15">
      <c r="A2201" s="222">
        <v>19551</v>
      </c>
      <c r="B2201" s="223" t="s">
        <v>47</v>
      </c>
      <c r="C2201" s="222" t="s">
        <v>48</v>
      </c>
    </row>
    <row r="2202" spans="1:3" ht="15">
      <c r="A2202" s="222">
        <v>19554</v>
      </c>
      <c r="B2202" s="223" t="s">
        <v>47</v>
      </c>
      <c r="C2202" s="222" t="s">
        <v>48</v>
      </c>
    </row>
    <row r="2203" spans="1:3" ht="15">
      <c r="A2203" s="222">
        <v>19555</v>
      </c>
      <c r="B2203" s="223" t="s">
        <v>47</v>
      </c>
      <c r="C2203" s="222" t="s">
        <v>48</v>
      </c>
    </row>
    <row r="2204" spans="1:3" ht="15">
      <c r="A2204" s="222">
        <v>19557</v>
      </c>
      <c r="B2204" s="223" t="s">
        <v>47</v>
      </c>
      <c r="C2204" s="222" t="s">
        <v>48</v>
      </c>
    </row>
    <row r="2205" spans="1:3" ht="15">
      <c r="A2205" s="222">
        <v>19559</v>
      </c>
      <c r="B2205" s="223" t="s">
        <v>47</v>
      </c>
      <c r="C2205" s="222" t="s">
        <v>48</v>
      </c>
    </row>
    <row r="2206" spans="1:3" ht="15">
      <c r="A2206" s="222">
        <v>19560</v>
      </c>
      <c r="B2206" s="223" t="s">
        <v>47</v>
      </c>
      <c r="C2206" s="222" t="s">
        <v>48</v>
      </c>
    </row>
    <row r="2207" spans="1:3" ht="15">
      <c r="A2207" s="222">
        <v>19562</v>
      </c>
      <c r="B2207" s="223" t="s">
        <v>47</v>
      </c>
      <c r="C2207" s="222" t="s">
        <v>48</v>
      </c>
    </row>
    <row r="2208" spans="1:3" ht="15">
      <c r="A2208" s="222">
        <v>19564</v>
      </c>
      <c r="B2208" s="223" t="s">
        <v>47</v>
      </c>
      <c r="C2208" s="222" t="s">
        <v>48</v>
      </c>
    </row>
    <row r="2209" spans="1:3" ht="15">
      <c r="A2209" s="222">
        <v>19565</v>
      </c>
      <c r="B2209" s="223" t="s">
        <v>47</v>
      </c>
      <c r="C2209" s="222" t="s">
        <v>48</v>
      </c>
    </row>
    <row r="2210" spans="1:3" ht="15">
      <c r="A2210" s="222">
        <v>19567</v>
      </c>
      <c r="B2210" s="223" t="s">
        <v>47</v>
      </c>
      <c r="C2210" s="222" t="s">
        <v>48</v>
      </c>
    </row>
    <row r="2211" spans="1:3" ht="15">
      <c r="A2211" s="222">
        <v>19601</v>
      </c>
      <c r="B2211" s="223" t="s">
        <v>47</v>
      </c>
      <c r="C2211" s="222" t="s">
        <v>48</v>
      </c>
    </row>
    <row r="2212" spans="1:3" ht="15">
      <c r="A2212" s="222">
        <v>19602</v>
      </c>
      <c r="B2212" s="223" t="s">
        <v>47</v>
      </c>
      <c r="C2212" s="222" t="s">
        <v>48</v>
      </c>
    </row>
    <row r="2213" spans="1:3" ht="15">
      <c r="A2213" s="222">
        <v>19603</v>
      </c>
      <c r="B2213" s="223" t="s">
        <v>47</v>
      </c>
      <c r="C2213" s="222" t="s">
        <v>48</v>
      </c>
    </row>
    <row r="2214" spans="1:3" ht="15">
      <c r="A2214" s="222">
        <v>19604</v>
      </c>
      <c r="B2214" s="223" t="s">
        <v>47</v>
      </c>
      <c r="C2214" s="222" t="s">
        <v>48</v>
      </c>
    </row>
    <row r="2215" spans="1:3" ht="15">
      <c r="A2215" s="222">
        <v>19605</v>
      </c>
      <c r="B2215" s="223" t="s">
        <v>47</v>
      </c>
      <c r="C2215" s="222" t="s">
        <v>48</v>
      </c>
    </row>
    <row r="2216" spans="1:3" ht="15">
      <c r="A2216" s="222">
        <v>19606</v>
      </c>
      <c r="B2216" s="223" t="s">
        <v>47</v>
      </c>
      <c r="C2216" s="222" t="s">
        <v>48</v>
      </c>
    </row>
    <row r="2217" spans="1:3" ht="15">
      <c r="A2217" s="222">
        <v>19607</v>
      </c>
      <c r="B2217" s="223" t="s">
        <v>47</v>
      </c>
      <c r="C2217" s="222" t="s">
        <v>48</v>
      </c>
    </row>
    <row r="2218" spans="1:3" ht="15">
      <c r="A2218" s="222">
        <v>19608</v>
      </c>
      <c r="B2218" s="223" t="s">
        <v>47</v>
      </c>
      <c r="C2218" s="222" t="s">
        <v>48</v>
      </c>
    </row>
    <row r="2219" spans="1:3" ht="15">
      <c r="A2219" s="222">
        <v>19609</v>
      </c>
      <c r="B2219" s="223" t="s">
        <v>47</v>
      </c>
      <c r="C2219" s="222" t="s">
        <v>48</v>
      </c>
    </row>
    <row r="2220" spans="1:3" ht="15">
      <c r="A2220" s="222">
        <v>19610</v>
      </c>
      <c r="B2220" s="223" t="s">
        <v>47</v>
      </c>
      <c r="C2220" s="222" t="s">
        <v>48</v>
      </c>
    </row>
    <row r="2221" spans="1:3" ht="15">
      <c r="A2221" s="222">
        <v>19611</v>
      </c>
      <c r="B2221" s="223" t="s">
        <v>47</v>
      </c>
      <c r="C2221" s="222" t="s">
        <v>48</v>
      </c>
    </row>
    <row r="2222" spans="1:3" ht="15">
      <c r="A2222" s="222">
        <v>19612</v>
      </c>
      <c r="B2222" s="223" t="s">
        <v>47</v>
      </c>
      <c r="C2222" s="222" t="s">
        <v>48</v>
      </c>
    </row>
    <row r="2223" spans="1:3" ht="15">
      <c r="A2223" s="222">
        <v>19640</v>
      </c>
      <c r="B2223" s="223" t="s">
        <v>47</v>
      </c>
      <c r="C2223" s="222" t="s">
        <v>48</v>
      </c>
    </row>
  </sheetData>
  <autoFilter ref="A1:C2223" xr:uid="{83FC531C-B108-46B7-AF7B-A812D56F47C5}"/>
  <pageMargins left="0.7" right="0.7" top="0.75" bottom="0.75" header="0.3" footer="0.3"/>
  <pageSetup orientation="portrait" horizontalDpi="300" verticalDpi="300" r:id="rId1"/>
  <headerFooter>
    <oddFooter>&amp;L&amp;1#&amp;"Arial"&amp;10&amp;K000000[confidential]</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1489"/>
  </sheetPr>
  <dimension ref="A1:J62"/>
  <sheetViews>
    <sheetView zoomScaleNormal="100" workbookViewId="0">
      <selection activeCell="A44" sqref="A44"/>
    </sheetView>
  </sheetViews>
  <sheetFormatPr defaultColWidth="0" defaultRowHeight="14.25" zeroHeight="1"/>
  <cols>
    <col min="1" max="1" width="35.125" style="1" customWidth="1"/>
    <col min="2" max="2" width="35.625" style="1" customWidth="1"/>
    <col min="3" max="3" width="57.625" style="1" customWidth="1"/>
    <col min="4" max="4" width="8.625" style="1" hidden="1" customWidth="1"/>
    <col min="5" max="5" width="17.625" style="1" hidden="1" customWidth="1"/>
    <col min="6" max="6" width="11.375" style="1" hidden="1" customWidth="1"/>
    <col min="7" max="7" width="9.375" style="1" hidden="1" customWidth="1"/>
    <col min="8" max="9" width="8.625" style="1" hidden="1" customWidth="1"/>
    <col min="10" max="10" width="17.125" style="1" hidden="1" customWidth="1"/>
    <col min="11" max="16384" width="8.625" style="1" hidden="1"/>
  </cols>
  <sheetData>
    <row r="1" spans="1:7" s="101" customFormat="1" ht="74.25" customHeight="1">
      <c r="A1" s="803"/>
      <c r="B1" s="803"/>
      <c r="C1" s="803"/>
    </row>
    <row r="2" spans="1:7" ht="23.25">
      <c r="A2" s="102" t="s">
        <v>53</v>
      </c>
    </row>
    <row r="3" spans="1:7" s="105" customFormat="1">
      <c r="A3" s="803"/>
      <c r="B3" s="803"/>
      <c r="C3" s="803"/>
      <c r="D3" s="104"/>
      <c r="E3" s="104"/>
      <c r="F3" s="104"/>
      <c r="G3" s="104"/>
    </row>
    <row r="4" spans="1:7" ht="96" customHeight="1">
      <c r="A4" s="817" t="s">
        <v>54</v>
      </c>
      <c r="B4" s="817"/>
      <c r="C4" s="817"/>
    </row>
    <row r="5" spans="1:7" ht="20.25">
      <c r="A5" s="103" t="s">
        <v>55</v>
      </c>
      <c r="B5" s="74"/>
      <c r="C5" s="4"/>
    </row>
    <row r="6" spans="1:7">
      <c r="A6" s="815" t="s">
        <v>56</v>
      </c>
      <c r="B6" s="815"/>
      <c r="C6" s="5"/>
    </row>
    <row r="7" spans="1:7">
      <c r="A7" s="818" t="s">
        <v>57</v>
      </c>
      <c r="B7" s="818"/>
      <c r="C7" s="5"/>
    </row>
    <row r="8" spans="1:7" ht="15">
      <c r="A8" s="3"/>
      <c r="B8" s="3"/>
      <c r="C8" s="3"/>
    </row>
    <row r="9" spans="1:7" ht="20.25">
      <c r="A9" s="103" t="s">
        <v>58</v>
      </c>
      <c r="B9" s="75"/>
      <c r="C9" s="3"/>
    </row>
    <row r="10" spans="1:7" s="72" customFormat="1" ht="18" hidden="1">
      <c r="A10" s="76" t="s">
        <v>59</v>
      </c>
      <c r="B10" s="70"/>
      <c r="C10" s="71"/>
    </row>
    <row r="11" spans="1:7" hidden="1">
      <c r="A11" s="816" t="s">
        <v>60</v>
      </c>
      <c r="B11" s="816"/>
      <c r="C11" s="816"/>
    </row>
    <row r="13" spans="1:7" s="72" customFormat="1" ht="18">
      <c r="A13" s="76" t="s">
        <v>61</v>
      </c>
      <c r="B13" s="70"/>
      <c r="C13" s="71"/>
    </row>
    <row r="14" spans="1:7">
      <c r="A14" s="816" t="s">
        <v>62</v>
      </c>
      <c r="B14" s="816"/>
      <c r="C14" s="816"/>
    </row>
    <row r="15" spans="1:7">
      <c r="A15" s="62"/>
      <c r="B15" s="62"/>
      <c r="C15" s="62"/>
    </row>
    <row r="16" spans="1:7" s="72" customFormat="1" ht="18">
      <c r="A16" s="76" t="s">
        <v>63</v>
      </c>
      <c r="B16" s="70"/>
      <c r="C16" s="71"/>
    </row>
    <row r="17" spans="1:3">
      <c r="A17" s="816" t="s">
        <v>64</v>
      </c>
      <c r="B17" s="816"/>
      <c r="C17" s="816"/>
    </row>
    <row r="18" spans="1:3">
      <c r="A18" s="62"/>
      <c r="B18" s="62"/>
      <c r="C18" s="62"/>
    </row>
    <row r="19" spans="1:3" ht="15" hidden="1">
      <c r="A19" s="76" t="s">
        <v>65</v>
      </c>
      <c r="B19" s="2"/>
      <c r="C19" s="62"/>
    </row>
    <row r="20" spans="1:3" hidden="1">
      <c r="A20" s="816" t="s">
        <v>66</v>
      </c>
      <c r="B20" s="816"/>
      <c r="C20" s="816"/>
    </row>
    <row r="21" spans="1:3" hidden="1">
      <c r="A21" s="62"/>
      <c r="B21" s="62"/>
      <c r="C21" s="62"/>
    </row>
    <row r="22" spans="1:3" ht="15" hidden="1">
      <c r="A22" s="76" t="s">
        <v>67</v>
      </c>
      <c r="B22" s="2"/>
      <c r="C22" s="62"/>
    </row>
    <row r="23" spans="1:3" hidden="1">
      <c r="A23" s="816" t="s">
        <v>68</v>
      </c>
      <c r="B23" s="816"/>
      <c r="C23" s="816"/>
    </row>
    <row r="24" spans="1:3" ht="15" hidden="1">
      <c r="A24" s="3"/>
      <c r="B24" s="3"/>
      <c r="C24" s="3"/>
    </row>
    <row r="25" spans="1:3" ht="20.25">
      <c r="A25" s="103" t="s">
        <v>69</v>
      </c>
      <c r="B25" s="75"/>
      <c r="C25" s="3"/>
    </row>
    <row r="26" spans="1:3" hidden="1">
      <c r="A26" s="225"/>
      <c r="B26" s="812"/>
      <c r="C26" s="812"/>
    </row>
    <row r="27" spans="1:3">
      <c r="A27" s="225" t="s">
        <v>70</v>
      </c>
      <c r="B27" s="813" t="s">
        <v>71</v>
      </c>
      <c r="C27" s="814"/>
    </row>
    <row r="28" spans="1:3">
      <c r="A28" s="225" t="s">
        <v>72</v>
      </c>
      <c r="B28" s="812" t="s">
        <v>73</v>
      </c>
      <c r="C28" s="812"/>
    </row>
    <row r="29" spans="1:3" hidden="1">
      <c r="A29" s="225" t="s">
        <v>74</v>
      </c>
      <c r="B29" s="813" t="s">
        <v>75</v>
      </c>
      <c r="C29" s="814"/>
    </row>
    <row r="30" spans="1:3">
      <c r="A30" s="225" t="s">
        <v>76</v>
      </c>
      <c r="B30" s="813" t="s">
        <v>77</v>
      </c>
      <c r="C30" s="814"/>
    </row>
    <row r="31" spans="1:3">
      <c r="A31" s="225" t="s">
        <v>78</v>
      </c>
      <c r="B31" s="813" t="s">
        <v>79</v>
      </c>
      <c r="C31" s="814"/>
    </row>
    <row r="32" spans="1:3">
      <c r="A32" s="225" t="s">
        <v>80</v>
      </c>
      <c r="B32" s="813" t="s">
        <v>81</v>
      </c>
      <c r="C32" s="814"/>
    </row>
    <row r="33" spans="1:3">
      <c r="A33" s="225" t="s">
        <v>82</v>
      </c>
      <c r="B33" s="813" t="s">
        <v>83</v>
      </c>
      <c r="C33" s="814"/>
    </row>
    <row r="34" spans="1:3">
      <c r="A34" s="225" t="s">
        <v>84</v>
      </c>
      <c r="B34" s="813" t="s">
        <v>85</v>
      </c>
      <c r="C34" s="814"/>
    </row>
    <row r="35" spans="1:3" hidden="1">
      <c r="A35" s="225" t="s">
        <v>86</v>
      </c>
      <c r="B35" s="813" t="s">
        <v>87</v>
      </c>
      <c r="C35" s="814"/>
    </row>
    <row r="36" spans="1:3" hidden="1">
      <c r="A36" s="225" t="s">
        <v>88</v>
      </c>
      <c r="B36" s="813" t="s">
        <v>89</v>
      </c>
      <c r="C36" s="814"/>
    </row>
    <row r="37" spans="1:3" hidden="1">
      <c r="A37" s="225" t="s">
        <v>90</v>
      </c>
      <c r="B37" s="813" t="s">
        <v>91</v>
      </c>
      <c r="C37" s="814"/>
    </row>
    <row r="38" spans="1:3">
      <c r="A38" s="225" t="s">
        <v>92</v>
      </c>
      <c r="B38" s="813" t="s">
        <v>93</v>
      </c>
      <c r="C38" s="814"/>
    </row>
    <row r="39" spans="1:3">
      <c r="A39" s="225" t="s">
        <v>94</v>
      </c>
      <c r="B39" s="813" t="s">
        <v>95</v>
      </c>
      <c r="C39" s="814"/>
    </row>
    <row r="40" spans="1:3" hidden="1">
      <c r="A40" s="225" t="s">
        <v>96</v>
      </c>
      <c r="B40" s="813" t="s">
        <v>97</v>
      </c>
      <c r="C40" s="814"/>
    </row>
    <row r="41" spans="1:3" hidden="1">
      <c r="A41" s="225" t="s">
        <v>98</v>
      </c>
      <c r="B41" s="813" t="s">
        <v>99</v>
      </c>
      <c r="C41" s="814"/>
    </row>
    <row r="42" spans="1:3" hidden="1">
      <c r="A42" s="225" t="s">
        <v>100</v>
      </c>
      <c r="B42" s="813" t="s">
        <v>101</v>
      </c>
      <c r="C42" s="814"/>
    </row>
    <row r="43" spans="1:3">
      <c r="A43" s="225" t="s">
        <v>102</v>
      </c>
      <c r="B43" s="813" t="s">
        <v>103</v>
      </c>
      <c r="C43" s="814"/>
    </row>
    <row r="44" spans="1:3">
      <c r="A44" s="225" t="s">
        <v>104</v>
      </c>
      <c r="B44" s="813" t="s">
        <v>105</v>
      </c>
      <c r="C44" s="814"/>
    </row>
    <row r="45" spans="1:3">
      <c r="A45" s="225" t="s">
        <v>106</v>
      </c>
      <c r="B45" s="813" t="s">
        <v>107</v>
      </c>
      <c r="C45" s="814"/>
    </row>
    <row r="46" spans="1:3" hidden="1">
      <c r="A46" s="225" t="s">
        <v>108</v>
      </c>
      <c r="B46" s="813" t="s">
        <v>109</v>
      </c>
      <c r="C46" s="814"/>
    </row>
    <row r="47" spans="1:3">
      <c r="A47" s="225" t="s">
        <v>110</v>
      </c>
      <c r="B47" s="813" t="s">
        <v>111</v>
      </c>
      <c r="C47" s="814"/>
    </row>
    <row r="48" spans="1:3">
      <c r="A48" s="225" t="s">
        <v>112</v>
      </c>
      <c r="B48" s="813" t="s">
        <v>113</v>
      </c>
      <c r="C48" s="814"/>
    </row>
    <row r="49" spans="1:3">
      <c r="A49" s="225" t="s">
        <v>114</v>
      </c>
      <c r="B49" s="813" t="s">
        <v>115</v>
      </c>
      <c r="C49" s="814"/>
    </row>
    <row r="50" spans="1:3">
      <c r="A50" s="225" t="s">
        <v>116</v>
      </c>
      <c r="B50" s="813" t="s">
        <v>117</v>
      </c>
      <c r="C50" s="814"/>
    </row>
    <row r="51" spans="1:3">
      <c r="A51" s="225" t="s">
        <v>118</v>
      </c>
      <c r="B51" s="812" t="s">
        <v>119</v>
      </c>
      <c r="C51" s="812"/>
    </row>
    <row r="52" spans="1:3" ht="15">
      <c r="A52" s="3"/>
      <c r="B52" s="3"/>
      <c r="C52" s="3"/>
    </row>
    <row r="53" spans="1:3" ht="20.25">
      <c r="A53" s="103" t="s">
        <v>120</v>
      </c>
      <c r="B53" s="75"/>
      <c r="C53" s="3"/>
    </row>
    <row r="54" spans="1:3">
      <c r="A54" s="226" t="s">
        <v>121</v>
      </c>
      <c r="B54" s="811" t="s">
        <v>122</v>
      </c>
      <c r="C54" s="811" t="s">
        <v>123</v>
      </c>
    </row>
    <row r="55" spans="1:3">
      <c r="A55" s="226" t="s">
        <v>123</v>
      </c>
      <c r="B55" s="811" t="s">
        <v>124</v>
      </c>
      <c r="C55" s="811" t="s">
        <v>125</v>
      </c>
    </row>
    <row r="56" spans="1:3">
      <c r="A56" s="226" t="s">
        <v>126</v>
      </c>
      <c r="B56" s="811" t="s">
        <v>127</v>
      </c>
      <c r="C56" s="811" t="s">
        <v>123</v>
      </c>
    </row>
    <row r="57" spans="1:3"/>
    <row r="58" spans="1:3"/>
    <row r="59" spans="1:3"/>
    <row r="60" spans="1:3"/>
    <row r="61" spans="1:3"/>
    <row r="62" spans="1:3"/>
  </sheetData>
  <sheetProtection algorithmName="SHA-512" hashValue="xyJoeWimxZx+AgwBZIBdoa7L9ocl9zEFWG582vtA12MJIHm/9v9zHnF4cXWnsMzIuk1hWpb0dKO462h/Sqg/XA==" saltValue="TRzbzKI0SlyWVTwSlv3jYw==" spinCount="100000" sheet="1" objects="1" scenarios="1"/>
  <mergeCells count="39">
    <mergeCell ref="A1:C1"/>
    <mergeCell ref="A3:C3"/>
    <mergeCell ref="A6:B6"/>
    <mergeCell ref="B48:C48"/>
    <mergeCell ref="B49:C49"/>
    <mergeCell ref="A11:C11"/>
    <mergeCell ref="B27:C27"/>
    <mergeCell ref="B29:C29"/>
    <mergeCell ref="B26:C26"/>
    <mergeCell ref="B28:C28"/>
    <mergeCell ref="A14:C14"/>
    <mergeCell ref="A4:C4"/>
    <mergeCell ref="A23:C23"/>
    <mergeCell ref="A17:C17"/>
    <mergeCell ref="A20:C20"/>
    <mergeCell ref="A7:B7"/>
    <mergeCell ref="B50:C50"/>
    <mergeCell ref="B38:C38"/>
    <mergeCell ref="B43:C43"/>
    <mergeCell ref="B44:C44"/>
    <mergeCell ref="B45:C45"/>
    <mergeCell ref="B46:C46"/>
    <mergeCell ref="B47:C47"/>
    <mergeCell ref="B54:C54"/>
    <mergeCell ref="B55:C55"/>
    <mergeCell ref="B56:C56"/>
    <mergeCell ref="B51:C51"/>
    <mergeCell ref="B30:C30"/>
    <mergeCell ref="B31:C31"/>
    <mergeCell ref="B39:C39"/>
    <mergeCell ref="B40:C40"/>
    <mergeCell ref="B41:C41"/>
    <mergeCell ref="B42:C42"/>
    <mergeCell ref="B32:C32"/>
    <mergeCell ref="B33:C33"/>
    <mergeCell ref="B35:C35"/>
    <mergeCell ref="B36:C36"/>
    <mergeCell ref="B34:C34"/>
    <mergeCell ref="B37:C37"/>
  </mergeCell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0F8B1392-1089-41A8-980F-2937BD80E84B}">
            <xm:f>'Utility Admin'!$E$3="First Energy"</xm:f>
            <x14:dxf>
              <fill>
                <patternFill>
                  <bgColor rgb="FF1E427C"/>
                </patternFill>
              </fill>
            </x14:dxf>
          </x14:cfRule>
          <x14:cfRule type="expression" priority="5" id="{38B55DA2-8D73-4674-868C-6B5CDCB030C6}">
            <xm:f>'Utility Admin'!$E$3="PECO"</xm:f>
            <x14:dxf>
              <fill>
                <patternFill>
                  <bgColor rgb="FF6E06C1"/>
                </patternFill>
              </fill>
            </x14:dxf>
          </x14:cfRule>
          <x14:cfRule type="expression" priority="6" id="{C570629B-8448-415F-BA8D-426CD2AD1738}">
            <xm:f>'Utility Admin'!$E$3="PPL"</xm:f>
            <x14:dxf>
              <fill>
                <patternFill>
                  <bgColor rgb="FF001489"/>
                </patternFill>
              </fill>
            </x14:dxf>
          </x14:cfRule>
          <xm:sqref>A1:C1</xm:sqref>
        </x14:conditionalFormatting>
        <x14:conditionalFormatting xmlns:xm="http://schemas.microsoft.com/office/excel/2006/main">
          <x14:cfRule type="expression" priority="1" id="{84510071-DE96-4929-9725-6A0EDC9A49C2}">
            <xm:f>'Utility Admin'!$E$3="First Energy"</xm:f>
            <x14:dxf>
              <fill>
                <patternFill>
                  <bgColor rgb="FF1E427C"/>
                </patternFill>
              </fill>
            </x14:dxf>
          </x14:cfRule>
          <x14:cfRule type="expression" priority="2" id="{757A0646-1A90-4005-8237-CF813DC0D24D}">
            <xm:f>'Utility Admin'!$E$3="PECO"</xm:f>
            <x14:dxf>
              <fill>
                <patternFill>
                  <bgColor rgb="FF6E06C1"/>
                </patternFill>
              </fill>
            </x14:dxf>
          </x14:cfRule>
          <x14:cfRule type="expression" priority="3" id="{D1491140-E411-4956-8304-941B1572378D}">
            <xm:f>'Utility Admin'!$E$3="PPL"</xm:f>
            <x14:dxf>
              <fill>
                <patternFill>
                  <bgColor rgb="FF001489"/>
                </patternFill>
              </fill>
            </x14:dxf>
          </x14:cfRule>
          <xm:sqref>A3:C3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94724-3D8D-40CB-8A3F-A9D451AE7031}">
  <sheetPr codeName="Sheet23"/>
  <dimension ref="B1:BA94"/>
  <sheetViews>
    <sheetView zoomScale="86" zoomScaleNormal="86" workbookViewId="0">
      <selection activeCell="I12" sqref="I12"/>
    </sheetView>
  </sheetViews>
  <sheetFormatPr defaultRowHeight="14.25"/>
  <cols>
    <col min="2" max="2" width="66.25" customWidth="1"/>
    <col min="3" max="3" width="12.125" bestFit="1" customWidth="1"/>
    <col min="4" max="4" width="11.875" bestFit="1" customWidth="1"/>
    <col min="5" max="5" width="12.375" bestFit="1" customWidth="1"/>
    <col min="6" max="6" width="12.125" customWidth="1"/>
    <col min="7" max="7" width="14.5" bestFit="1" customWidth="1"/>
    <col min="8" max="8" width="14.125" customWidth="1"/>
    <col min="9" max="9" width="10.125" customWidth="1"/>
    <col min="10" max="10" width="13" bestFit="1" customWidth="1"/>
    <col min="11" max="11" width="13.625" bestFit="1" customWidth="1"/>
    <col min="12" max="12" width="13.625" customWidth="1"/>
    <col min="13" max="13" width="5.625" customWidth="1"/>
    <col min="14" max="14" width="24.625" customWidth="1"/>
    <col min="15" max="15" width="13.875" bestFit="1" customWidth="1"/>
    <col min="16" max="16" width="19.125" bestFit="1" customWidth="1"/>
    <col min="17" max="31" width="19.125" customWidth="1"/>
    <col min="32" max="32" width="9" bestFit="1" customWidth="1"/>
    <col min="33" max="34" width="10.625" customWidth="1"/>
    <col min="35" max="35" width="13.625" customWidth="1"/>
    <col min="36" max="36" width="38.5" bestFit="1" customWidth="1"/>
    <col min="37" max="37" width="18.125" customWidth="1"/>
    <col min="43" max="43" width="16.875" customWidth="1"/>
    <col min="44" max="44" width="10.625" customWidth="1"/>
    <col min="45" max="45" width="11.5" bestFit="1" customWidth="1"/>
    <col min="46" max="46" width="11.5" customWidth="1"/>
  </cols>
  <sheetData>
    <row r="1" spans="2:16">
      <c r="B1" t="s">
        <v>128</v>
      </c>
    </row>
    <row r="2" spans="2:16" ht="20.25">
      <c r="B2" s="130" t="s">
        <v>129</v>
      </c>
      <c r="C2" s="131" t="e" cm="1">
        <f t="array" ref="C2">INDEX($O$3:$O$10,MATCH(Summary!C12,$N$3:$N$10,0),0)</f>
        <v>#N/A</v>
      </c>
      <c r="N2" s="260" t="s">
        <v>130</v>
      </c>
      <c r="O2" s="260" t="s">
        <v>25</v>
      </c>
      <c r="P2" s="260" t="s">
        <v>26</v>
      </c>
    </row>
    <row r="3" spans="2:16" ht="20.25">
      <c r="B3" s="130" t="s">
        <v>131</v>
      </c>
      <c r="C3" s="132" t="e" cm="1">
        <f t="array" ref="C3">INDEX($P$3:$P$11,MATCH(Summary!C12,$N$3:$N$11,0),0)</f>
        <v>#N/A</v>
      </c>
      <c r="N3" s="261" t="s">
        <v>132</v>
      </c>
      <c r="O3" s="262">
        <v>0.05</v>
      </c>
      <c r="P3" s="262">
        <v>250</v>
      </c>
    </row>
    <row r="4" spans="2:16" ht="20.25">
      <c r="B4" s="130" t="s">
        <v>133</v>
      </c>
      <c r="C4" s="147">
        <v>0.5</v>
      </c>
      <c r="N4" s="261" t="s">
        <v>134</v>
      </c>
      <c r="O4" s="262">
        <v>0.1</v>
      </c>
      <c r="P4" s="262">
        <v>250</v>
      </c>
    </row>
    <row r="5" spans="2:16" ht="20.25">
      <c r="B5" s="130"/>
      <c r="C5" s="147"/>
      <c r="N5" s="261" t="s">
        <v>135</v>
      </c>
      <c r="O5" s="262">
        <v>0.08</v>
      </c>
      <c r="P5" s="262">
        <v>0</v>
      </c>
    </row>
    <row r="6" spans="2:16" ht="20.25">
      <c r="B6" s="130"/>
      <c r="C6" s="147"/>
      <c r="N6" s="261" t="s">
        <v>136</v>
      </c>
      <c r="O6" s="262">
        <v>0.1</v>
      </c>
      <c r="P6" s="262">
        <v>0</v>
      </c>
    </row>
    <row r="7" spans="2:16" ht="20.25">
      <c r="B7" s="130"/>
      <c r="C7" s="147"/>
      <c r="N7" s="261" t="s">
        <v>137</v>
      </c>
      <c r="O7" s="262">
        <v>0.04</v>
      </c>
      <c r="P7" s="262">
        <v>0</v>
      </c>
    </row>
    <row r="8" spans="2:16" ht="20.25">
      <c r="B8" s="130"/>
      <c r="C8" s="147"/>
    </row>
    <row r="9" spans="2:16" ht="20.25">
      <c r="B9" s="130"/>
      <c r="C9" s="147"/>
    </row>
    <row r="10" spans="2:16" ht="20.25">
      <c r="B10" s="130"/>
      <c r="C10" s="147"/>
    </row>
    <row r="11" spans="2:16" ht="20.25">
      <c r="B11" s="130"/>
      <c r="C11" s="147"/>
    </row>
    <row r="12" spans="2:16" ht="20.25">
      <c r="B12" s="130"/>
      <c r="C12" s="147"/>
    </row>
    <row r="13" spans="2:16" ht="20.25">
      <c r="B13" s="130"/>
      <c r="C13" s="147"/>
    </row>
    <row r="14" spans="2:16" ht="20.25">
      <c r="B14" s="130"/>
      <c r="C14" s="147"/>
    </row>
    <row r="15" spans="2:16" ht="20.25">
      <c r="B15" s="130"/>
      <c r="C15" s="147"/>
    </row>
    <row r="16" spans="2:16" ht="20.25">
      <c r="B16" s="130"/>
      <c r="C16" s="147"/>
    </row>
    <row r="17" spans="2:53" ht="20.25">
      <c r="B17" s="130"/>
      <c r="C17" s="147"/>
    </row>
    <row r="19" spans="2:53" hidden="1">
      <c r="B19" t="s">
        <v>138</v>
      </c>
      <c r="C19" t="s">
        <v>139</v>
      </c>
      <c r="E19" t="s">
        <v>140</v>
      </c>
      <c r="F19" t="s">
        <v>110</v>
      </c>
      <c r="G19" s="820" t="s">
        <v>141</v>
      </c>
      <c r="H19" t="s">
        <v>142</v>
      </c>
      <c r="I19" s="819" t="s">
        <v>143</v>
      </c>
      <c r="J19" s="819" t="s">
        <v>126</v>
      </c>
      <c r="K19" s="819"/>
    </row>
    <row r="20" spans="2:53" hidden="1">
      <c r="C20" t="s">
        <v>121</v>
      </c>
      <c r="D20" t="s">
        <v>123</v>
      </c>
      <c r="G20" s="820"/>
      <c r="H20" t="s">
        <v>144</v>
      </c>
      <c r="I20" s="819"/>
      <c r="J20" t="s">
        <v>145</v>
      </c>
      <c r="K20" t="s">
        <v>146</v>
      </c>
      <c r="AJ20" t="s">
        <v>147</v>
      </c>
      <c r="AT20" t="s">
        <v>148</v>
      </c>
    </row>
    <row r="21" spans="2:53" hidden="1">
      <c r="B21" t="s">
        <v>149</v>
      </c>
      <c r="C21" t="e">
        <f>Summary!#REF!</f>
        <v>#REF!</v>
      </c>
      <c r="D21" t="e">
        <f>Summary!#REF!</f>
        <v>#REF!</v>
      </c>
      <c r="E21">
        <v>40</v>
      </c>
      <c r="F21" t="e">
        <f>SUM(#REF!)</f>
        <v>#REF!</v>
      </c>
      <c r="G21" t="e">
        <f>Summary!#REF!</f>
        <v>#REF!</v>
      </c>
      <c r="H21" s="53" t="e">
        <f>SUM(Calculations!#REF!)</f>
        <v>#REF!</v>
      </c>
      <c r="I21" s="53" t="e">
        <f>H21</f>
        <v>#REF!</v>
      </c>
      <c r="J21" s="53" t="e">
        <f>E21*F21</f>
        <v>#REF!</v>
      </c>
      <c r="K21" s="53" t="e">
        <f>MIN(I21:J21)</f>
        <v>#REF!</v>
      </c>
      <c r="AK21" t="s">
        <v>150</v>
      </c>
      <c r="AO21" t="s">
        <v>151</v>
      </c>
      <c r="AP21" t="s">
        <v>152</v>
      </c>
      <c r="AQ21" t="s">
        <v>153</v>
      </c>
      <c r="AR21" t="s">
        <v>154</v>
      </c>
      <c r="AT21" t="s">
        <v>150</v>
      </c>
      <c r="AX21" t="s">
        <v>151</v>
      </c>
      <c r="AY21" t="s">
        <v>152</v>
      </c>
    </row>
    <row r="22" spans="2:53" hidden="1">
      <c r="B22" t="s">
        <v>155</v>
      </c>
      <c r="C22" t="e">
        <f>Summary!#REF!</f>
        <v>#REF!</v>
      </c>
      <c r="D22" t="e">
        <f>Summary!#REF!</f>
        <v>#REF!</v>
      </c>
      <c r="E22" s="61">
        <v>425</v>
      </c>
      <c r="F22" s="63" t="e">
        <f>SUM(#REF!)</f>
        <v>#REF!</v>
      </c>
      <c r="G22" t="e">
        <f>Summary!#REF!</f>
        <v>#REF!</v>
      </c>
      <c r="H22" s="53" t="e">
        <f>F22*42</f>
        <v>#REF!</v>
      </c>
      <c r="I22" s="53" t="e">
        <f>H22</f>
        <v>#REF!</v>
      </c>
      <c r="J22" s="53" t="e">
        <f>E22*F22</f>
        <v>#REF!</v>
      </c>
      <c r="K22" s="53" t="e">
        <f t="shared" ref="K22:K48" si="0">MIN(I22:J22)</f>
        <v>#REF!</v>
      </c>
      <c r="AJ22" t="s">
        <v>156</v>
      </c>
      <c r="AK22" t="str">
        <f>CONCATENATE(AL22,AM22,AN22)</f>
        <v>Cube/NuggetIce Making HeadH &lt; 450</v>
      </c>
      <c r="AL22" t="s">
        <v>157</v>
      </c>
      <c r="AM22" t="s">
        <v>158</v>
      </c>
      <c r="AN22" t="s">
        <v>159</v>
      </c>
      <c r="AO22">
        <v>0</v>
      </c>
      <c r="AP22">
        <v>450</v>
      </c>
      <c r="AQ22">
        <v>9.23</v>
      </c>
      <c r="AR22">
        <v>-7.7000000000000002E-3</v>
      </c>
      <c r="AT22" t="str">
        <f>CONCATENATE(AU22,AV22,AW22)</f>
        <v>CEE Tier ICube/NuggetH &lt; 450</v>
      </c>
      <c r="AU22" t="s">
        <v>156</v>
      </c>
      <c r="AV22" t="s">
        <v>157</v>
      </c>
      <c r="AW22" t="s">
        <v>159</v>
      </c>
      <c r="AX22">
        <v>0</v>
      </c>
      <c r="AY22">
        <v>450</v>
      </c>
      <c r="AZ22">
        <v>42.5</v>
      </c>
      <c r="BA22" t="s">
        <v>160</v>
      </c>
    </row>
    <row r="23" spans="2:53" ht="15" hidden="1" thickBot="1">
      <c r="B23" t="s">
        <v>161</v>
      </c>
      <c r="C23" t="e">
        <f>Summary!#REF!</f>
        <v>#REF!</v>
      </c>
      <c r="D23" t="e">
        <f>Summary!#REF!</f>
        <v>#REF!</v>
      </c>
      <c r="E23">
        <v>4</v>
      </c>
      <c r="F23" s="36" t="e">
        <f>SUM(Calculations!#REF!)</f>
        <v>#REF!</v>
      </c>
      <c r="G23" t="e">
        <f>Summary!#REF!</f>
        <v>#REF!</v>
      </c>
      <c r="H23" s="59"/>
      <c r="I23" s="53" t="e">
        <f>G23</f>
        <v>#REF!</v>
      </c>
      <c r="J23" s="53" t="e">
        <f>E23*F23</f>
        <v>#REF!</v>
      </c>
      <c r="K23" s="53" t="e">
        <f t="shared" si="0"/>
        <v>#REF!</v>
      </c>
      <c r="AJ23" t="s">
        <v>156</v>
      </c>
      <c r="AK23" t="str">
        <f t="shared" ref="AK23:AK53" si="1">CONCATENATE(AL23,AM23,AN23)</f>
        <v>Cube/NuggetIce Making Head450 ≤ H</v>
      </c>
      <c r="AL23" t="s">
        <v>157</v>
      </c>
      <c r="AM23" t="s">
        <v>158</v>
      </c>
      <c r="AN23" t="s">
        <v>162</v>
      </c>
      <c r="AO23">
        <v>449.99</v>
      </c>
      <c r="AQ23">
        <v>6.2</v>
      </c>
      <c r="AR23">
        <v>-1E-3</v>
      </c>
      <c r="AT23" t="str">
        <f t="shared" ref="AT23:AT30" si="2">CONCATENATE(AU23,AV23,AW23)</f>
        <v>CEE Tier ICube/Nugget450 ≤ H &lt; 1,000</v>
      </c>
      <c r="AU23" t="s">
        <v>156</v>
      </c>
      <c r="AV23" t="s">
        <v>157</v>
      </c>
      <c r="AW23" t="s">
        <v>163</v>
      </c>
      <c r="AX23">
        <v>449.99</v>
      </c>
      <c r="AY23">
        <v>1000</v>
      </c>
      <c r="AZ23">
        <v>85</v>
      </c>
      <c r="BA23" t="s">
        <v>160</v>
      </c>
    </row>
    <row r="24" spans="2:53" hidden="1">
      <c r="B24" s="41" t="s">
        <v>164</v>
      </c>
      <c r="C24" s="31"/>
      <c r="D24" s="31"/>
      <c r="E24" s="31"/>
      <c r="F24" s="31"/>
      <c r="G24" s="31" t="e">
        <f>Summary!#REF!</f>
        <v>#REF!</v>
      </c>
      <c r="H24" s="54" t="e">
        <f>SUM(H25:H26)</f>
        <v>#REF!</v>
      </c>
      <c r="I24" s="54" t="e">
        <f>G24</f>
        <v>#REF!</v>
      </c>
      <c r="J24" s="54">
        <f t="shared" ref="J24" si="3">SUM(J25:J26)</f>
        <v>0</v>
      </c>
      <c r="K24" s="55" t="e">
        <f t="shared" si="0"/>
        <v>#REF!</v>
      </c>
      <c r="AJ24" t="s">
        <v>156</v>
      </c>
      <c r="AK24" t="str">
        <f t="shared" si="1"/>
        <v>Cube/NuggetRemote Condensing w/o remote compressorH &lt; 1,000</v>
      </c>
      <c r="AL24" t="s">
        <v>157</v>
      </c>
      <c r="AM24" t="s">
        <v>165</v>
      </c>
      <c r="AN24" t="s">
        <v>166</v>
      </c>
      <c r="AO24">
        <v>0</v>
      </c>
      <c r="AP24">
        <v>1000</v>
      </c>
      <c r="AQ24">
        <v>8.0500000000000007</v>
      </c>
      <c r="AR24">
        <v>-3.5000000000000001E-3</v>
      </c>
      <c r="AT24" t="str">
        <f t="shared" si="2"/>
        <v>CEE Tier ICube/Nugget1,000 ≤ H</v>
      </c>
      <c r="AU24" t="s">
        <v>156</v>
      </c>
      <c r="AV24" t="s">
        <v>157</v>
      </c>
      <c r="AW24" t="s">
        <v>167</v>
      </c>
      <c r="AX24">
        <v>999.99</v>
      </c>
      <c r="AZ24">
        <v>127.5</v>
      </c>
      <c r="BA24" t="s">
        <v>160</v>
      </c>
    </row>
    <row r="25" spans="2:53" hidden="1">
      <c r="B25" s="33" t="e">
        <f>#REF!</f>
        <v>#REF!</v>
      </c>
      <c r="C25" s="36" t="e">
        <f>Calculations!#REF!</f>
        <v>#REF!</v>
      </c>
      <c r="D25" s="36" t="e">
        <f>Calculations!#REF!</f>
        <v>#REF!</v>
      </c>
      <c r="E25" t="e">
        <f>IF(B25=0,"",VLOOKUP(B25,$F$63:$G$64,2,FALSE))</f>
        <v>#REF!</v>
      </c>
      <c r="F25" t="e">
        <f>#REF!</f>
        <v>#REF!</v>
      </c>
      <c r="H25" s="53" t="e">
        <f>Calculations!#REF!</f>
        <v>#REF!</v>
      </c>
      <c r="I25" s="53"/>
      <c r="J25" s="53" t="str">
        <f>IFERROR(E25*F25,"")</f>
        <v/>
      </c>
      <c r="K25" s="57"/>
      <c r="AJ25" t="s">
        <v>156</v>
      </c>
      <c r="AK25" t="str">
        <f t="shared" si="1"/>
        <v>Cube/NuggetRemote Condensing w/o remote compressor1,000 ≤ H</v>
      </c>
      <c r="AL25" t="s">
        <v>157</v>
      </c>
      <c r="AM25" t="s">
        <v>165</v>
      </c>
      <c r="AN25" t="s">
        <v>167</v>
      </c>
      <c r="AO25">
        <v>999.99</v>
      </c>
      <c r="AQ25">
        <v>4.6399999999999997</v>
      </c>
      <c r="AR25">
        <v>0</v>
      </c>
      <c r="AT25" t="str">
        <f t="shared" si="2"/>
        <v>CEE Tier IICube/NuggetH &lt; 450</v>
      </c>
      <c r="AU25" t="s">
        <v>168</v>
      </c>
      <c r="AV25" t="s">
        <v>157</v>
      </c>
      <c r="AW25" t="s">
        <v>159</v>
      </c>
      <c r="AX25">
        <v>0</v>
      </c>
      <c r="AY25">
        <v>450</v>
      </c>
      <c r="AZ25">
        <v>63.75</v>
      </c>
      <c r="BA25" t="s">
        <v>160</v>
      </c>
    </row>
    <row r="26" spans="2:53" ht="15" hidden="1" thickBot="1">
      <c r="B26" s="33" t="e">
        <f>#REF!</f>
        <v>#REF!</v>
      </c>
      <c r="C26" s="37" t="e">
        <f>Calculations!#REF!</f>
        <v>#REF!</v>
      </c>
      <c r="D26" s="37" t="e">
        <f>Calculations!#REF!</f>
        <v>#REF!</v>
      </c>
      <c r="E26" s="35" t="e">
        <f>IF(B26=0,"",VLOOKUP(B26,$F$63:$G$64,2,FALSE))</f>
        <v>#REF!</v>
      </c>
      <c r="F26" t="e">
        <f>#REF!</f>
        <v>#REF!</v>
      </c>
      <c r="G26" s="35"/>
      <c r="H26" s="64" t="e">
        <f>Calculations!#REF!</f>
        <v>#REF!</v>
      </c>
      <c r="I26" s="56"/>
      <c r="J26" s="56" t="str">
        <f>IFERROR(E26*F26,"")</f>
        <v/>
      </c>
      <c r="K26" s="58"/>
      <c r="AJ26" t="s">
        <v>156</v>
      </c>
      <c r="AK26" t="str">
        <f t="shared" si="1"/>
        <v>Cube/NuggetRemote Condensing w/ remote compressorH &lt; 934</v>
      </c>
      <c r="AL26" t="s">
        <v>157</v>
      </c>
      <c r="AM26" t="s">
        <v>169</v>
      </c>
      <c r="AN26" t="s">
        <v>170</v>
      </c>
      <c r="AO26">
        <v>0</v>
      </c>
      <c r="AP26">
        <v>934</v>
      </c>
      <c r="AQ26">
        <v>8.0500000000000007</v>
      </c>
      <c r="AR26">
        <v>-3.5000000000000001E-3</v>
      </c>
      <c r="AT26" t="str">
        <f t="shared" si="2"/>
        <v>CEE Tier IICube/Nugget450 ≤ H &lt; 1,000</v>
      </c>
      <c r="AU26" t="s">
        <v>168</v>
      </c>
      <c r="AV26" t="s">
        <v>157</v>
      </c>
      <c r="AW26" t="s">
        <v>163</v>
      </c>
      <c r="AX26">
        <v>449.99</v>
      </c>
      <c r="AY26">
        <v>1000</v>
      </c>
      <c r="AZ26">
        <v>106.25</v>
      </c>
      <c r="BA26" t="s">
        <v>160</v>
      </c>
    </row>
    <row r="27" spans="2:53" ht="15" hidden="1" thickBot="1">
      <c r="B27" t="s">
        <v>171</v>
      </c>
      <c r="C27" t="e">
        <f>Summary!#REF!</f>
        <v>#REF!</v>
      </c>
      <c r="D27" t="e">
        <f>Summary!#REF!</f>
        <v>#REF!</v>
      </c>
      <c r="E27">
        <v>250</v>
      </c>
      <c r="F27" t="e">
        <f>SUM(#REF!)</f>
        <v>#REF!</v>
      </c>
      <c r="G27" t="e">
        <f>Summary!#REF!</f>
        <v>#REF!</v>
      </c>
      <c r="H27" s="59">
        <v>0</v>
      </c>
      <c r="I27" s="53" t="e">
        <f>G27</f>
        <v>#REF!</v>
      </c>
      <c r="J27" s="53" t="e">
        <f>E27*F27</f>
        <v>#REF!</v>
      </c>
      <c r="K27" s="53" t="e">
        <f t="shared" si="0"/>
        <v>#REF!</v>
      </c>
      <c r="N27" s="38"/>
      <c r="O27" s="38"/>
      <c r="P27" s="38"/>
      <c r="Q27" s="38"/>
      <c r="R27" s="38"/>
      <c r="S27" s="38"/>
      <c r="T27" s="38"/>
      <c r="U27" s="39" t="s">
        <v>147</v>
      </c>
      <c r="V27" s="39"/>
      <c r="W27" s="39"/>
      <c r="X27" s="39"/>
      <c r="Y27" s="39"/>
      <c r="Z27" s="39"/>
      <c r="AA27" s="39"/>
      <c r="AB27" s="39"/>
      <c r="AC27" s="39"/>
      <c r="AD27" s="39"/>
      <c r="AE27" s="39"/>
      <c r="AF27" s="40" t="s">
        <v>148</v>
      </c>
      <c r="AG27" s="40"/>
      <c r="AH27" s="40"/>
      <c r="AJ27" t="s">
        <v>156</v>
      </c>
      <c r="AK27" t="str">
        <f t="shared" si="1"/>
        <v>Cube/NuggetRemote Condensing w/ remote compressor934 ≤ H</v>
      </c>
      <c r="AL27" t="s">
        <v>157</v>
      </c>
      <c r="AM27" t="s">
        <v>169</v>
      </c>
      <c r="AN27" t="s">
        <v>172</v>
      </c>
      <c r="AO27">
        <v>933.99</v>
      </c>
      <c r="AQ27">
        <v>4.82</v>
      </c>
      <c r="AR27">
        <v>0</v>
      </c>
      <c r="AT27" t="str">
        <f t="shared" si="2"/>
        <v>CEE Tier IICube/Nugget1,000 ≤ H</v>
      </c>
      <c r="AU27" t="s">
        <v>168</v>
      </c>
      <c r="AV27" t="s">
        <v>157</v>
      </c>
      <c r="AW27" t="s">
        <v>167</v>
      </c>
      <c r="AX27">
        <v>999.99</v>
      </c>
      <c r="AZ27">
        <v>127.5</v>
      </c>
      <c r="BA27" t="s">
        <v>160</v>
      </c>
    </row>
    <row r="28" spans="2:53" ht="15" hidden="1">
      <c r="B28" s="30" t="s">
        <v>173</v>
      </c>
      <c r="C28" s="31" t="e">
        <f>Summary!#REF!</f>
        <v>#REF!</v>
      </c>
      <c r="D28" s="31" t="e">
        <f>Summary!#REF!</f>
        <v>#REF!</v>
      </c>
      <c r="E28" s="31"/>
      <c r="F28" s="31"/>
      <c r="G28" s="31" t="e">
        <f>Summary!#REF!</f>
        <v>#REF!</v>
      </c>
      <c r="H28" s="60"/>
      <c r="I28" s="54" t="e">
        <f>G28</f>
        <v>#REF!</v>
      </c>
      <c r="J28" s="54">
        <f>SUM(J29:J32)</f>
        <v>0</v>
      </c>
      <c r="K28" s="55" t="e">
        <f t="shared" si="0"/>
        <v>#REF!</v>
      </c>
      <c r="M28" s="41"/>
      <c r="N28" s="31" t="e">
        <f>Calculations!#REF!</f>
        <v>#REF!</v>
      </c>
      <c r="O28" s="31" t="s">
        <v>174</v>
      </c>
      <c r="P28" s="31" t="e">
        <f>Calculations!#REF!</f>
        <v>#REF!</v>
      </c>
      <c r="Q28" s="31" t="e">
        <f>Calculations!#REF!</f>
        <v>#REF!</v>
      </c>
      <c r="R28" s="31" t="e">
        <f>Calculations!#REF!</f>
        <v>#REF!</v>
      </c>
      <c r="S28" s="31" t="e">
        <f>Calculations!#REF!</f>
        <v>#REF!</v>
      </c>
      <c r="T28" s="42" t="e">
        <f>Calculations!#REF!</f>
        <v>#REF!</v>
      </c>
      <c r="U28" s="31" t="s">
        <v>175</v>
      </c>
      <c r="V28" s="31" t="s">
        <v>150</v>
      </c>
      <c r="W28" s="31"/>
      <c r="X28" s="31"/>
      <c r="Y28" s="31" t="s">
        <v>176</v>
      </c>
      <c r="Z28" s="31" t="s">
        <v>177</v>
      </c>
      <c r="AA28" s="31" t="s">
        <v>150</v>
      </c>
      <c r="AB28" s="31"/>
      <c r="AC28" s="31"/>
      <c r="AD28" s="31" t="s">
        <v>176</v>
      </c>
      <c r="AE28" s="31"/>
      <c r="AF28" s="31"/>
      <c r="AG28" s="31"/>
      <c r="AH28" s="32" t="s">
        <v>178</v>
      </c>
      <c r="AJ28" t="s">
        <v>156</v>
      </c>
      <c r="AK28" t="str">
        <f t="shared" si="1"/>
        <v>Cube/NuggetSelf ContainedH &lt; 175</v>
      </c>
      <c r="AL28" t="s">
        <v>157</v>
      </c>
      <c r="AM28" t="s">
        <v>179</v>
      </c>
      <c r="AN28" t="s">
        <v>180</v>
      </c>
      <c r="AO28">
        <v>0</v>
      </c>
      <c r="AP28">
        <v>1750</v>
      </c>
      <c r="AQ28">
        <v>16.7</v>
      </c>
      <c r="AR28">
        <v>-4.36E-2</v>
      </c>
      <c r="AT28" t="str">
        <f t="shared" si="2"/>
        <v>CEE Tier IIFlakeH &lt; 450</v>
      </c>
      <c r="AU28" t="s">
        <v>168</v>
      </c>
      <c r="AV28" t="s">
        <v>181</v>
      </c>
      <c r="AW28" t="s">
        <v>159</v>
      </c>
      <c r="AX28">
        <v>0</v>
      </c>
      <c r="AY28">
        <v>450</v>
      </c>
      <c r="AZ28">
        <v>85</v>
      </c>
      <c r="BA28" t="s">
        <v>160</v>
      </c>
    </row>
    <row r="29" spans="2:53" hidden="1">
      <c r="B29" s="33"/>
      <c r="E29" s="36" t="e">
        <f>AH29</f>
        <v>#REF!</v>
      </c>
      <c r="F29" t="e">
        <f>#REF!</f>
        <v>#REF!</v>
      </c>
      <c r="H29" s="53"/>
      <c r="I29" s="53"/>
      <c r="J29" s="53" t="str">
        <f>IFERROR(E29*F29,"")</f>
        <v/>
      </c>
      <c r="K29" s="57"/>
      <c r="M29" s="33" t="e">
        <f>#REF!</f>
        <v>#REF!</v>
      </c>
      <c r="N29" s="36" t="e">
        <f>Calculations!#REF!</f>
        <v>#REF!</v>
      </c>
      <c r="O29" s="36" t="e">
        <f>#REF!</f>
        <v>#REF!</v>
      </c>
      <c r="P29" s="36" t="e">
        <f>Calculations!#REF!</f>
        <v>#REF!</v>
      </c>
      <c r="Q29" s="36" t="e">
        <f>Calculations!#REF!</f>
        <v>#REF!</v>
      </c>
      <c r="R29" s="36" t="e">
        <f>Calculations!#REF!</f>
        <v>#REF!</v>
      </c>
      <c r="S29" s="36" t="e">
        <f>Calculations!#REF!</f>
        <v>#REF!</v>
      </c>
      <c r="T29" s="36" t="e">
        <f>Calculations!#REF!</f>
        <v>#REF!</v>
      </c>
      <c r="U29" s="36" t="e">
        <f>IF(AND(O29=$AL$22,Q29=$AM$22,S29&gt;$AO$22,S29&lt;$AP$22),$AN$22,IF(AND(O29=$AL$23,Q29=$AM$23,S29&gt;$AO$23),$AN$23,IF(AND(O29=$AL$24,Q29=$AM$24,S29&gt;$AO$24,S29&lt;$AP$24),$AN$24,IF(AND(O29=$AL$25,Q29=$AM$25,S29&gt;$AO$25),$AN$25,IF(AND(O29=$AL$26,Q29=$AM$26,S29&gt;$AO$26,S29&lt;$AP$26),$AN$26,IF(AND(O29=$AL$27,Q29=$AM$27,S29&gt;$AO$27),$AN$27,IF(AND(O29=$AL$28,Q29=$AM$28,S29&gt;$AO$28),$AN$28,IF(AND(O29=$AL$29,Q29=$AM$29,S29&gt;$AO$29),$AN$29,))))))))</f>
        <v>#REF!</v>
      </c>
      <c r="V29" t="e">
        <f>CONCATENATE(O29,Q29,U29)</f>
        <v>#REF!</v>
      </c>
      <c r="W29" t="e">
        <f>VLOOKUP(V29,$AK$22:$AR$29,7,FALSE)</f>
        <v>#REF!</v>
      </c>
      <c r="X29" t="e">
        <f>VLOOKUP(V29,$AK$22:$AR$29,8,FALSE)</f>
        <v>#REF!</v>
      </c>
      <c r="Y29" t="e">
        <f>W29+X29*S29</f>
        <v>#REF!</v>
      </c>
      <c r="Z29" s="36" t="e">
        <f>IF(AND(O29=$AL$30,Q29=$AM$30,S29&gt;$AO$30,S29&lt;$AP$30),$AN$30,IF(AND(O29=$AL$31,Q29=$AM$31,S29&gt;$AO$31,S29&lt;$AP$31),$AN$31,IF(AND(O29=$AL$32,Q29=$AM$32,S29&gt;$AO$32,S29&lt;$AP$32),$AN$32,IF(AND(O29=$AL$33,Q29=$AM$33,S29&gt;$AO$33),$AN$33,IF(AND(O29=$AL$34,Q29=$AM$34,S29&gt;$AO$34,S29&lt;$AP$34),$AN$34,IF(AND(O29=$AL$35,Q29=$AM$35,S29&gt;$AO$35,S29&lt;$AP$35),$AN$35,IF(AND(O29=$AL$36,Q29=$AM$36,S29&gt;$AO$36,S29&lt;$AP$36),$AN$36,IF(AND(O29=$AL$37,Q29=$AM$37,S29&gt;$AO$37),$AN$37,IF(AND(O29=$AL$38,Q29=$AM$38,S29&gt;$AO$38,S29&lt;$AP$38),$AN$38,IF(AND(O29=$AL$39,Q29=$AM$39,S29&gt;$AO$39,S29&lt;$AP$39),$AN$39,IF(AND(O29=$AL$40,Q29=$AM$40,S29&gt;$AO$40,S29&lt;$AP$40),$AN$40,IF(AND(O29=$AL$41,Q29=$AM$41,S29&gt;$AO$41),$AN$41,IF(AND(O29=$AL$42,Q29=$AM$42,S29&gt;$AO$42,S29&lt;$AP$42),$AN$42,IF(AND(O29=$AL$43,Q29=$AM$43,S29&gt;$AO$43,S29&lt;$AP$43),$AN$43,IF(AND(O29=$AL$44,Q29=$AM$44,S29&gt;$AO$44,S29&lt;$AP$44),$AN$44,IF(AND(O29=$AL$45,Q29=$AM$45,S29&gt;$AO$45),$AN$45,IF(AND(O29=$AL$46,Q29=$AM$46,S29&gt;$AO$46,S29&lt;$AP$46),$AN$46,IF(AND(O29=$AL$47,Q29=$AM$47,S29&gt;$AO$47),$AN$47,IF(AND(O29=$AL$48,Q29=$AM$48,S29&gt;$AO$48,S29&lt;$AP$48),$AN$48,IF(AND(O29=$AL$49,Q29=$AM$49,S29&gt;$AO$49),$AN$49,IF(AND(O29=$AL$50,Q29=$AM$50,S29&gt;$AO$50,S29&lt;$AP$50),$AN$50,IF(AND(O29=$AL$51,Q29=$AM$51,S29&gt;$AO$51),$AN$51,IF(AND(O29=$AL$52,Q29=$AM$52,S29&gt;$AO$52,S29&lt;$AP$52),$AN$52,IF(AND(O29=$AL$53,Q29=$AM$53,S29&gt;$AO$53),$AN$53,))))))))))))))))))))))))</f>
        <v>#REF!</v>
      </c>
      <c r="AA29" s="36" t="e">
        <f>CONCATENATE(O29,Q29,Z29)</f>
        <v>#REF!</v>
      </c>
      <c r="AB29" s="36" t="e">
        <f>VLOOKUP(AA29,$AK$30:$AR$53,7,FALSE)</f>
        <v>#REF!</v>
      </c>
      <c r="AC29" s="36" t="e">
        <f>VLOOKUP(AA29,$AK$30:$AR$53,8,FALSE)</f>
        <v>#REF!</v>
      </c>
      <c r="AD29" s="36" t="e">
        <f>AB29+AC29*S29</f>
        <v>#REF!</v>
      </c>
      <c r="AE29" s="36" t="e">
        <f>IF(T29&lt;AD29,"CEE Tier II",IF(T29&lt;Y29,"CEE Tier I","check eff"))</f>
        <v>#REF!</v>
      </c>
      <c r="AF29" s="36" t="e">
        <f>IF(AND(S29&gt;$AX$22,S29&lt;$AY$22),"H &lt; 450",IF(AND(S29&gt;$AX$23,S29&lt;$AY$23),"450 ≤ H &lt; 1,000",IF(AND(S29&gt;$AX$23,S29&lt;$AY$23),"1,000 ≤ H")))</f>
        <v>#REF!</v>
      </c>
      <c r="AG29" s="36" t="e">
        <f>CONCATENATE(AE29,M29,AF29)</f>
        <v>#REF!</v>
      </c>
      <c r="AH29" s="43" t="e">
        <f>VLOOKUP(AG29,$AT$22:$BA$30,7,FALSE)</f>
        <v>#REF!</v>
      </c>
      <c r="AJ29" t="s">
        <v>156</v>
      </c>
      <c r="AK29" t="str">
        <f t="shared" si="1"/>
        <v>Cube/NuggetSelf Contained175 ≤ H</v>
      </c>
      <c r="AL29" t="s">
        <v>157</v>
      </c>
      <c r="AM29" t="s">
        <v>179</v>
      </c>
      <c r="AN29" t="s">
        <v>182</v>
      </c>
      <c r="AO29">
        <v>174.99</v>
      </c>
      <c r="AQ29">
        <v>9.11</v>
      </c>
      <c r="AR29">
        <v>0</v>
      </c>
      <c r="AT29" t="str">
        <f t="shared" si="2"/>
        <v>CEE Tier IIFlake450 ≤ H &lt; 1,000</v>
      </c>
      <c r="AU29" t="s">
        <v>168</v>
      </c>
      <c r="AV29" t="s">
        <v>181</v>
      </c>
      <c r="AW29" t="s">
        <v>163</v>
      </c>
      <c r="AX29">
        <v>449.99</v>
      </c>
      <c r="AY29">
        <v>1000</v>
      </c>
      <c r="AZ29">
        <v>148.75</v>
      </c>
      <c r="BA29" t="s">
        <v>160</v>
      </c>
    </row>
    <row r="30" spans="2:53" ht="26.25" hidden="1" customHeight="1">
      <c r="B30" s="33"/>
      <c r="E30" s="36" t="e">
        <f t="shared" ref="E30:E32" si="4">AH30</f>
        <v>#REF!</v>
      </c>
      <c r="F30" t="e">
        <f>#REF!</f>
        <v>#REF!</v>
      </c>
      <c r="H30" s="53"/>
      <c r="I30" s="53"/>
      <c r="J30" s="53" t="str">
        <f>IFERROR(E30*F30,"")</f>
        <v/>
      </c>
      <c r="K30" s="57"/>
      <c r="M30" s="33" t="e">
        <f>#REF!</f>
        <v>#REF!</v>
      </c>
      <c r="N30" s="36" t="e">
        <f>Calculations!#REF!</f>
        <v>#REF!</v>
      </c>
      <c r="O30" t="e">
        <f>#REF!</f>
        <v>#REF!</v>
      </c>
      <c r="P30" s="36" t="e">
        <f>Calculations!#REF!</f>
        <v>#REF!</v>
      </c>
      <c r="Q30" s="36" t="e">
        <f>Calculations!#REF!</f>
        <v>#REF!</v>
      </c>
      <c r="R30" s="36" t="e">
        <f>Calculations!#REF!</f>
        <v>#REF!</v>
      </c>
      <c r="S30" s="36" t="e">
        <f>Calculations!#REF!</f>
        <v>#REF!</v>
      </c>
      <c r="T30" s="36" t="e">
        <f>Calculations!#REF!</f>
        <v>#REF!</v>
      </c>
      <c r="U30" s="36" t="e">
        <f t="shared" ref="U30:U32" si="5">IF(AND(O30=$AL$22,Q30=$AM$22,S30&gt;$AO$22,S30&lt;$AP$22),$AN$22,IF(AND(O30=$AL$23,Q30=$AM$23,S30&gt;$AO$23),$AN$23,IF(AND(O30=$AL$24,Q30=$AM$24,S30&gt;$AO$24,S30&lt;$AP$24),$AN$24,IF(AND(O30=$AL$25,Q30=$AM$25,S30&gt;$AO$25),$AN$25,IF(AND(O30=$AL$26,Q30=$AM$26,S30&gt;$AO$26,S30&lt;$AP$26),$AN$26,IF(AND(O30=$AL$27,Q30=$AM$27,S30&gt;$AO$27),$AN$27,IF(AND(O30=$AL$28,Q30=$AM$28,S30&gt;$AO$28),$AN$28,IF(AND(O30=$AL$29,Q30=$AM$29,S30&gt;$AO$29),$AN$29,))))))))</f>
        <v>#REF!</v>
      </c>
      <c r="V30" t="e">
        <f t="shared" ref="V30:V32" si="6">CONCATENATE(O30,Q30,U30)</f>
        <v>#REF!</v>
      </c>
      <c r="W30" t="e">
        <f>VLOOKUP(V30,$AK$22:$AR$29,7,FALSE)</f>
        <v>#REF!</v>
      </c>
      <c r="X30" t="e">
        <f>VLOOKUP(V30,$AK$22:$AR$29,8,FALSE)</f>
        <v>#REF!</v>
      </c>
      <c r="Y30" t="e">
        <f t="shared" ref="Y30:Y32" si="7">W30+X30*S30</f>
        <v>#REF!</v>
      </c>
      <c r="Z30" s="36" t="e">
        <f>IF(AND(O30=$AL$30,Q30=$AM$30,S30&gt;$AO$30,S30&lt;$AP$30),$AN$30,IF(AND(O30=$AL$31,Q30=$AM$31,S30&gt;$AO$31,S30&lt;$AP$31),$AN$31,IF(AND(O30=$AL$32,Q30=$AM$32,S30&gt;$AO$32,S30&lt;$AP$32),$AN$32,IF(AND(O30=$AL$33,Q30=$AM$33,S30&gt;$AO$33),$AN$33,IF(AND(O30=$AL$34,Q30=$AM$34,S30&gt;$AO$34,S30&lt;$AP$34),$AN$34,IF(AND(O30=$AL$35,Q30=$AM$35,S30&gt;$AO$35,S30&lt;$AP$35),$AN$35,IF(AND(O30=$AL$36,Q30=$AM$36,S30&gt;$AO$36,S30&lt;$AP$36),$AN$36,IF(AND(O30=$AL$37,Q30=$AM$37,S30&gt;$AO$37),$AN$37,IF(AND(O30=$AL$38,Q30=$AM$38,S30&gt;$AO$38,S30&lt;$AP$38),$AN$38,IF(AND(O30=$AL$39,Q30=$AM$39,S30&gt;$AO$39,S30&lt;$AP$39),$AN$39,IF(AND(O30=$AL$40,Q30=$AM$40,S30&gt;$AO$40,S30&lt;$AP$40),$AN$40,IF(AND(O30=$AL$41,Q30=$AM$41,S30&gt;$AO$41),$AN$41,IF(AND(O30=$AL$42,Q30=$AM$42,S30&gt;$AO$42,S30&lt;$AP$42),$AN$42,IF(AND(O30=$AL$43,Q30=$AM$43,S30&gt;$AO$43,S30&lt;$AP$43),$AN$43,IF(AND(O30=$AL$44,Q30=$AM$44,S30&gt;$AO$44,S30&lt;$AP$44),$AN$44,IF(AND(O30=$AL$45,Q30=$AM$45,S30&gt;$AO$45),$AN$45,IF(AND(O30=$AL$46,Q30=$AM$46,S30&gt;$AO$46,S30&lt;$AP$46),$AN$46,IF(AND(O30=$AL$47,Q30=$AM$47,S30&gt;$AO$47),$AN$47,IF(AND(O30=$AL$48,Q30=$AM$48,S30&gt;$AO$48,S30&lt;$AP$48),$AN$48,IF(AND(O30=$AL$49,Q30=$AM$49,S30&gt;$AO$49),$AN$49,IF(AND(O30=$AL$50,Q30=$AM$50,S30&gt;$AO$50,S30&lt;$AP$50),$AN$50,IF(AND(O30=$AL$51,Q30=$AM$51,S30&gt;$AO$51),$AN$51,IF(AND(O30=$AL$52,Q30=$AM$52,S30&gt;$AO$52,S30&lt;$AP$52),$AN$52,IF(AND(O30=$AL$53,Q30=$AM$53,S30&gt;$AO$53),$AN$53,))))))))))))))))))))))))</f>
        <v>#REF!</v>
      </c>
      <c r="AA30" s="36" t="e">
        <f t="shared" ref="AA30:AA32" si="8">CONCATENATE(O30,Q30,Z30)</f>
        <v>#REF!</v>
      </c>
      <c r="AB30" s="36" t="e">
        <f t="shared" ref="AB30:AB32" si="9">VLOOKUP(AA30,$AK$30:$AR$53,7,FALSE)</f>
        <v>#REF!</v>
      </c>
      <c r="AC30" s="36" t="e">
        <f t="shared" ref="AC30:AC31" si="10">VLOOKUP(AA30,$AK$30:$AR$53,8,FALSE)</f>
        <v>#REF!</v>
      </c>
      <c r="AD30" s="36" t="e">
        <f t="shared" ref="AD30:AD32" si="11">AB30+AC30*S30</f>
        <v>#REF!</v>
      </c>
      <c r="AE30" s="36" t="e">
        <f t="shared" ref="AE30:AE32" si="12">IF(T30&lt;AD30,"CEE Tier II",IF(T30&lt;Y30,"CEE Tier I","check eff"))</f>
        <v>#REF!</v>
      </c>
      <c r="AF30" s="36" t="e">
        <f t="shared" ref="AF30:AF32" si="13">IF(AND(S30&gt;$AX$22,S30&lt;$AY$22),"H &lt; 450",IF(AND(S30&gt;$AX$23,S30&lt;$AY$23),"450 ≤ H &lt; 1,000",IF(AND(S30&gt;$AX$23,S30&lt;$AY$23),"1,000 ≤ H")))</f>
        <v>#REF!</v>
      </c>
      <c r="AG30" s="36" t="e">
        <f t="shared" ref="AG30:AG32" si="14">CONCATENATE(AE30,M30,AF30)</f>
        <v>#REF!</v>
      </c>
      <c r="AH30" s="43" t="e">
        <f>VLOOKUP(AG30,$AT$22:$BA$30,7,FALSE)</f>
        <v>#REF!</v>
      </c>
      <c r="AJ30" t="s">
        <v>168</v>
      </c>
      <c r="AK30" t="str">
        <f t="shared" si="1"/>
        <v>Cube/NuggetIce Making HeadH &lt; 175</v>
      </c>
      <c r="AL30" t="s">
        <v>157</v>
      </c>
      <c r="AM30" t="s">
        <v>158</v>
      </c>
      <c r="AN30" t="s">
        <v>180</v>
      </c>
      <c r="AO30">
        <v>0</v>
      </c>
      <c r="AP30">
        <v>174.99</v>
      </c>
      <c r="AQ30">
        <v>14</v>
      </c>
      <c r="AR30">
        <v>-3.4000000000000002E-2</v>
      </c>
      <c r="AT30" t="str">
        <f t="shared" si="2"/>
        <v>CEE Tier IIFlake1,000 ≤ H</v>
      </c>
      <c r="AU30" t="s">
        <v>168</v>
      </c>
      <c r="AV30" t="s">
        <v>181</v>
      </c>
      <c r="AW30" t="s">
        <v>167</v>
      </c>
      <c r="AX30">
        <v>999.99</v>
      </c>
      <c r="AZ30">
        <v>212.5</v>
      </c>
      <c r="BA30" t="s">
        <v>160</v>
      </c>
    </row>
    <row r="31" spans="2:53" hidden="1">
      <c r="B31" s="33"/>
      <c r="E31" s="36" t="e">
        <f t="shared" si="4"/>
        <v>#REF!</v>
      </c>
      <c r="F31" t="e">
        <f>#REF!</f>
        <v>#REF!</v>
      </c>
      <c r="H31" s="53"/>
      <c r="I31" s="53"/>
      <c r="J31" s="53" t="str">
        <f>IFERROR(E31*F31,"")</f>
        <v/>
      </c>
      <c r="K31" s="57"/>
      <c r="M31" s="33" t="e">
        <f>#REF!</f>
        <v>#REF!</v>
      </c>
      <c r="N31" s="36" t="e">
        <f>Calculations!#REF!</f>
        <v>#REF!</v>
      </c>
      <c r="O31" s="36" t="e">
        <f>#REF!</f>
        <v>#REF!</v>
      </c>
      <c r="P31" s="36" t="e">
        <f>Calculations!#REF!</f>
        <v>#REF!</v>
      </c>
      <c r="Q31" s="36" t="e">
        <f>Calculations!#REF!</f>
        <v>#REF!</v>
      </c>
      <c r="R31" s="36" t="e">
        <f>Calculations!#REF!</f>
        <v>#REF!</v>
      </c>
      <c r="S31" s="36" t="e">
        <f>Calculations!#REF!</f>
        <v>#REF!</v>
      </c>
      <c r="T31" s="36" t="e">
        <f>Calculations!#REF!</f>
        <v>#REF!</v>
      </c>
      <c r="U31" s="36" t="e">
        <f t="shared" si="5"/>
        <v>#REF!</v>
      </c>
      <c r="V31" t="e">
        <f t="shared" si="6"/>
        <v>#REF!</v>
      </c>
      <c r="W31" t="e">
        <f>VLOOKUP(V31,$AK$22:$AR$29,7,FALSE)</f>
        <v>#REF!</v>
      </c>
      <c r="X31" t="e">
        <f>VLOOKUP(V31,$AK$22:$AR$29,8,FALSE)</f>
        <v>#REF!</v>
      </c>
      <c r="Y31" t="e">
        <f t="shared" si="7"/>
        <v>#REF!</v>
      </c>
      <c r="Z31" s="36" t="e">
        <f>IF(AND(O31=$AL$30,Q31=$AM$30,S31&gt;$AO$30,S31&lt;$AP$30),$AN$30,IF(AND(O31=$AL$31,Q31=$AM$31,S31&gt;$AO$31,S31&lt;$AP$31),$AN$31,IF(AND(O31=$AL$32,Q31=$AM$32,S31&gt;$AO$32,S31&lt;$AP$32),$AN$32,IF(AND(O31=$AL$33,Q31=$AM$33,S31&gt;$AO$33),$AN$33,IF(AND(O31=$AL$34,Q31=$AM$34,S31&gt;$AO$34,S31&lt;$AP$34),$AN$34,IF(AND(O31=$AL$35,Q31=$AM$35,S31&gt;$AO$35,S31&lt;$AP$35),$AN$35,IF(AND(O31=$AL$36,Q31=$AM$36,S31&gt;$AO$36,S31&lt;$AP$36),$AN$36,IF(AND(O31=$AL$37,Q31=$AM$37,S31&gt;$AO$37),$AN$37,IF(AND(O31=$AL$38,Q31=$AM$38,S31&gt;$AO$38,S31&lt;$AP$38),$AN$38,IF(AND(O31=$AL$39,Q31=$AM$39,S31&gt;$AO$39,S31&lt;$AP$39),$AN$39,IF(AND(O31=$AL$40,Q31=$AM$40,S31&gt;$AO$40,S31&lt;$AP$40),$AN$40,IF(AND(O31=$AL$41,Q31=$AM$41,S31&gt;$AO$41),$AN$41,IF(AND(O31=$AL$42,Q31=$AM$42,S31&gt;$AO$42,S31&lt;$AP$42),$AN$42,IF(AND(O31=$AL$43,Q31=$AM$43,S31&gt;$AO$43,S31&lt;$AP$43),$AN$43,IF(AND(O31=$AL$44,Q31=$AM$44,S31&gt;$AO$44,S31&lt;$AP$44),$AN$44,IF(AND(O31=$AL$45,Q31=$AM$45,S31&gt;$AO$45),$AN$45,IF(AND(O31=$AL$46,Q31=$AM$46,S31&gt;$AO$46,S31&lt;$AP$46),$AN$46,IF(AND(O31=$AL$47,Q31=$AM$47,S31&gt;$AO$47),$AN$47,IF(AND(O31=$AL$48,Q31=$AM$48,S31&gt;$AO$48,S31&lt;$AP$48),$AN$48,IF(AND(O31=$AL$49,Q31=$AM$49,S31&gt;$AO$49),$AN$49,IF(AND(O31=$AL$50,Q31=$AM$50,S31&gt;$AO$50,S31&lt;$AP$50),$AN$50,IF(AND(O31=$AL$51,Q31=$AM$51,S31&gt;$AO$51),$AN$51,IF(AND(O31=$AL$52,Q31=$AM$52,S31&gt;$AO$52,S31&lt;$AP$52),$AN$52,IF(AND(O31=$AL$53,Q31=$AM$53,S31&gt;$AO$53),$AN$53,))))))))))))))))))))))))</f>
        <v>#REF!</v>
      </c>
      <c r="AA31" s="36" t="e">
        <f t="shared" si="8"/>
        <v>#REF!</v>
      </c>
      <c r="AB31" s="36" t="e">
        <f t="shared" si="9"/>
        <v>#REF!</v>
      </c>
      <c r="AC31" s="36" t="e">
        <f t="shared" si="10"/>
        <v>#REF!</v>
      </c>
      <c r="AD31" s="36" t="e">
        <f t="shared" si="11"/>
        <v>#REF!</v>
      </c>
      <c r="AE31" s="36" t="e">
        <f t="shared" si="12"/>
        <v>#REF!</v>
      </c>
      <c r="AF31" s="36" t="e">
        <f t="shared" si="13"/>
        <v>#REF!</v>
      </c>
      <c r="AG31" s="36" t="e">
        <f t="shared" si="14"/>
        <v>#REF!</v>
      </c>
      <c r="AH31" s="43" t="e">
        <f>VLOOKUP(AG31,$AT$22:$BA$30,7,FALSE)</f>
        <v>#REF!</v>
      </c>
      <c r="AJ31" t="s">
        <v>168</v>
      </c>
      <c r="AK31" t="str">
        <f t="shared" si="1"/>
        <v>Cube/NuggetIce Making Head175 ≤ H &lt; 450</v>
      </c>
      <c r="AL31" t="s">
        <v>157</v>
      </c>
      <c r="AM31" t="s">
        <v>158</v>
      </c>
      <c r="AN31" t="s">
        <v>183</v>
      </c>
      <c r="AO31">
        <v>175</v>
      </c>
      <c r="AP31">
        <v>449.99</v>
      </c>
      <c r="AQ31">
        <v>9.6</v>
      </c>
      <c r="AR31">
        <v>-9.7999999999999997E-3</v>
      </c>
    </row>
    <row r="32" spans="2:53" ht="15" hidden="1" thickBot="1">
      <c r="B32" s="34"/>
      <c r="C32" s="35"/>
      <c r="D32" s="35"/>
      <c r="E32" s="37" t="e">
        <f t="shared" si="4"/>
        <v>#REF!</v>
      </c>
      <c r="F32" s="35" t="e">
        <f>#REF!</f>
        <v>#REF!</v>
      </c>
      <c r="G32" s="35"/>
      <c r="H32" s="56"/>
      <c r="I32" s="56"/>
      <c r="J32" s="56" t="str">
        <f>IFERROR(E32*F32,"")</f>
        <v/>
      </c>
      <c r="K32" s="58"/>
      <c r="M32" s="34" t="e">
        <f>#REF!</f>
        <v>#REF!</v>
      </c>
      <c r="N32" s="37" t="e">
        <f>Calculations!#REF!</f>
        <v>#REF!</v>
      </c>
      <c r="O32" s="37" t="e">
        <f>#REF!</f>
        <v>#REF!</v>
      </c>
      <c r="P32" s="37" t="e">
        <f>Calculations!#REF!</f>
        <v>#REF!</v>
      </c>
      <c r="Q32" s="37" t="e">
        <f>Calculations!#REF!</f>
        <v>#REF!</v>
      </c>
      <c r="R32" s="37" t="e">
        <f>Calculations!#REF!</f>
        <v>#REF!</v>
      </c>
      <c r="S32" s="37" t="e">
        <f>Calculations!#REF!</f>
        <v>#REF!</v>
      </c>
      <c r="T32" s="37" t="e">
        <f>Calculations!#REF!</f>
        <v>#REF!</v>
      </c>
      <c r="U32" s="37" t="e">
        <f t="shared" si="5"/>
        <v>#REF!</v>
      </c>
      <c r="V32" s="35" t="e">
        <f t="shared" si="6"/>
        <v>#REF!</v>
      </c>
      <c r="W32" s="35" t="e">
        <f>VLOOKUP(V32,$AK$22:$AR$29,7,FALSE)</f>
        <v>#REF!</v>
      </c>
      <c r="X32" s="35" t="e">
        <f>VLOOKUP(V32,$AK$22:$AR$29,8,FALSE)</f>
        <v>#REF!</v>
      </c>
      <c r="Y32" s="35" t="e">
        <f t="shared" si="7"/>
        <v>#REF!</v>
      </c>
      <c r="Z32" s="37" t="e">
        <f>IF(AND(O32=$AL$30,Q32=$AM$30,S32&gt;$AO$30,S32&lt;$AP$30),$AN$30,IF(AND(O32=$AL$31,Q32=$AM$31,S32&gt;$AO$31,S32&lt;$AP$31),$AN$31,IF(AND(O32=$AL$32,Q32=$AM$32,S32&gt;$AO$32,S32&lt;$AP$32),$AN$32,IF(AND(O32=$AL$33,Q32=$AM$33,S32&gt;$AO$33),$AN$33,IF(AND(O32=$AL$34,Q32=$AM$34,S32&gt;$AO$34,S32&lt;$AP$34),$AN$34,IF(AND(O32=$AL$35,Q32=$AM$35,S32&gt;$AO$35,S32&lt;$AP$35),$AN$35,IF(AND(O32=$AL$36,Q32=$AM$36,S32&gt;$AO$36,S32&lt;$AP$36),$AN$36,IF(AND(O32=$AL$37,Q32=$AM$37,S32&gt;$AO$37),$AN$37,IF(AND(O32=$AL$38,Q32=$AM$38,S32&gt;$AO$38,S32&lt;$AP$38),$AN$38,IF(AND(O32=$AL$39,Q32=$AM$39,S32&gt;$AO$39,S32&lt;$AP$39),$AN$39,IF(AND(O32=$AL$40,Q32=$AM$40,S32&gt;$AO$40,S32&lt;$AP$40),$AN$40,IF(AND(O32=$AL$41,Q32=$AM$41,S32&gt;$AO$41),$AN$41,IF(AND(O32=$AL$42,Q32=$AM$42,S32&gt;$AO$42,S32&lt;$AP$42),$AN$42,IF(AND(O32=$AL$43,Q32=$AM$43,S32&gt;$AO$43,S32&lt;$AP$43),$AN$43,IF(AND(O32=$AL$44,Q32=$AM$44,S32&gt;$AO$44,S32&lt;$AP$44),$AN$44,IF(AND(O32=$AL$45,Q32=$AM$45,S32&gt;$AO$45),$AN$45,IF(AND(O32=$AL$46,Q32=$AM$46,S32&gt;$AO$46,S32&lt;$AP$46),$AN$46,IF(AND(O32=$AL$47,Q32=$AM$47,S32&gt;$AO$47),$AN$47,IF(AND(O32=$AL$48,Q32=$AM$48,S32&gt;$AO$48,S32&lt;$AP$48),$AN$48,IF(AND(O32=$AL$49,Q32=$AM$49,S32&gt;$AO$49),$AN$49,IF(AND(O32=$AL$50,Q32=$AM$50,S32&gt;$AO$50,S32&lt;$AP$50),$AN$50,IF(AND(O32=$AL$51,Q32=$AM$51,S32&gt;$AO$51),$AN$51,IF(AND(O32=$AL$52,Q32=$AM$52,S32&gt;$AO$52,S32&lt;$AP$52),$AN$52,IF(AND(O32=$AL$53,Q32=$AM$53,S32&gt;$AO$53),$AN$53,))))))))))))))))))))))))</f>
        <v>#REF!</v>
      </c>
      <c r="AA32" s="37" t="e">
        <f t="shared" si="8"/>
        <v>#REF!</v>
      </c>
      <c r="AB32" s="37" t="e">
        <f t="shared" si="9"/>
        <v>#REF!</v>
      </c>
      <c r="AC32" s="37" t="e">
        <f>VLOOKUP(AA32,$AK$30:$AR$53,8,FALSE)</f>
        <v>#REF!</v>
      </c>
      <c r="AD32" s="37" t="e">
        <f t="shared" si="11"/>
        <v>#REF!</v>
      </c>
      <c r="AE32" s="37" t="e">
        <f t="shared" si="12"/>
        <v>#REF!</v>
      </c>
      <c r="AF32" s="37" t="e">
        <f t="shared" si="13"/>
        <v>#REF!</v>
      </c>
      <c r="AG32" s="37" t="e">
        <f t="shared" si="14"/>
        <v>#REF!</v>
      </c>
      <c r="AH32" s="44" t="e">
        <f>VLOOKUP(AG32,$AT$22:$BA$30,7,FALSE)</f>
        <v>#REF!</v>
      </c>
      <c r="AJ32" t="s">
        <v>168</v>
      </c>
      <c r="AK32" t="str">
        <f t="shared" si="1"/>
        <v>Cube/NuggetIce Making Head450 ≤ H &lt; 1,000</v>
      </c>
      <c r="AL32" t="s">
        <v>157</v>
      </c>
      <c r="AM32" t="s">
        <v>158</v>
      </c>
      <c r="AN32" t="s">
        <v>163</v>
      </c>
      <c r="AO32">
        <v>450</v>
      </c>
      <c r="AP32">
        <v>999.99</v>
      </c>
      <c r="AQ32">
        <v>5.9</v>
      </c>
      <c r="AR32">
        <v>-1.6000000000000001E-3</v>
      </c>
    </row>
    <row r="33" spans="2:44" ht="15" hidden="1" thickBot="1">
      <c r="B33" t="s">
        <v>184</v>
      </c>
      <c r="C33" t="e">
        <f>Summary!#REF!</f>
        <v>#REF!</v>
      </c>
      <c r="D33" t="e">
        <f>Summary!#REF!</f>
        <v>#REF!</v>
      </c>
      <c r="E33">
        <v>297.5</v>
      </c>
      <c r="F33" t="e">
        <f>SUM(#REF!)</f>
        <v>#REF!</v>
      </c>
      <c r="G33" t="e">
        <f>Summary!#REF!</f>
        <v>#REF!</v>
      </c>
      <c r="H33" s="60"/>
      <c r="I33" s="53" t="e">
        <f>G33</f>
        <v>#REF!</v>
      </c>
      <c r="J33" s="53" t="e">
        <f t="shared" ref="J33:J34" si="15">E33*F33</f>
        <v>#REF!</v>
      </c>
      <c r="K33" s="53" t="e">
        <f t="shared" si="0"/>
        <v>#REF!</v>
      </c>
      <c r="AJ33" t="s">
        <v>168</v>
      </c>
      <c r="AK33" t="str">
        <f t="shared" si="1"/>
        <v>Cube/NuggetIce Making Head1,000 ≤ H</v>
      </c>
      <c r="AL33" t="s">
        <v>157</v>
      </c>
      <c r="AM33" t="s">
        <v>158</v>
      </c>
      <c r="AN33" t="s">
        <v>167</v>
      </c>
      <c r="AO33">
        <v>1000</v>
      </c>
      <c r="AQ33">
        <v>4.5</v>
      </c>
      <c r="AR33">
        <v>-2.0000000000000001E-4</v>
      </c>
    </row>
    <row r="34" spans="2:44" ht="15" hidden="1" thickBot="1">
      <c r="B34" t="s">
        <v>185</v>
      </c>
      <c r="C34">
        <f>Summary!C20</f>
        <v>0</v>
      </c>
      <c r="D34">
        <f>Summary!F20</f>
        <v>0</v>
      </c>
      <c r="E34">
        <v>850</v>
      </c>
      <c r="F34" t="e">
        <f>SUM(#REF!)</f>
        <v>#REF!</v>
      </c>
      <c r="G34" t="e">
        <f>Summary!#REF!</f>
        <v>#REF!</v>
      </c>
      <c r="H34" s="60"/>
      <c r="I34" s="53" t="e">
        <f t="shared" ref="I34" si="16">G34</f>
        <v>#REF!</v>
      </c>
      <c r="J34" s="53" t="e">
        <f t="shared" si="15"/>
        <v>#REF!</v>
      </c>
      <c r="K34" s="53" t="e">
        <f t="shared" si="0"/>
        <v>#REF!</v>
      </c>
      <c r="AJ34" t="s">
        <v>168</v>
      </c>
      <c r="AK34" t="str">
        <f t="shared" si="1"/>
        <v>Cube/NuggetRemote Condensing w/o remote compressorH &lt; 175</v>
      </c>
      <c r="AL34" t="s">
        <v>157</v>
      </c>
      <c r="AM34" t="s">
        <v>165</v>
      </c>
      <c r="AN34" t="s">
        <v>180</v>
      </c>
      <c r="AO34">
        <v>0</v>
      </c>
      <c r="AP34">
        <v>174.99</v>
      </c>
      <c r="AQ34">
        <v>14</v>
      </c>
      <c r="AR34">
        <v>-3.4000000000000002E-2</v>
      </c>
    </row>
    <row r="35" spans="2:44" hidden="1">
      <c r="B35" s="41" t="s">
        <v>186</v>
      </c>
      <c r="C35" s="92">
        <f>Summary!C20</f>
        <v>0</v>
      </c>
      <c r="D35" s="90">
        <f>Summary!F20</f>
        <v>0</v>
      </c>
      <c r="E35" s="31"/>
      <c r="F35" s="31"/>
      <c r="G35" s="31" t="e">
        <f>Summary!#REF!</f>
        <v>#REF!</v>
      </c>
      <c r="H35" s="54"/>
      <c r="I35" s="54"/>
      <c r="J35" s="54"/>
      <c r="K35" s="55" t="str">
        <f>IFERROR(MIN(G35*0.5,D35*O36,500000),"")</f>
        <v/>
      </c>
      <c r="N35" s="41" t="s">
        <v>187</v>
      </c>
      <c r="O35" s="55">
        <v>0.06</v>
      </c>
      <c r="AJ35" t="s">
        <v>168</v>
      </c>
      <c r="AK35" t="str">
        <f t="shared" si="1"/>
        <v>Cube/NuggetRemote Condensing w/o remote compressor175 ≤ H &lt; 450</v>
      </c>
      <c r="AL35" t="s">
        <v>157</v>
      </c>
      <c r="AM35" t="s">
        <v>165</v>
      </c>
      <c r="AN35" t="s">
        <v>183</v>
      </c>
      <c r="AO35">
        <v>175</v>
      </c>
      <c r="AP35">
        <v>449.99</v>
      </c>
      <c r="AQ35">
        <v>9.6</v>
      </c>
      <c r="AR35">
        <v>-9.7999999999999997E-3</v>
      </c>
    </row>
    <row r="36" spans="2:44" ht="15" hidden="1" thickBot="1">
      <c r="B36" s="33" t="str">
        <f>Calculations!B101</f>
        <v>Beverage &amp; Snack Vending Machine</v>
      </c>
      <c r="C36" s="36" t="e">
        <f>Summary!#REF!</f>
        <v>#REF!</v>
      </c>
      <c r="D36" s="91" t="e">
        <f>Summary!#REF!</f>
        <v>#REF!</v>
      </c>
      <c r="G36" t="e">
        <f>Summary!#REF!</f>
        <v>#REF!</v>
      </c>
      <c r="H36" s="59"/>
      <c r="I36" s="53"/>
      <c r="J36" s="53"/>
      <c r="K36" s="57" t="str">
        <f>IFERROR(MIN(G36*0.05,D36*O36,500000),"")</f>
        <v/>
      </c>
      <c r="N36" s="34" t="s">
        <v>188</v>
      </c>
      <c r="O36" s="58">
        <v>0.05</v>
      </c>
      <c r="AJ36" t="s">
        <v>168</v>
      </c>
      <c r="AK36" t="str">
        <f t="shared" si="1"/>
        <v>Cube/NuggetRemote Condensing w/o remote compressor450 ≤ H &lt; 1,000</v>
      </c>
      <c r="AL36" t="s">
        <v>157</v>
      </c>
      <c r="AM36" t="s">
        <v>165</v>
      </c>
      <c r="AN36" t="s">
        <v>163</v>
      </c>
      <c r="AO36">
        <v>450</v>
      </c>
      <c r="AP36">
        <v>999.99</v>
      </c>
      <c r="AQ36">
        <v>5.9</v>
      </c>
      <c r="AR36">
        <v>-1.6000000000000001E-3</v>
      </c>
    </row>
    <row r="37" spans="2:44" hidden="1">
      <c r="B37" s="33" t="s">
        <v>189</v>
      </c>
      <c r="C37" s="36">
        <f>Summary!C21</f>
        <v>0</v>
      </c>
      <c r="D37" s="91">
        <f>Summary!F21</f>
        <v>0</v>
      </c>
      <c r="G37" t="e">
        <f>Summary!#REF!</f>
        <v>#REF!</v>
      </c>
      <c r="H37" s="59"/>
      <c r="I37" s="53"/>
      <c r="J37" s="53"/>
      <c r="K37" s="57" t="str">
        <f>IFERROR(MIN(G37*0.05,D37*O36,500000),"")</f>
        <v/>
      </c>
      <c r="AJ37" t="s">
        <v>168</v>
      </c>
      <c r="AK37" t="str">
        <f t="shared" si="1"/>
        <v>Cube/NuggetRemote Condensing w/o remote compressor1,000 ≤ H</v>
      </c>
      <c r="AL37" t="s">
        <v>157</v>
      </c>
      <c r="AM37" t="s">
        <v>165</v>
      </c>
      <c r="AN37" t="s">
        <v>167</v>
      </c>
      <c r="AO37">
        <v>1000</v>
      </c>
      <c r="AQ37">
        <v>4.5</v>
      </c>
      <c r="AR37">
        <v>-2.0000000000000001E-4</v>
      </c>
    </row>
    <row r="38" spans="2:44" hidden="1">
      <c r="B38" s="33" t="s">
        <v>190</v>
      </c>
      <c r="C38" s="36" t="e">
        <f>Summary!#REF!</f>
        <v>#REF!</v>
      </c>
      <c r="D38" s="91" t="e">
        <f>Summary!#REF!</f>
        <v>#REF!</v>
      </c>
      <c r="G38" t="e">
        <f>Summary!#REF!</f>
        <v>#REF!</v>
      </c>
      <c r="H38" s="59"/>
      <c r="I38" s="53"/>
      <c r="J38" s="53"/>
      <c r="K38" s="57" t="str">
        <f>IFERROR(MIN(G38*0.05,D38*O36,500000),"")</f>
        <v/>
      </c>
      <c r="AJ38" t="s">
        <v>168</v>
      </c>
      <c r="AK38" t="str">
        <f t="shared" si="1"/>
        <v>Cube/NuggetRemote Condensing w/ remote compressorH &lt; 175</v>
      </c>
      <c r="AL38" t="s">
        <v>157</v>
      </c>
      <c r="AM38" t="s">
        <v>169</v>
      </c>
      <c r="AN38" t="s">
        <v>180</v>
      </c>
      <c r="AO38">
        <v>0</v>
      </c>
      <c r="AP38">
        <v>174.99</v>
      </c>
      <c r="AQ38">
        <v>14</v>
      </c>
      <c r="AR38">
        <v>-3.4000000000000002E-2</v>
      </c>
    </row>
    <row r="39" spans="2:44" hidden="1">
      <c r="B39" s="33" t="s">
        <v>191</v>
      </c>
      <c r="C39" s="36">
        <f>Summary!C24</f>
        <v>0</v>
      </c>
      <c r="D39" s="91">
        <f>Summary!F24</f>
        <v>0</v>
      </c>
      <c r="G39" t="e">
        <f>Summary!#REF!</f>
        <v>#REF!</v>
      </c>
      <c r="H39" s="59"/>
      <c r="I39" s="53"/>
      <c r="J39" s="53"/>
      <c r="K39" s="57" t="str">
        <f>IFERROR(MIN(G39*0.05,D39*O36,500000),"")</f>
        <v/>
      </c>
      <c r="AJ39" t="s">
        <v>168</v>
      </c>
      <c r="AK39" t="str">
        <f t="shared" si="1"/>
        <v>Cube/NuggetRemote Condensing w/ remote compressor175 ≤ H &lt; 450</v>
      </c>
      <c r="AL39" t="s">
        <v>157</v>
      </c>
      <c r="AM39" t="s">
        <v>169</v>
      </c>
      <c r="AN39" t="s">
        <v>183</v>
      </c>
      <c r="AO39">
        <v>175</v>
      </c>
      <c r="AP39">
        <v>449.99</v>
      </c>
      <c r="AQ39">
        <v>9.6</v>
      </c>
      <c r="AR39">
        <v>-9.7999999999999997E-3</v>
      </c>
    </row>
    <row r="40" spans="2:44" hidden="1">
      <c r="B40" s="33" t="s">
        <v>192</v>
      </c>
      <c r="C40" s="36">
        <f>Summary!C29</f>
        <v>0</v>
      </c>
      <c r="D40" s="91">
        <f>Summary!F29</f>
        <v>0</v>
      </c>
      <c r="G40" t="e">
        <f>Summary!#REF!</f>
        <v>#REF!</v>
      </c>
      <c r="H40" s="53"/>
      <c r="I40" s="53"/>
      <c r="J40" s="53"/>
      <c r="K40" s="57" t="str">
        <f>IFERROR(MIN(G40*0.05,D40*O36,500000),"")</f>
        <v/>
      </c>
      <c r="AJ40" t="s">
        <v>168</v>
      </c>
      <c r="AK40" t="str">
        <f t="shared" si="1"/>
        <v>Cube/NuggetRemote Condensing w/ remote compressor450 ≤ H &lt; 1,000</v>
      </c>
      <c r="AL40" t="s">
        <v>157</v>
      </c>
      <c r="AM40" t="s">
        <v>169</v>
      </c>
      <c r="AN40" t="s">
        <v>163</v>
      </c>
      <c r="AO40">
        <v>450</v>
      </c>
      <c r="AP40">
        <v>999.99</v>
      </c>
      <c r="AQ40">
        <v>5.9</v>
      </c>
      <c r="AR40">
        <v>-1.6000000000000001E-3</v>
      </c>
    </row>
    <row r="41" spans="2:44" hidden="1">
      <c r="B41" s="33"/>
      <c r="H41" s="53"/>
      <c r="I41" s="53"/>
      <c r="J41" s="53"/>
      <c r="K41" s="57"/>
      <c r="AJ41" t="s">
        <v>168</v>
      </c>
      <c r="AK41" t="str">
        <f t="shared" si="1"/>
        <v>Cube/NuggetRemote Condensing w/ remote compressor1,000 ≤ H</v>
      </c>
      <c r="AL41" t="s">
        <v>157</v>
      </c>
      <c r="AM41" t="s">
        <v>169</v>
      </c>
      <c r="AN41" t="s">
        <v>167</v>
      </c>
      <c r="AO41">
        <v>1000</v>
      </c>
      <c r="AQ41">
        <v>4.5</v>
      </c>
      <c r="AR41">
        <v>-2.0000000000000001E-4</v>
      </c>
    </row>
    <row r="42" spans="2:44" hidden="1">
      <c r="B42" s="33"/>
      <c r="H42" s="53"/>
      <c r="I42" s="53"/>
      <c r="J42" s="53"/>
      <c r="K42" s="57"/>
      <c r="AJ42" t="s">
        <v>168</v>
      </c>
      <c r="AK42" t="str">
        <f t="shared" si="1"/>
        <v>Cube/NuggetSelf ContainedH &lt; 175</v>
      </c>
      <c r="AL42" t="s">
        <v>157</v>
      </c>
      <c r="AM42" t="s">
        <v>179</v>
      </c>
      <c r="AN42" t="s">
        <v>180</v>
      </c>
      <c r="AO42">
        <v>0</v>
      </c>
      <c r="AP42">
        <v>174.99</v>
      </c>
      <c r="AQ42">
        <v>14</v>
      </c>
      <c r="AR42">
        <v>-3.4000000000000002E-2</v>
      </c>
    </row>
    <row r="43" spans="2:44" hidden="1">
      <c r="B43" s="33"/>
      <c r="H43" s="53"/>
      <c r="I43" s="53"/>
      <c r="J43" s="53"/>
      <c r="K43" s="57"/>
      <c r="AJ43" t="s">
        <v>168</v>
      </c>
      <c r="AK43" t="str">
        <f t="shared" si="1"/>
        <v>Cube/NuggetSelf Contained175 ≤ H &lt; 450</v>
      </c>
      <c r="AL43" t="s">
        <v>157</v>
      </c>
      <c r="AM43" t="s">
        <v>179</v>
      </c>
      <c r="AN43" t="s">
        <v>183</v>
      </c>
      <c r="AO43">
        <v>175</v>
      </c>
      <c r="AP43">
        <v>449.99</v>
      </c>
      <c r="AQ43">
        <v>9.6</v>
      </c>
      <c r="AR43">
        <v>-9.7999999999999997E-3</v>
      </c>
    </row>
    <row r="44" spans="2:44" hidden="1">
      <c r="B44" s="33"/>
      <c r="H44" s="53"/>
      <c r="I44" s="53"/>
      <c r="J44" s="53"/>
      <c r="K44" s="57"/>
      <c r="AJ44" t="s">
        <v>168</v>
      </c>
      <c r="AK44" t="str">
        <f t="shared" si="1"/>
        <v>Cube/NuggetSelf Contained450 ≤ H &lt; 1,000</v>
      </c>
      <c r="AL44" t="s">
        <v>157</v>
      </c>
      <c r="AM44" t="s">
        <v>179</v>
      </c>
      <c r="AN44" t="s">
        <v>163</v>
      </c>
      <c r="AO44">
        <v>450</v>
      </c>
      <c r="AP44">
        <v>999.99</v>
      </c>
      <c r="AQ44">
        <v>5.9</v>
      </c>
      <c r="AR44">
        <v>-1.6000000000000001E-3</v>
      </c>
    </row>
    <row r="45" spans="2:44" hidden="1">
      <c r="B45" s="33"/>
      <c r="H45" s="53"/>
      <c r="I45" s="53"/>
      <c r="J45" s="53"/>
      <c r="K45" s="57"/>
      <c r="AJ45" t="s">
        <v>168</v>
      </c>
      <c r="AK45" t="str">
        <f t="shared" si="1"/>
        <v>Cube/NuggetSelf Contained1,000 ≤ H</v>
      </c>
      <c r="AL45" t="s">
        <v>157</v>
      </c>
      <c r="AM45" t="s">
        <v>179</v>
      </c>
      <c r="AN45" t="s">
        <v>167</v>
      </c>
      <c r="AO45">
        <v>1000</v>
      </c>
      <c r="AQ45">
        <v>4.5</v>
      </c>
      <c r="AR45">
        <v>-2.0000000000000001E-4</v>
      </c>
    </row>
    <row r="46" spans="2:44" hidden="1">
      <c r="B46" s="33"/>
      <c r="H46" s="53"/>
      <c r="I46" s="53"/>
      <c r="J46" s="53"/>
      <c r="K46" s="57"/>
      <c r="AJ46" t="s">
        <v>168</v>
      </c>
      <c r="AK46" t="str">
        <f t="shared" si="1"/>
        <v>FlakeIce Making HeadH &lt; 1,000</v>
      </c>
      <c r="AL46" t="s">
        <v>181</v>
      </c>
      <c r="AM46" t="s">
        <v>158</v>
      </c>
      <c r="AN46" t="s">
        <v>166</v>
      </c>
      <c r="AP46">
        <v>999.99</v>
      </c>
      <c r="AQ46">
        <v>65</v>
      </c>
      <c r="AR46">
        <v>-3.3E-3</v>
      </c>
    </row>
    <row r="47" spans="2:44" ht="15" hidden="1" thickBot="1">
      <c r="B47" s="34"/>
      <c r="C47" s="35"/>
      <c r="D47" s="35"/>
      <c r="E47" s="35"/>
      <c r="F47" s="35"/>
      <c r="G47" s="35"/>
      <c r="H47" s="56"/>
      <c r="I47" s="56"/>
      <c r="J47" s="56"/>
      <c r="K47" s="58"/>
      <c r="AJ47" t="s">
        <v>168</v>
      </c>
      <c r="AK47" t="str">
        <f t="shared" si="1"/>
        <v>FlakeIce Making Head1,000 ≤ H</v>
      </c>
      <c r="AL47" t="s">
        <v>181</v>
      </c>
      <c r="AM47" t="s">
        <v>158</v>
      </c>
      <c r="AN47" t="s">
        <v>167</v>
      </c>
      <c r="AO47">
        <v>1000</v>
      </c>
      <c r="AQ47">
        <v>3.2</v>
      </c>
      <c r="AR47">
        <v>0</v>
      </c>
    </row>
    <row r="48" spans="2:44">
      <c r="B48" t="s">
        <v>193</v>
      </c>
      <c r="C48" s="36"/>
      <c r="G48" t="e">
        <f>Summary!#REF!</f>
        <v>#REF!</v>
      </c>
      <c r="H48" s="53"/>
      <c r="I48" s="53">
        <f>H48</f>
        <v>0</v>
      </c>
      <c r="J48" s="53" t="e">
        <f>SUM(J49:J51)</f>
        <v>#REF!</v>
      </c>
      <c r="K48" s="53" t="e">
        <f t="shared" si="0"/>
        <v>#REF!</v>
      </c>
      <c r="AJ48" t="s">
        <v>168</v>
      </c>
      <c r="AK48" t="str">
        <f t="shared" si="1"/>
        <v>FlakeRemote Condensing w/o remote compressorH &lt; 1,000</v>
      </c>
      <c r="AL48" t="s">
        <v>181</v>
      </c>
      <c r="AM48" t="s">
        <v>165</v>
      </c>
      <c r="AN48" t="s">
        <v>166</v>
      </c>
      <c r="AP48">
        <v>999.99</v>
      </c>
      <c r="AQ48">
        <v>65</v>
      </c>
      <c r="AR48">
        <v>-3.3E-3</v>
      </c>
    </row>
    <row r="49" spans="2:44">
      <c r="B49" t="str">
        <f>Calculations!D262</f>
        <v>0 &lt; V &lt; 13</v>
      </c>
      <c r="C49" s="36">
        <f>Calculations!I262</f>
        <v>0</v>
      </c>
      <c r="D49">
        <f>Calculations!J262</f>
        <v>0</v>
      </c>
      <c r="E49">
        <f>VLOOKUP(B49,$F$57:$G$59,2,FALSE)</f>
        <v>200</v>
      </c>
      <c r="F49" t="e">
        <f>#REF!</f>
        <v>#REF!</v>
      </c>
      <c r="H49" s="59"/>
      <c r="I49" s="53"/>
      <c r="J49" s="53" t="e">
        <f>E49*F49</f>
        <v>#REF!</v>
      </c>
      <c r="K49" s="53"/>
      <c r="AJ49" t="s">
        <v>168</v>
      </c>
      <c r="AK49" t="str">
        <f t="shared" si="1"/>
        <v>FlakeRemote Condensing w/o remote compressor1,000 ≤ H</v>
      </c>
      <c r="AL49" t="s">
        <v>181</v>
      </c>
      <c r="AM49" t="s">
        <v>165</v>
      </c>
      <c r="AN49" t="s">
        <v>167</v>
      </c>
      <c r="AO49">
        <v>1000</v>
      </c>
      <c r="AQ49">
        <v>3.2</v>
      </c>
      <c r="AR49">
        <v>0</v>
      </c>
    </row>
    <row r="50" spans="2:44">
      <c r="B50" t="str">
        <f>Calculations!D263</f>
        <v>0 &lt; V &lt; 13</v>
      </c>
      <c r="C50" s="36">
        <f>Calculations!I263</f>
        <v>0</v>
      </c>
      <c r="D50">
        <f>Calculations!J263</f>
        <v>0</v>
      </c>
      <c r="E50">
        <f t="shared" ref="E50:E51" si="17">VLOOKUP(B50,$F$57:$G$59,2,FALSE)</f>
        <v>200</v>
      </c>
      <c r="F50" t="e">
        <f>#REF!</f>
        <v>#REF!</v>
      </c>
      <c r="H50" s="59"/>
      <c r="I50" s="53"/>
      <c r="J50" s="53" t="e">
        <f t="shared" ref="J50:J51" si="18">E50*F50</f>
        <v>#REF!</v>
      </c>
      <c r="K50" s="53"/>
      <c r="AJ50" t="s">
        <v>168</v>
      </c>
      <c r="AK50" t="str">
        <f t="shared" si="1"/>
        <v>FlakeRemote Condensing w/ remote compressorH &lt; 1,000</v>
      </c>
      <c r="AL50" t="s">
        <v>181</v>
      </c>
      <c r="AM50" t="s">
        <v>169</v>
      </c>
      <c r="AN50" t="s">
        <v>166</v>
      </c>
      <c r="AP50">
        <v>999.99</v>
      </c>
      <c r="AQ50">
        <v>65</v>
      </c>
      <c r="AR50">
        <v>-3.3E-3</v>
      </c>
    </row>
    <row r="51" spans="2:44">
      <c r="B51" t="str">
        <f>Calculations!D264</f>
        <v>0 &lt; V &lt; 13</v>
      </c>
      <c r="C51" s="36">
        <f>Calculations!I264</f>
        <v>0</v>
      </c>
      <c r="D51">
        <f>Calculations!J264</f>
        <v>0</v>
      </c>
      <c r="E51">
        <f t="shared" si="17"/>
        <v>200</v>
      </c>
      <c r="F51" t="e">
        <f>#REF!</f>
        <v>#REF!</v>
      </c>
      <c r="H51" s="59"/>
      <c r="I51" s="53"/>
      <c r="J51" s="53" t="e">
        <f t="shared" si="18"/>
        <v>#REF!</v>
      </c>
      <c r="K51" s="53"/>
      <c r="AJ51" t="s">
        <v>168</v>
      </c>
      <c r="AK51" t="str">
        <f t="shared" si="1"/>
        <v>FlakeRemote Condensing w/ remote compressor1,000 ≤ H</v>
      </c>
      <c r="AL51" t="s">
        <v>181</v>
      </c>
      <c r="AM51" t="s">
        <v>169</v>
      </c>
      <c r="AN51" t="s">
        <v>167</v>
      </c>
      <c r="AO51">
        <v>1000</v>
      </c>
      <c r="AQ51">
        <v>3.2</v>
      </c>
      <c r="AR51">
        <v>0</v>
      </c>
    </row>
    <row r="52" spans="2:44">
      <c r="B52" t="s">
        <v>194</v>
      </c>
      <c r="AJ52" t="s">
        <v>168</v>
      </c>
      <c r="AK52" t="str">
        <f t="shared" si="1"/>
        <v>FlakeSelf ContainedH &lt; 1,000</v>
      </c>
      <c r="AL52" t="s">
        <v>181</v>
      </c>
      <c r="AM52" t="s">
        <v>179</v>
      </c>
      <c r="AN52" t="s">
        <v>166</v>
      </c>
      <c r="AP52">
        <v>999.99</v>
      </c>
      <c r="AQ52">
        <v>65</v>
      </c>
      <c r="AR52">
        <v>-3.3E-3</v>
      </c>
    </row>
    <row r="53" spans="2:44">
      <c r="AJ53" t="s">
        <v>168</v>
      </c>
      <c r="AK53" t="str">
        <f t="shared" si="1"/>
        <v>FlakeSelf Contained1,000 ≤ H</v>
      </c>
      <c r="AL53" t="s">
        <v>181</v>
      </c>
      <c r="AM53" t="s">
        <v>179</v>
      </c>
      <c r="AN53" t="s">
        <v>167</v>
      </c>
      <c r="AO53">
        <v>1000</v>
      </c>
      <c r="AQ53">
        <v>3.2</v>
      </c>
      <c r="AR53">
        <v>0</v>
      </c>
    </row>
    <row r="56" spans="2:44" ht="15">
      <c r="B56" s="263" t="s">
        <v>195</v>
      </c>
      <c r="C56" s="264"/>
      <c r="D56" s="264"/>
      <c r="F56" s="264" t="s">
        <v>196</v>
      </c>
      <c r="G56" s="264"/>
    </row>
    <row r="57" spans="2:44">
      <c r="B57" s="264" t="s">
        <v>197</v>
      </c>
      <c r="C57" s="265">
        <v>75</v>
      </c>
      <c r="D57" s="264" t="s">
        <v>160</v>
      </c>
      <c r="F57" s="264" t="s">
        <v>198</v>
      </c>
      <c r="G57" s="265">
        <v>200</v>
      </c>
    </row>
    <row r="58" spans="2:44">
      <c r="B58" s="264" t="s">
        <v>199</v>
      </c>
      <c r="C58" s="265">
        <v>100</v>
      </c>
      <c r="D58" s="264" t="s">
        <v>160</v>
      </c>
      <c r="F58" s="264" t="s">
        <v>200</v>
      </c>
      <c r="G58" s="265">
        <v>250</v>
      </c>
    </row>
    <row r="59" spans="2:44">
      <c r="B59" s="264" t="s">
        <v>201</v>
      </c>
      <c r="C59" s="265">
        <v>150</v>
      </c>
      <c r="D59" s="264" t="s">
        <v>160</v>
      </c>
      <c r="F59" s="264" t="s">
        <v>202</v>
      </c>
      <c r="G59" s="265">
        <v>300</v>
      </c>
    </row>
    <row r="60" spans="2:44">
      <c r="B60" s="264" t="s">
        <v>203</v>
      </c>
      <c r="C60" s="265">
        <v>225</v>
      </c>
      <c r="D60" s="264" t="s">
        <v>160</v>
      </c>
    </row>
    <row r="61" spans="2:44">
      <c r="B61" s="264" t="s">
        <v>204</v>
      </c>
      <c r="C61" s="265">
        <v>85</v>
      </c>
      <c r="D61" s="264" t="s">
        <v>160</v>
      </c>
    </row>
    <row r="62" spans="2:44">
      <c r="B62" s="264" t="s">
        <v>205</v>
      </c>
      <c r="C62" s="265">
        <v>170</v>
      </c>
      <c r="D62" s="264" t="s">
        <v>160</v>
      </c>
      <c r="F62" s="264" t="s">
        <v>164</v>
      </c>
      <c r="G62" s="264"/>
    </row>
    <row r="63" spans="2:44">
      <c r="B63" s="264" t="s">
        <v>206</v>
      </c>
      <c r="C63" s="265">
        <v>272</v>
      </c>
      <c r="D63" s="264" t="s">
        <v>160</v>
      </c>
      <c r="F63" s="264" t="s">
        <v>207</v>
      </c>
      <c r="G63" s="265">
        <v>200</v>
      </c>
    </row>
    <row r="64" spans="2:44">
      <c r="B64" s="264" t="s">
        <v>208</v>
      </c>
      <c r="C64" s="265">
        <v>425</v>
      </c>
      <c r="D64" s="264" t="s">
        <v>160</v>
      </c>
      <c r="F64" s="264" t="s">
        <v>209</v>
      </c>
      <c r="G64" s="265">
        <v>170</v>
      </c>
    </row>
    <row r="65" spans="2:4">
      <c r="B65" s="264" t="s">
        <v>210</v>
      </c>
      <c r="C65" s="265">
        <v>75</v>
      </c>
      <c r="D65" s="264" t="s">
        <v>160</v>
      </c>
    </row>
    <row r="66" spans="2:4">
      <c r="B66" s="264" t="s">
        <v>211</v>
      </c>
      <c r="C66" s="265">
        <v>100</v>
      </c>
      <c r="D66" s="264" t="s">
        <v>160</v>
      </c>
    </row>
    <row r="67" spans="2:4">
      <c r="B67" s="264" t="s">
        <v>212</v>
      </c>
      <c r="C67" s="265">
        <v>125</v>
      </c>
      <c r="D67" s="264" t="s">
        <v>160</v>
      </c>
    </row>
    <row r="68" spans="2:4">
      <c r="B68" s="264" t="s">
        <v>213</v>
      </c>
      <c r="C68" s="265">
        <v>150</v>
      </c>
      <c r="D68" s="264" t="s">
        <v>160</v>
      </c>
    </row>
    <row r="69" spans="2:4">
      <c r="B69" s="264" t="s">
        <v>214</v>
      </c>
      <c r="C69" s="265">
        <v>85</v>
      </c>
      <c r="D69" s="264" t="s">
        <v>160</v>
      </c>
    </row>
    <row r="70" spans="2:4">
      <c r="B70" s="264" t="s">
        <v>215</v>
      </c>
      <c r="C70" s="265">
        <v>170</v>
      </c>
      <c r="D70" s="264" t="s">
        <v>160</v>
      </c>
    </row>
    <row r="71" spans="2:4">
      <c r="B71" s="264" t="s">
        <v>216</v>
      </c>
      <c r="C71" s="265">
        <v>212.5</v>
      </c>
      <c r="D71" s="264" t="s">
        <v>160</v>
      </c>
    </row>
    <row r="72" spans="2:4">
      <c r="B72" s="264" t="s">
        <v>217</v>
      </c>
      <c r="C72" s="265">
        <v>255</v>
      </c>
      <c r="D72" s="264" t="s">
        <v>160</v>
      </c>
    </row>
    <row r="75" spans="2:4" ht="15">
      <c r="B75" s="177" t="s">
        <v>218</v>
      </c>
      <c r="C75" s="179"/>
    </row>
    <row r="76" spans="2:4" ht="15">
      <c r="B76" s="263" t="s">
        <v>80</v>
      </c>
      <c r="C76" s="178" t="s">
        <v>219</v>
      </c>
    </row>
    <row r="77" spans="2:4">
      <c r="B77" s="264" t="s">
        <v>220</v>
      </c>
      <c r="C77" s="266">
        <v>2371</v>
      </c>
    </row>
    <row r="78" spans="2:4">
      <c r="B78" s="264" t="s">
        <v>221</v>
      </c>
      <c r="C78" s="266">
        <v>4305</v>
      </c>
    </row>
    <row r="79" spans="2:4">
      <c r="B79" s="264" t="s">
        <v>222</v>
      </c>
      <c r="C79" s="266">
        <v>3604</v>
      </c>
    </row>
    <row r="80" spans="2:4">
      <c r="B80" s="264" t="s">
        <v>223</v>
      </c>
      <c r="C80" s="266">
        <v>6471</v>
      </c>
    </row>
    <row r="81" spans="2:3">
      <c r="B81" s="264" t="s">
        <v>224</v>
      </c>
      <c r="C81" s="266">
        <v>2943</v>
      </c>
    </row>
    <row r="82" spans="2:3">
      <c r="B82" s="264" t="s">
        <v>225</v>
      </c>
      <c r="C82" s="266">
        <v>2857</v>
      </c>
    </row>
    <row r="83" spans="2:3">
      <c r="B83" s="264" t="s">
        <v>226</v>
      </c>
      <c r="C83" s="266">
        <v>4730</v>
      </c>
    </row>
    <row r="84" spans="2:3">
      <c r="B84" s="264" t="s">
        <v>227</v>
      </c>
      <c r="C84" s="266">
        <v>6631</v>
      </c>
    </row>
    <row r="85" spans="2:3">
      <c r="B85" s="264" t="s">
        <v>228</v>
      </c>
      <c r="C85" s="266">
        <v>1419</v>
      </c>
    </row>
    <row r="86" spans="2:3">
      <c r="B86" s="264" t="s">
        <v>229</v>
      </c>
      <c r="C86" s="266">
        <v>3579</v>
      </c>
    </row>
    <row r="87" spans="2:3">
      <c r="B87" s="264" t="s">
        <v>230</v>
      </c>
      <c r="C87" s="266">
        <v>2830</v>
      </c>
    </row>
    <row r="88" spans="2:3">
      <c r="B88" s="264" t="s">
        <v>231</v>
      </c>
      <c r="C88" s="266">
        <v>5950</v>
      </c>
    </row>
    <row r="89" spans="2:3">
      <c r="B89" s="264" t="s">
        <v>232</v>
      </c>
      <c r="C89" s="266">
        <v>2294</v>
      </c>
    </row>
    <row r="90" spans="2:3">
      <c r="B90" s="264" t="s">
        <v>233</v>
      </c>
      <c r="C90" s="266">
        <v>8678</v>
      </c>
    </row>
    <row r="91" spans="2:3">
      <c r="B91" s="264" t="s">
        <v>234</v>
      </c>
      <c r="C91" s="266">
        <v>4747</v>
      </c>
    </row>
    <row r="92" spans="2:3">
      <c r="B92" s="264" t="s">
        <v>235</v>
      </c>
      <c r="C92" s="266">
        <v>2915</v>
      </c>
    </row>
    <row r="93" spans="2:3">
      <c r="B93" s="267" t="s">
        <v>236</v>
      </c>
      <c r="C93" s="268">
        <v>4300</v>
      </c>
    </row>
    <row r="94" spans="2:3">
      <c r="B94" s="264" t="s">
        <v>237</v>
      </c>
      <c r="C94" s="266">
        <v>2545</v>
      </c>
    </row>
  </sheetData>
  <mergeCells count="3">
    <mergeCell ref="J19:K19"/>
    <mergeCell ref="G19:G20"/>
    <mergeCell ref="I19:I20"/>
  </mergeCells>
  <phoneticPr fontId="100" type="noConversion"/>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99493-9BBF-42F7-93BE-E0D0C8F49E90}">
  <sheetPr codeName="Sheet4">
    <tabColor rgb="FF001489"/>
  </sheetPr>
  <dimension ref="A1:AG105"/>
  <sheetViews>
    <sheetView tabSelected="1" zoomScaleNormal="100" workbookViewId="0">
      <selection activeCell="F6" sqref="F6:F7"/>
    </sheetView>
  </sheetViews>
  <sheetFormatPr defaultColWidth="9" defaultRowHeight="14.25"/>
  <cols>
    <col min="1" max="1" width="3" style="1" customWidth="1"/>
    <col min="2" max="2" width="58.125" customWidth="1"/>
    <col min="3" max="3" width="20.125" customWidth="1"/>
    <col min="4" max="4" width="23.125" style="1" customWidth="1"/>
    <col min="5" max="5" width="19.375" style="69" customWidth="1"/>
    <col min="6" max="6" width="17.875" style="69" customWidth="1"/>
    <col min="7" max="7" width="20.625" style="69" customWidth="1"/>
    <col min="8" max="8" width="20.625" style="69" hidden="1" customWidth="1"/>
    <col min="9" max="9" width="20.625" style="69" customWidth="1"/>
    <col min="10" max="31" width="9" style="1"/>
  </cols>
  <sheetData>
    <row r="1" spans="2:9" s="1" customFormat="1"/>
    <row r="2" spans="2:9" s="68" customFormat="1" ht="15">
      <c r="F2" s="160" t="s">
        <v>238</v>
      </c>
      <c r="G2" s="884">
        <f>'Version Log'!J5</f>
        <v>5.01</v>
      </c>
    </row>
    <row r="3" spans="2:9" s="68" customFormat="1" ht="34.5">
      <c r="B3" s="785" t="s">
        <v>239</v>
      </c>
      <c r="C3" s="786"/>
      <c r="D3" s="786"/>
      <c r="F3" s="160" t="s">
        <v>240</v>
      </c>
      <c r="G3" s="67">
        <f>'Version Log'!J6</f>
        <v>46181</v>
      </c>
    </row>
    <row r="4" spans="2:9" s="68" customFormat="1" ht="30.75" customHeight="1">
      <c r="B4" s="787" t="s">
        <v>241</v>
      </c>
      <c r="C4" s="787"/>
      <c r="D4" s="787"/>
      <c r="H4" s="118"/>
      <c r="I4" s="119"/>
    </row>
    <row r="5" spans="2:9" s="68" customFormat="1" ht="15.75" thickBot="1">
      <c r="B5" s="120"/>
      <c r="C5" s="120"/>
      <c r="D5" s="1"/>
      <c r="H5" s="118"/>
      <c r="I5" s="119"/>
    </row>
    <row r="6" spans="2:9" s="68" customFormat="1">
      <c r="B6" s="702" t="s">
        <v>242</v>
      </c>
      <c r="C6" s="788"/>
      <c r="D6" s="789"/>
      <c r="H6" s="118"/>
      <c r="I6" s="119"/>
    </row>
    <row r="7" spans="2:9" s="68" customFormat="1">
      <c r="B7" s="703" t="s">
        <v>243</v>
      </c>
      <c r="C7" s="790"/>
      <c r="D7" s="791"/>
      <c r="H7" s="118"/>
      <c r="I7" s="119"/>
    </row>
    <row r="8" spans="2:9" s="68" customFormat="1">
      <c r="B8" s="703" t="s">
        <v>244</v>
      </c>
      <c r="C8" s="792"/>
      <c r="D8" s="793"/>
      <c r="H8" s="118"/>
      <c r="I8" s="119"/>
    </row>
    <row r="9" spans="2:9" s="68" customFormat="1">
      <c r="B9" s="703" t="s">
        <v>245</v>
      </c>
      <c r="C9" s="783"/>
      <c r="D9" s="784"/>
      <c r="H9" s="118"/>
      <c r="I9" s="119"/>
    </row>
    <row r="10" spans="2:9" s="68" customFormat="1" hidden="1">
      <c r="B10" s="703" t="s">
        <v>246</v>
      </c>
      <c r="C10" s="783"/>
      <c r="D10" s="784"/>
      <c r="H10" s="118"/>
      <c r="I10" s="119"/>
    </row>
    <row r="11" spans="2:9" s="68" customFormat="1">
      <c r="B11" s="703" t="s">
        <v>247</v>
      </c>
      <c r="C11" s="185"/>
      <c r="D11" s="139" t="str" cm="1">
        <f t="array" ref="D11">IFERROR(IF(C11="","",INDEX('Zip Code Lookup Table'!$C$2:$C$2223,MATCH(Summary!C11,'Zip Code Lookup Table'!$A$2:$A$2223,0))), ERROR: Zipcode not found in Pennsylvania lookups table)</f>
        <v/>
      </c>
      <c r="H11" s="118"/>
      <c r="I11" s="119"/>
    </row>
    <row r="12" spans="2:9" s="1" customFormat="1">
      <c r="B12" s="704" t="s">
        <v>248</v>
      </c>
      <c r="C12" s="776"/>
      <c r="D12" s="777"/>
      <c r="E12" s="68"/>
      <c r="F12" s="68"/>
      <c r="G12" s="68"/>
    </row>
    <row r="13" spans="2:9" s="1" customFormat="1">
      <c r="B13" s="704" t="s">
        <v>249</v>
      </c>
      <c r="C13" s="776"/>
      <c r="D13" s="777"/>
    </row>
    <row r="14" spans="2:9" s="1" customFormat="1" ht="15" thickBot="1">
      <c r="B14" s="705" t="s">
        <v>250</v>
      </c>
      <c r="C14" s="778"/>
      <c r="D14" s="779"/>
    </row>
    <row r="15" spans="2:9" s="1" customFormat="1">
      <c r="B15" s="167"/>
      <c r="C15" s="780"/>
      <c r="D15" s="780"/>
    </row>
    <row r="16" spans="2:9" s="1" customFormat="1" ht="15" thickBot="1"/>
    <row r="17" spans="2:32" s="1" customFormat="1" ht="15">
      <c r="B17" s="781" t="s">
        <v>138</v>
      </c>
      <c r="C17" s="769" t="s">
        <v>139</v>
      </c>
      <c r="D17" s="770"/>
      <c r="E17" s="769"/>
      <c r="F17" s="775"/>
      <c r="G17" s="769" t="s">
        <v>126</v>
      </c>
    </row>
    <row r="18" spans="2:32" s="1" customFormat="1" ht="15" customHeight="1">
      <c r="B18" s="782"/>
      <c r="C18" s="773" t="s">
        <v>251</v>
      </c>
      <c r="D18" s="771" t="s">
        <v>252</v>
      </c>
      <c r="E18" s="773" t="s">
        <v>253</v>
      </c>
      <c r="F18" s="769" t="s">
        <v>123</v>
      </c>
      <c r="G18" s="769"/>
      <c r="I18" s="8"/>
      <c r="J18" s="8"/>
      <c r="K18" s="8"/>
      <c r="L18" s="8"/>
    </row>
    <row r="19" spans="2:32" s="8" customFormat="1" ht="24.95" customHeight="1">
      <c r="B19" s="782"/>
      <c r="C19" s="774"/>
      <c r="D19" s="772"/>
      <c r="E19" s="774"/>
      <c r="F19" s="770"/>
      <c r="G19" s="769"/>
      <c r="H19" s="8" t="s">
        <v>254</v>
      </c>
      <c r="AE19" s="29"/>
      <c r="AF19" s="29"/>
    </row>
    <row r="20" spans="2:32" s="8" customFormat="1" ht="24.95" hidden="1" customHeight="1">
      <c r="B20" s="698" t="str">
        <f>'ES Ice Machines'!$B$5</f>
        <v>ENERGY STAR Ice Machines</v>
      </c>
      <c r="C20" s="694">
        <f>IFERROR('ES Ice Machines'!L11,0)</f>
        <v>0</v>
      </c>
      <c r="D20" s="692">
        <f>IFERROR('ES Ice Machines'!M11,0)</f>
        <v>0</v>
      </c>
      <c r="E20" s="692">
        <f>IFERROR('ES Ice Machines'!N11,0)</f>
        <v>0</v>
      </c>
      <c r="F20" s="693">
        <f>IFERROR('ES Ice Machines'!M11,0)</f>
        <v>0</v>
      </c>
      <c r="G20" s="689">
        <f>SUM('ES Ice Machines'!Q7:Q10)</f>
        <v>0</v>
      </c>
      <c r="H20" s="146">
        <f>SUM('ES Ice Machines'!P7:P10)</f>
        <v>0</v>
      </c>
      <c r="AE20" s="29"/>
      <c r="AF20" s="29"/>
    </row>
    <row r="21" spans="2:32" s="8" customFormat="1" ht="24.95" hidden="1" customHeight="1">
      <c r="B21" s="699" t="str">
        <f>'Beverage and Snack Controls'!B5</f>
        <v>Beverage &amp; Snack Vending Machine</v>
      </c>
      <c r="C21" s="695">
        <f>IFERROR('Beverage and Snack Controls'!I11,0)</f>
        <v>0</v>
      </c>
      <c r="D21" s="691">
        <f>IFERROR('Beverage and Snack Controls'!J11,0)</f>
        <v>0</v>
      </c>
      <c r="E21" s="691">
        <f>IFERROR('Beverage and Snack Controls'!K11,0)</f>
        <v>0</v>
      </c>
      <c r="F21" s="688">
        <f>IFERROR('Beverage and Snack Controls'!L11,0)</f>
        <v>0</v>
      </c>
      <c r="G21" s="690">
        <f>SUM('Beverage and Snack Controls'!N7:N10)</f>
        <v>0</v>
      </c>
      <c r="H21" s="146">
        <f>SUM('Beverage and Snack Controls'!M7:M10)</f>
        <v>0</v>
      </c>
      <c r="AE21" s="29"/>
      <c r="AF21" s="29"/>
    </row>
    <row r="22" spans="2:32" s="8" customFormat="1" ht="24.95" hidden="1" customHeight="1">
      <c r="B22" s="699" t="str">
        <f>'ENERGY STAR Steam Cooker'!B5</f>
        <v>ENERGY STAR Electric Steam Cookers</v>
      </c>
      <c r="C22" s="695">
        <f>IFERROR('ENERGY STAR Steam Cooker'!J11,0)</f>
        <v>0</v>
      </c>
      <c r="D22" s="691">
        <f>IFERROR('ENERGY STAR Steam Cooker'!K11,0)</f>
        <v>0</v>
      </c>
      <c r="E22" s="691">
        <f>IFERROR('ENERGY STAR Steam Cooker'!L11,0)</f>
        <v>0</v>
      </c>
      <c r="F22" s="688">
        <f>IFERROR('ENERGY STAR Steam Cooker'!L11,0)</f>
        <v>0</v>
      </c>
      <c r="G22" s="690">
        <f>SUM('ENERGY STAR Steam Cooker'!O7:O10)</f>
        <v>0</v>
      </c>
      <c r="H22" s="146">
        <f>SUM('ENERGY STAR Steam Cooker'!N7:N10)</f>
        <v>0</v>
      </c>
      <c r="AE22" s="29"/>
      <c r="AF22" s="29"/>
    </row>
    <row r="23" spans="2:32" s="8" customFormat="1" ht="24.95" customHeight="1">
      <c r="B23" s="699" t="str">
        <f>'Combination Oven'!$B$9</f>
        <v>ENERGY STAR Combination Oven</v>
      </c>
      <c r="C23" s="709">
        <f>IFERROR('Combination Oven'!H15,0)</f>
        <v>0</v>
      </c>
      <c r="D23" s="710">
        <f>IFERROR('Combination Oven'!I15,0)</f>
        <v>0</v>
      </c>
      <c r="E23" s="710">
        <f>IFERROR('Combination Oven'!J15,0)</f>
        <v>0</v>
      </c>
      <c r="F23" s="711">
        <f>IFERROR('Combination Oven'!#REF!,0)</f>
        <v>0</v>
      </c>
      <c r="G23" s="712">
        <f>SUM('Combination Oven'!M11:M14)</f>
        <v>0</v>
      </c>
      <c r="H23" s="146">
        <f>SUM('Combination Oven'!L11:L14)</f>
        <v>0</v>
      </c>
      <c r="AE23" s="29"/>
      <c r="AF23" s="29"/>
    </row>
    <row r="24" spans="2:32" s="8" customFormat="1" ht="24.95" customHeight="1">
      <c r="B24" s="699" t="str">
        <f>'Convection Oven'!B5</f>
        <v>ENERGY STAR Convection Oven</v>
      </c>
      <c r="C24" s="709">
        <f>IFERROR('Combination Oven'!G11,0)</f>
        <v>0</v>
      </c>
      <c r="D24" s="710">
        <f>IFERROR('Combination Oven'!H11,0)</f>
        <v>0</v>
      </c>
      <c r="E24" s="710">
        <f>IFERROR('Combination Oven'!I11,0)</f>
        <v>0</v>
      </c>
      <c r="F24" s="711">
        <f>IFERROR('Convection Oven'!J11,0)</f>
        <v>0</v>
      </c>
      <c r="G24" s="712">
        <f>SUM('Convection Oven'!L7:L10)</f>
        <v>0</v>
      </c>
      <c r="H24" s="146">
        <f>SUM('Convection Oven'!K7:K10)</f>
        <v>0</v>
      </c>
      <c r="AE24" s="29"/>
      <c r="AF24" s="29"/>
    </row>
    <row r="25" spans="2:32" s="8" customFormat="1" ht="24.95" customHeight="1">
      <c r="B25" s="699" t="str">
        <f>'Commercial Fryer'!B5</f>
        <v>ENERGY STAR Commercial Fryer</v>
      </c>
      <c r="C25" s="709">
        <f>IFERROR('Commercial Fryer'!I11,0)</f>
        <v>0</v>
      </c>
      <c r="D25" s="710">
        <f>IFERROR('Commercial Fryer'!J11,0)</f>
        <v>0</v>
      </c>
      <c r="E25" s="710">
        <f>IFERROR('Commercial Fryer'!K11,0)</f>
        <v>0</v>
      </c>
      <c r="F25" s="711">
        <f>IFERROR('Commercial Fryer'!L11,0)</f>
        <v>0</v>
      </c>
      <c r="G25" s="712">
        <f>SUM('Commercial Fryer'!N7:N10)</f>
        <v>0</v>
      </c>
      <c r="H25" s="146">
        <f>SUM('Commercial Fryer'!M7:M10)</f>
        <v>0</v>
      </c>
      <c r="AE25" s="29"/>
      <c r="AF25" s="29"/>
    </row>
    <row r="26" spans="2:32" s="8" customFormat="1" ht="24.95" customHeight="1">
      <c r="B26" s="699" t="str">
        <f>'Hot Food Holding Cabinet'!B5</f>
        <v>ENERGY STAR Hot Food Holding Cabinet</v>
      </c>
      <c r="C26" s="709">
        <f>IFERROR('Hot Food Holding Cabinet'!G11,0)</f>
        <v>0</v>
      </c>
      <c r="D26" s="710">
        <f>IFERROR('Hot Food Holding Cabinet'!H11,0)</f>
        <v>0</v>
      </c>
      <c r="E26" s="710">
        <f>IFERROR('Hot Food Holding Cabinet'!I11,0)</f>
        <v>0</v>
      </c>
      <c r="F26" s="711">
        <f>IFERROR('Hot Food Holding Cabinet'!J11,0)</f>
        <v>0</v>
      </c>
      <c r="G26" s="712">
        <f>SUM('Hot Food Holding Cabinet'!L7:L10)</f>
        <v>0</v>
      </c>
      <c r="H26" s="146">
        <f>SUM('Hot Food Holding Cabinet'!K7:K10)</f>
        <v>0</v>
      </c>
      <c r="AE26" s="29"/>
      <c r="AF26" s="29"/>
    </row>
    <row r="27" spans="2:32" s="8" customFormat="1" ht="24.95" customHeight="1">
      <c r="B27" s="699" t="str">
        <f>'Commercial Dishwasher'!B5</f>
        <v>ENERGY STAR Commercial Dishwasher</v>
      </c>
      <c r="C27" s="709">
        <f>IFERROR('Commercial Dishwasher'!H11,0)</f>
        <v>0</v>
      </c>
      <c r="D27" s="710">
        <f>IFERROR('Commercial Dishwasher'!I11,0)</f>
        <v>0</v>
      </c>
      <c r="E27" s="710">
        <f>IFERROR('Commercial Dishwasher'!J11,0)</f>
        <v>0</v>
      </c>
      <c r="F27" s="711">
        <f>IFERROR('Commercial Dishwasher'!K11,0)</f>
        <v>0</v>
      </c>
      <c r="G27" s="712">
        <f>SUM('Commercial Dishwasher'!M7:M10)</f>
        <v>0</v>
      </c>
      <c r="H27" s="146">
        <f>SUM('Commercial Dishwasher'!L7:L10)</f>
        <v>0</v>
      </c>
      <c r="AE27" s="29"/>
      <c r="AF27" s="29"/>
    </row>
    <row r="28" spans="2:32" s="8" customFormat="1" ht="24.95" customHeight="1">
      <c r="B28" s="699" t="str">
        <f>'ENERGY STAR Griddle'!B5</f>
        <v>ENERGY STAR Griddle</v>
      </c>
      <c r="C28" s="709">
        <f>IFERROR('ENERGY STAR Griddle'!G11,0)</f>
        <v>0</v>
      </c>
      <c r="D28" s="710">
        <f>IFERROR('ENERGY STAR Griddle'!H11,0)</f>
        <v>0</v>
      </c>
      <c r="E28" s="710">
        <f>IFERROR('ENERGY STAR Griddle'!I11,0)</f>
        <v>0</v>
      </c>
      <c r="F28" s="711">
        <f>IFERROR('ENERGY STAR Griddle'!J11,0)</f>
        <v>0</v>
      </c>
      <c r="G28" s="712">
        <f>SUM('ENERGY STAR Griddle'!L7:L10)</f>
        <v>0</v>
      </c>
      <c r="H28" s="146">
        <f>SUM('ENERGY STAR Griddle'!K7:K10)</f>
        <v>0</v>
      </c>
      <c r="AE28" s="29"/>
      <c r="AF28" s="29"/>
    </row>
    <row r="29" spans="2:32" s="8" customFormat="1" ht="24.95" customHeight="1">
      <c r="B29" s="699" t="str">
        <f>'ENERGY STAR Clothes Washer'!B6</f>
        <v>Energy Star Commercial Clothes Washer</v>
      </c>
      <c r="C29" s="709">
        <f>IFERROR('ENERGY STAR Clothes Washer'!H12,0)</f>
        <v>0</v>
      </c>
      <c r="D29" s="710">
        <f>IFERROR('ENERGY STAR Clothes Washer'!I12,0)</f>
        <v>0</v>
      </c>
      <c r="E29" s="710">
        <f>IFERROR('ENERGY STAR Clothes Washer'!J12,0)</f>
        <v>0</v>
      </c>
      <c r="F29" s="711">
        <f>IFERROR('ENERGY STAR Clothes Washer'!I12,0)</f>
        <v>0</v>
      </c>
      <c r="G29" s="712">
        <f>SUM('ENERGY STAR Clothes Washer'!M8:M11)</f>
        <v>0</v>
      </c>
      <c r="H29" s="146">
        <f>SUM('ENERGY STAR Clothes Washer'!L8:L11)</f>
        <v>0</v>
      </c>
      <c r="AE29" s="29"/>
      <c r="AF29" s="29"/>
    </row>
    <row r="30" spans="2:32" s="8" customFormat="1" ht="24.95" hidden="1" customHeight="1">
      <c r="B30" s="699" t="str">
        <f>'ENERGY STAR Bath Fans'!B5</f>
        <v>ENERGY STAR Bath Fans</v>
      </c>
      <c r="C30" s="709">
        <f>IFERROR('ENERGY STAR Bath Fans'!I11,0)</f>
        <v>0</v>
      </c>
      <c r="D30" s="710">
        <f>IFERROR('ENERGY STAR Bath Fans'!J11,0)</f>
        <v>0</v>
      </c>
      <c r="E30" s="710">
        <f>IFERROR('ENERGY STAR Bath Fans'!K11,0)</f>
        <v>0</v>
      </c>
      <c r="F30" s="711">
        <f>IFERROR('ENERGY STAR Bath Fans'!J11,0)</f>
        <v>0</v>
      </c>
      <c r="G30" s="712">
        <f>SUM('ENERGY STAR Bath Fans'!N7:N10)</f>
        <v>0</v>
      </c>
      <c r="H30" s="146">
        <f>SUM('ENERGY STAR Bath Fans'!M7:M10)</f>
        <v>0</v>
      </c>
      <c r="AE30" s="29"/>
      <c r="AF30" s="29"/>
    </row>
    <row r="31" spans="2:32" s="8" customFormat="1" ht="24.95" hidden="1" customHeight="1">
      <c r="B31" s="699" t="str">
        <f>'Network Power Management'!B5</f>
        <v>Network Power Management</v>
      </c>
      <c r="C31" s="709">
        <f>IFERROR('Network Power Management'!B11,0)</f>
        <v>0</v>
      </c>
      <c r="D31" s="710">
        <f>IFERROR('Network Power Management'!C11,0)</f>
        <v>0</v>
      </c>
      <c r="E31" s="710">
        <f>IFERROR('Network Power Management'!D11,0)</f>
        <v>0</v>
      </c>
      <c r="F31" s="711">
        <f>IFERROR('Network Power Management'!C11,0)</f>
        <v>0</v>
      </c>
      <c r="G31" s="712">
        <f>SUM('Network Power Management'!E7:E10)</f>
        <v>0</v>
      </c>
      <c r="H31" s="146">
        <f>SUM('Network Power Management'!D7:D10)</f>
        <v>0</v>
      </c>
      <c r="AE31" s="29"/>
      <c r="AF31" s="29"/>
    </row>
    <row r="32" spans="2:32" s="8" customFormat="1" ht="24.95" hidden="1" customHeight="1">
      <c r="B32" s="699" t="str">
        <f>'Advanced Power Strips'!$B$5</f>
        <v>Advanced Power Strips</v>
      </c>
      <c r="C32" s="709">
        <f>IFERROR('Advanced Power Strips'!F11,0)</f>
        <v>0</v>
      </c>
      <c r="D32" s="710">
        <f>IFERROR('Advanced Power Strips'!G11,0)</f>
        <v>0</v>
      </c>
      <c r="E32" s="710">
        <f>IFERROR('Advanced Power Strips'!H11,0)</f>
        <v>0</v>
      </c>
      <c r="F32" s="711">
        <f>IFERROR('Advanced Power Strips'!I11,0)</f>
        <v>0</v>
      </c>
      <c r="G32" s="712">
        <f>SUM('Advanced Power Strips'!K7:K10)</f>
        <v>0</v>
      </c>
      <c r="H32" s="146">
        <f>SUM('Advanced Power Strips'!J7:J10)</f>
        <v>0</v>
      </c>
      <c r="AE32" s="29"/>
      <c r="AF32" s="29"/>
    </row>
    <row r="33" spans="2:33" s="8" customFormat="1" ht="24.95" hidden="1" customHeight="1">
      <c r="B33" s="699" t="str">
        <f>'ENERGY STAR Servers'!B5</f>
        <v>ENERGY STAR Servers</v>
      </c>
      <c r="C33" s="709">
        <f>IFERROR('ENERGY STAR Servers'!H11,0)</f>
        <v>0</v>
      </c>
      <c r="D33" s="710">
        <f>IFERROR('ENERGY STAR Servers'!I11,0)</f>
        <v>0</v>
      </c>
      <c r="E33" s="710">
        <f>IFERROR('ENERGY STAR Servers'!J11,0)</f>
        <v>0</v>
      </c>
      <c r="F33" s="711">
        <f>IFERROR('ENERGY STAR Servers'!G11,0)</f>
        <v>0</v>
      </c>
      <c r="G33" s="712">
        <f>IFERROR('ENERGY STAR Servers'!L11,0)</f>
        <v>0</v>
      </c>
      <c r="H33" s="146">
        <f>IFERROR('ENERGY STAR Servers'!K11,0)</f>
        <v>0</v>
      </c>
      <c r="AE33" s="29"/>
      <c r="AF33" s="29"/>
    </row>
    <row r="34" spans="2:33" s="8" customFormat="1" ht="24.95" hidden="1" customHeight="1">
      <c r="B34" s="699" t="str">
        <f>'Server Virtualization'!B5</f>
        <v>Server Virtualization</v>
      </c>
      <c r="C34" s="709">
        <f>IFERROR('Server Virtualization'!J11,0)</f>
        <v>0</v>
      </c>
      <c r="D34" s="710">
        <f>IFERROR('Server Virtualization'!K11,0)</f>
        <v>0</v>
      </c>
      <c r="E34" s="710">
        <f>IFERROR('Server Virtualization'!L11,0)</f>
        <v>0</v>
      </c>
      <c r="F34" s="711">
        <f>IFERROR('Server Virtualization'!I11,0)</f>
        <v>0</v>
      </c>
      <c r="G34" s="712">
        <f>IFERROR('Server Virtualization'!N11,0)</f>
        <v>0</v>
      </c>
      <c r="H34" s="146">
        <f>IFERROR('Server Virtualization'!M11,0)</f>
        <v>0</v>
      </c>
      <c r="AE34" s="29"/>
      <c r="AF34" s="29"/>
    </row>
    <row r="35" spans="2:33" s="8" customFormat="1" ht="24.95" customHeight="1" thickBot="1">
      <c r="B35" s="700" t="s">
        <v>255</v>
      </c>
      <c r="C35" s="713">
        <f>IFERROR('Commercial Induction Cooktops'!F11,0)</f>
        <v>0</v>
      </c>
      <c r="D35" s="714">
        <f>IFERROR('Commercial Induction Cooktops'!G11,0)</f>
        <v>0</v>
      </c>
      <c r="E35" s="714">
        <f>IFERROR('Commercial Induction Cooktops'!H11,0)</f>
        <v>0</v>
      </c>
      <c r="F35" s="715">
        <f>IFERROR('Commercial Induction Cooktops'!I11,0)</f>
        <v>0</v>
      </c>
      <c r="G35" s="716">
        <f>SUM('Commercial Induction Cooktops'!K7:K10)</f>
        <v>0</v>
      </c>
      <c r="H35" s="146">
        <f>SUM('Commercial Induction Cooktops'!J7:J10)</f>
        <v>0</v>
      </c>
      <c r="AE35" s="29"/>
      <c r="AF35" s="29"/>
    </row>
    <row r="36" spans="2:33" s="8" customFormat="1" ht="24.95" customHeight="1" thickBot="1">
      <c r="B36" s="701" t="s">
        <v>194</v>
      </c>
      <c r="C36" s="706">
        <f>SUM(C20:C34)</f>
        <v>0</v>
      </c>
      <c r="D36" s="706">
        <f>SUM(D20:D35)</f>
        <v>0</v>
      </c>
      <c r="E36" s="706">
        <f>SUM(E20:E35)</f>
        <v>0</v>
      </c>
      <c r="F36" s="707">
        <f>SUM(F20:F34)</f>
        <v>0</v>
      </c>
      <c r="G36" s="708">
        <f>MIN(C13*Incentives!$C$4,H36,500000)</f>
        <v>0</v>
      </c>
      <c r="H36" s="146">
        <f>SUM(H20:H34)</f>
        <v>0</v>
      </c>
      <c r="I36" s="1"/>
      <c r="AE36" s="29"/>
      <c r="AF36" s="29"/>
    </row>
    <row r="37" spans="2:33" s="8" customFormat="1" ht="24.95" customHeight="1">
      <c r="G37" s="1"/>
      <c r="H37" s="1"/>
      <c r="I37" s="1"/>
      <c r="AF37" s="29"/>
      <c r="AG37" s="29"/>
    </row>
    <row r="38" spans="2:33" s="8" customFormat="1" ht="24.95" customHeight="1">
      <c r="G38" s="1"/>
      <c r="H38" s="1"/>
      <c r="I38" s="1"/>
      <c r="AF38" s="29"/>
      <c r="AG38" s="29"/>
    </row>
    <row r="39" spans="2:33" s="8" customFormat="1" ht="24.95" customHeight="1">
      <c r="E39" s="1"/>
      <c r="F39" s="1"/>
      <c r="G39" s="1"/>
      <c r="H39" s="1"/>
      <c r="I39" s="1"/>
      <c r="AF39" s="29"/>
      <c r="AG39" s="29"/>
    </row>
    <row r="40" spans="2:33" s="8" customFormat="1" ht="24.95" customHeight="1">
      <c r="E40" s="1"/>
      <c r="F40" s="1"/>
      <c r="G40" s="1"/>
      <c r="H40" s="1"/>
      <c r="I40" s="1"/>
      <c r="AF40" s="29"/>
      <c r="AG40" s="29"/>
    </row>
    <row r="41" spans="2:33" s="8" customFormat="1" ht="24.95" customHeight="1">
      <c r="E41" s="1"/>
      <c r="F41" s="1"/>
      <c r="G41" s="1"/>
      <c r="H41" s="1"/>
      <c r="I41" s="1"/>
      <c r="AF41" s="29"/>
      <c r="AG41" s="29"/>
    </row>
    <row r="42" spans="2:33" s="8" customFormat="1" ht="24.95" customHeight="1">
      <c r="E42" s="1"/>
      <c r="F42" s="1"/>
      <c r="G42" s="1"/>
      <c r="H42" s="1"/>
      <c r="I42" s="1"/>
      <c r="AF42" s="29"/>
      <c r="AG42" s="29"/>
    </row>
    <row r="43" spans="2:33" s="8" customFormat="1" ht="24.95" customHeight="1">
      <c r="E43" s="1"/>
      <c r="F43" s="1"/>
      <c r="G43" s="1"/>
      <c r="H43" s="1"/>
      <c r="I43" s="1"/>
      <c r="AF43" s="29"/>
      <c r="AG43" s="29"/>
    </row>
    <row r="44" spans="2:33" s="8" customFormat="1" ht="24.95" customHeight="1">
      <c r="E44" s="1"/>
      <c r="F44" s="1"/>
      <c r="G44" s="1"/>
      <c r="H44" s="1"/>
      <c r="I44" s="1"/>
      <c r="J44" s="1"/>
      <c r="K44" s="1"/>
      <c r="L44" s="1"/>
      <c r="AF44" s="29"/>
      <c r="AG44" s="29"/>
    </row>
    <row r="45" spans="2:33" s="1" customFormat="1" ht="24.95" customHeight="1">
      <c r="B45" s="8"/>
      <c r="C45" s="8"/>
      <c r="D45" s="8"/>
    </row>
    <row r="46" spans="2:33" s="1" customFormat="1" ht="24.95" customHeight="1">
      <c r="B46" s="8"/>
      <c r="C46" s="8"/>
      <c r="D46" s="8"/>
    </row>
    <row r="47" spans="2:33" s="1" customFormat="1" ht="24.95" customHeight="1"/>
    <row r="48" spans="2:33" s="1" customFormat="1"/>
    <row r="49" spans="5:9" s="1" customFormat="1"/>
    <row r="50" spans="5:9" s="1" customFormat="1"/>
    <row r="51" spans="5:9" s="1" customFormat="1"/>
    <row r="52" spans="5:9" s="1" customFormat="1"/>
    <row r="53" spans="5:9" s="1" customFormat="1"/>
    <row r="54" spans="5:9" s="1" customFormat="1"/>
    <row r="55" spans="5:9" s="1" customFormat="1"/>
    <row r="56" spans="5:9" s="1" customFormat="1"/>
    <row r="57" spans="5:9" s="1" customFormat="1"/>
    <row r="58" spans="5:9" s="1" customFormat="1">
      <c r="H58" s="69"/>
      <c r="I58" s="69"/>
    </row>
    <row r="59" spans="5:9" s="1" customFormat="1">
      <c r="G59" s="69"/>
      <c r="H59" s="69"/>
      <c r="I59" s="69"/>
    </row>
    <row r="60" spans="5:9" s="1" customFormat="1">
      <c r="G60" s="69"/>
      <c r="H60" s="69"/>
      <c r="I60" s="69"/>
    </row>
    <row r="61" spans="5:9" s="1" customFormat="1">
      <c r="E61" s="69"/>
      <c r="F61" s="69"/>
      <c r="G61" s="69"/>
      <c r="H61" s="69"/>
      <c r="I61" s="69"/>
    </row>
    <row r="62" spans="5:9" s="1" customFormat="1">
      <c r="E62" s="69"/>
      <c r="F62" s="69"/>
      <c r="G62" s="69"/>
      <c r="H62" s="69"/>
      <c r="I62" s="69"/>
    </row>
    <row r="63" spans="5:9" s="1" customFormat="1">
      <c r="E63" s="69"/>
      <c r="F63" s="69"/>
      <c r="G63" s="69"/>
      <c r="H63" s="69"/>
      <c r="I63" s="69"/>
    </row>
    <row r="64" spans="5:9" s="1" customFormat="1">
      <c r="E64" s="69"/>
      <c r="F64" s="69"/>
      <c r="G64" s="69"/>
      <c r="H64" s="69"/>
      <c r="I64" s="69"/>
    </row>
    <row r="65" spans="1:31" s="1" customFormat="1">
      <c r="E65" s="69"/>
      <c r="F65" s="69"/>
      <c r="G65" s="69"/>
      <c r="H65" s="69"/>
      <c r="I65" s="69"/>
    </row>
    <row r="66" spans="1:31" s="1" customFormat="1">
      <c r="E66" s="69"/>
      <c r="F66" s="69"/>
      <c r="G66" s="69"/>
      <c r="H66" s="69"/>
      <c r="I66" s="69"/>
    </row>
    <row r="67" spans="1:31" s="69" customFormat="1">
      <c r="A67" s="1"/>
      <c r="B67" s="1"/>
      <c r="C67" s="1"/>
      <c r="D67" s="1"/>
      <c r="J67" s="1"/>
      <c r="K67" s="1"/>
      <c r="L67" s="1"/>
      <c r="M67" s="1"/>
      <c r="N67" s="1"/>
      <c r="O67" s="1"/>
      <c r="P67" s="1"/>
      <c r="Q67" s="1"/>
      <c r="R67" s="1"/>
      <c r="S67" s="1"/>
      <c r="T67" s="1"/>
      <c r="U67" s="1"/>
      <c r="V67" s="1"/>
      <c r="W67" s="1"/>
      <c r="X67" s="1"/>
      <c r="Y67" s="1"/>
      <c r="Z67" s="1"/>
      <c r="AA67" s="1"/>
      <c r="AB67" s="1"/>
      <c r="AC67" s="1"/>
      <c r="AD67" s="1"/>
      <c r="AE67" s="1"/>
    </row>
    <row r="68" spans="1:31" s="69" customFormat="1">
      <c r="A68" s="1"/>
      <c r="B68" s="1"/>
      <c r="C68" s="1"/>
      <c r="D68" s="1"/>
      <c r="J68" s="1"/>
      <c r="K68" s="1"/>
      <c r="L68" s="1"/>
      <c r="M68" s="1"/>
      <c r="N68" s="1"/>
      <c r="O68" s="1"/>
      <c r="P68" s="1"/>
      <c r="Q68" s="1"/>
      <c r="R68" s="1"/>
      <c r="S68" s="1"/>
      <c r="T68" s="1"/>
      <c r="U68" s="1"/>
      <c r="V68" s="1"/>
      <c r="W68" s="1"/>
      <c r="X68" s="1"/>
      <c r="Y68" s="1"/>
      <c r="Z68" s="1"/>
      <c r="AA68" s="1"/>
      <c r="AB68" s="1"/>
      <c r="AC68" s="1"/>
      <c r="AD68" s="1"/>
      <c r="AE68" s="1"/>
    </row>
    <row r="69" spans="1:31" s="69" customFormat="1">
      <c r="A69" s="1"/>
      <c r="D69" s="1"/>
      <c r="J69" s="1"/>
      <c r="K69" s="1"/>
      <c r="L69" s="1"/>
      <c r="M69" s="1"/>
      <c r="N69" s="1"/>
      <c r="O69" s="1"/>
      <c r="P69" s="1"/>
      <c r="Q69" s="1"/>
      <c r="R69" s="1"/>
      <c r="S69" s="1"/>
      <c r="T69" s="1"/>
      <c r="U69" s="1"/>
      <c r="V69" s="1"/>
      <c r="W69" s="1"/>
      <c r="X69" s="1"/>
      <c r="Y69" s="1"/>
      <c r="Z69" s="1"/>
      <c r="AA69" s="1"/>
      <c r="AB69" s="1"/>
      <c r="AC69" s="1"/>
      <c r="AD69" s="1"/>
      <c r="AE69" s="1"/>
    </row>
    <row r="70" spans="1:31" s="69" customFormat="1">
      <c r="A70" s="1"/>
      <c r="D70" s="1"/>
      <c r="J70" s="1"/>
      <c r="K70" s="1"/>
      <c r="L70" s="1"/>
      <c r="M70" s="1"/>
      <c r="N70" s="1"/>
      <c r="O70" s="1"/>
      <c r="P70" s="1"/>
      <c r="Q70" s="1"/>
      <c r="R70" s="1"/>
      <c r="S70" s="1"/>
      <c r="T70" s="1"/>
      <c r="U70" s="1"/>
      <c r="V70" s="1"/>
      <c r="W70" s="1"/>
      <c r="X70" s="1"/>
      <c r="Y70" s="1"/>
      <c r="Z70" s="1"/>
      <c r="AA70" s="1"/>
      <c r="AB70" s="1"/>
      <c r="AC70" s="1"/>
      <c r="AD70" s="1"/>
      <c r="AE70" s="1"/>
    </row>
    <row r="71" spans="1:31" s="69" customFormat="1">
      <c r="A71" s="1"/>
      <c r="D71" s="1"/>
      <c r="J71" s="1"/>
      <c r="K71" s="1"/>
      <c r="L71" s="1"/>
      <c r="M71" s="1"/>
      <c r="N71" s="1"/>
      <c r="O71" s="1"/>
      <c r="P71" s="1"/>
      <c r="Q71" s="1"/>
      <c r="R71" s="1"/>
      <c r="S71" s="1"/>
      <c r="T71" s="1"/>
      <c r="U71" s="1"/>
      <c r="V71" s="1"/>
      <c r="W71" s="1"/>
      <c r="X71" s="1"/>
      <c r="Y71" s="1"/>
      <c r="Z71" s="1"/>
      <c r="AA71" s="1"/>
      <c r="AB71" s="1"/>
      <c r="AC71" s="1"/>
      <c r="AD71" s="1"/>
      <c r="AE71" s="1"/>
    </row>
    <row r="72" spans="1:31" s="69" customFormat="1">
      <c r="A72" s="1"/>
      <c r="D72" s="1"/>
      <c r="J72" s="1"/>
      <c r="K72" s="1"/>
      <c r="L72" s="1"/>
      <c r="M72" s="1"/>
      <c r="N72" s="1"/>
      <c r="O72" s="1"/>
      <c r="P72" s="1"/>
      <c r="Q72" s="1"/>
      <c r="R72" s="1"/>
      <c r="S72" s="1"/>
      <c r="T72" s="1"/>
      <c r="U72" s="1"/>
      <c r="V72" s="1"/>
      <c r="W72" s="1"/>
      <c r="X72" s="1"/>
      <c r="Y72" s="1"/>
      <c r="Z72" s="1"/>
      <c r="AA72" s="1"/>
      <c r="AB72" s="1"/>
      <c r="AC72" s="1"/>
      <c r="AD72" s="1"/>
      <c r="AE72" s="1"/>
    </row>
    <row r="73" spans="1:31" s="69" customFormat="1">
      <c r="A73" s="1"/>
      <c r="D73" s="1"/>
      <c r="J73" s="1"/>
      <c r="K73" s="1"/>
      <c r="L73" s="1"/>
      <c r="M73" s="1"/>
      <c r="N73" s="1"/>
      <c r="O73" s="1"/>
      <c r="P73" s="1"/>
      <c r="Q73" s="1"/>
      <c r="R73" s="1"/>
      <c r="S73" s="1"/>
      <c r="T73" s="1"/>
      <c r="U73" s="1"/>
      <c r="V73" s="1"/>
      <c r="W73" s="1"/>
      <c r="X73" s="1"/>
      <c r="Y73" s="1"/>
      <c r="Z73" s="1"/>
      <c r="AA73" s="1"/>
      <c r="AB73" s="1"/>
      <c r="AC73" s="1"/>
      <c r="AD73" s="1"/>
      <c r="AE73" s="1"/>
    </row>
    <row r="74" spans="1:31" s="69" customFormat="1">
      <c r="A74" s="1"/>
      <c r="D74" s="1"/>
      <c r="J74" s="1"/>
      <c r="K74" s="1"/>
      <c r="L74" s="1"/>
      <c r="M74" s="1"/>
      <c r="N74" s="1"/>
      <c r="O74" s="1"/>
      <c r="P74" s="1"/>
      <c r="Q74" s="1"/>
      <c r="R74" s="1"/>
      <c r="S74" s="1"/>
      <c r="T74" s="1"/>
      <c r="U74" s="1"/>
      <c r="V74" s="1"/>
      <c r="W74" s="1"/>
      <c r="X74" s="1"/>
      <c r="Y74" s="1"/>
      <c r="Z74" s="1"/>
      <c r="AA74" s="1"/>
      <c r="AB74" s="1"/>
      <c r="AC74" s="1"/>
      <c r="AD74" s="1"/>
      <c r="AE74" s="1"/>
    </row>
    <row r="75" spans="1:31" s="69" customFormat="1">
      <c r="A75" s="1"/>
      <c r="D75" s="1"/>
      <c r="J75" s="1"/>
      <c r="K75" s="1"/>
      <c r="L75" s="1"/>
      <c r="M75" s="1"/>
      <c r="N75" s="1"/>
      <c r="O75" s="1"/>
      <c r="P75" s="1"/>
      <c r="Q75" s="1"/>
      <c r="R75" s="1"/>
      <c r="S75" s="1"/>
      <c r="T75" s="1"/>
      <c r="U75" s="1"/>
      <c r="V75" s="1"/>
      <c r="W75" s="1"/>
      <c r="X75" s="1"/>
      <c r="Y75" s="1"/>
      <c r="Z75" s="1"/>
      <c r="AA75" s="1"/>
      <c r="AB75" s="1"/>
      <c r="AC75" s="1"/>
      <c r="AD75" s="1"/>
      <c r="AE75" s="1"/>
    </row>
    <row r="76" spans="1:31" s="69" customFormat="1">
      <c r="A76" s="1"/>
      <c r="D76" s="1"/>
      <c r="J76" s="1"/>
      <c r="K76" s="1"/>
      <c r="L76" s="1"/>
      <c r="M76" s="1"/>
      <c r="N76" s="1"/>
      <c r="O76" s="1"/>
      <c r="P76" s="1"/>
      <c r="Q76" s="1"/>
      <c r="R76" s="1"/>
      <c r="S76" s="1"/>
      <c r="T76" s="1"/>
      <c r="U76" s="1"/>
      <c r="V76" s="1"/>
      <c r="W76" s="1"/>
      <c r="X76" s="1"/>
      <c r="Y76" s="1"/>
      <c r="Z76" s="1"/>
      <c r="AA76" s="1"/>
      <c r="AB76" s="1"/>
      <c r="AC76" s="1"/>
      <c r="AD76" s="1"/>
      <c r="AE76" s="1"/>
    </row>
    <row r="77" spans="1:31" s="69" customFormat="1">
      <c r="A77" s="1"/>
      <c r="D77" s="1"/>
      <c r="J77" s="1"/>
      <c r="K77" s="1"/>
      <c r="L77" s="1"/>
      <c r="M77" s="1"/>
      <c r="N77" s="1"/>
      <c r="O77" s="1"/>
      <c r="P77" s="1"/>
      <c r="Q77" s="1"/>
      <c r="R77" s="1"/>
      <c r="S77" s="1"/>
      <c r="T77" s="1"/>
      <c r="U77" s="1"/>
      <c r="V77" s="1"/>
      <c r="W77" s="1"/>
      <c r="X77" s="1"/>
      <c r="Y77" s="1"/>
      <c r="Z77" s="1"/>
      <c r="AA77" s="1"/>
      <c r="AB77" s="1"/>
      <c r="AC77" s="1"/>
      <c r="AD77" s="1"/>
      <c r="AE77" s="1"/>
    </row>
    <row r="78" spans="1:31" s="69" customFormat="1">
      <c r="A78" s="1"/>
      <c r="D78" s="1"/>
      <c r="J78" s="1"/>
      <c r="K78" s="1"/>
      <c r="L78" s="1"/>
      <c r="M78" s="1"/>
      <c r="N78" s="1"/>
      <c r="O78" s="1"/>
      <c r="P78" s="1"/>
      <c r="Q78" s="1"/>
      <c r="R78" s="1"/>
      <c r="S78" s="1"/>
      <c r="T78" s="1"/>
      <c r="U78" s="1"/>
      <c r="V78" s="1"/>
      <c r="W78" s="1"/>
      <c r="X78" s="1"/>
      <c r="Y78" s="1"/>
      <c r="Z78" s="1"/>
      <c r="AA78" s="1"/>
      <c r="AB78" s="1"/>
      <c r="AC78" s="1"/>
      <c r="AD78" s="1"/>
      <c r="AE78" s="1"/>
    </row>
    <row r="79" spans="1:31" s="69" customFormat="1">
      <c r="A79" s="1"/>
      <c r="D79" s="1"/>
      <c r="J79" s="1"/>
      <c r="K79" s="1"/>
      <c r="L79" s="1"/>
      <c r="M79" s="1"/>
      <c r="N79" s="1"/>
      <c r="O79" s="1"/>
      <c r="P79" s="1"/>
      <c r="Q79" s="1"/>
      <c r="R79" s="1"/>
      <c r="S79" s="1"/>
      <c r="T79" s="1"/>
      <c r="U79" s="1"/>
      <c r="V79" s="1"/>
      <c r="W79" s="1"/>
      <c r="X79" s="1"/>
      <c r="Y79" s="1"/>
      <c r="Z79" s="1"/>
      <c r="AA79" s="1"/>
      <c r="AB79" s="1"/>
      <c r="AC79" s="1"/>
      <c r="AD79" s="1"/>
      <c r="AE79" s="1"/>
    </row>
    <row r="80" spans="1:31" s="69" customFormat="1">
      <c r="A80" s="1"/>
      <c r="D80" s="1"/>
      <c r="J80" s="1"/>
      <c r="K80" s="1"/>
      <c r="L80" s="1"/>
      <c r="M80" s="1"/>
      <c r="N80" s="1"/>
      <c r="O80" s="1"/>
      <c r="P80" s="1"/>
      <c r="Q80" s="1"/>
      <c r="R80" s="1"/>
      <c r="S80" s="1"/>
      <c r="T80" s="1"/>
      <c r="U80" s="1"/>
      <c r="V80" s="1"/>
      <c r="W80" s="1"/>
      <c r="X80" s="1"/>
      <c r="Y80" s="1"/>
      <c r="Z80" s="1"/>
      <c r="AA80" s="1"/>
      <c r="AB80" s="1"/>
      <c r="AC80" s="1"/>
      <c r="AD80" s="1"/>
      <c r="AE80" s="1"/>
    </row>
    <row r="81" spans="1:31" s="69" customFormat="1">
      <c r="A81" s="1"/>
      <c r="D81" s="1"/>
      <c r="J81" s="1"/>
      <c r="K81" s="1"/>
      <c r="L81" s="1"/>
      <c r="M81" s="1"/>
      <c r="N81" s="1"/>
      <c r="O81" s="1"/>
      <c r="P81" s="1"/>
      <c r="Q81" s="1"/>
      <c r="R81" s="1"/>
      <c r="S81" s="1"/>
      <c r="T81" s="1"/>
      <c r="U81" s="1"/>
      <c r="V81" s="1"/>
      <c r="W81" s="1"/>
      <c r="X81" s="1"/>
      <c r="Y81" s="1"/>
      <c r="Z81" s="1"/>
      <c r="AA81" s="1"/>
      <c r="AB81" s="1"/>
      <c r="AC81" s="1"/>
      <c r="AD81" s="1"/>
      <c r="AE81" s="1"/>
    </row>
    <row r="82" spans="1:31" s="69" customFormat="1">
      <c r="A82" s="1"/>
      <c r="D82" s="1"/>
      <c r="J82" s="1"/>
      <c r="K82" s="1"/>
      <c r="L82" s="1"/>
      <c r="M82" s="1"/>
      <c r="N82" s="1"/>
      <c r="O82" s="1"/>
      <c r="P82" s="1"/>
      <c r="Q82" s="1"/>
      <c r="R82" s="1"/>
      <c r="S82" s="1"/>
      <c r="T82" s="1"/>
      <c r="U82" s="1"/>
      <c r="V82" s="1"/>
      <c r="W82" s="1"/>
      <c r="X82" s="1"/>
      <c r="Y82" s="1"/>
      <c r="Z82" s="1"/>
      <c r="AA82" s="1"/>
      <c r="AB82" s="1"/>
      <c r="AC82" s="1"/>
      <c r="AD82" s="1"/>
      <c r="AE82" s="1"/>
    </row>
    <row r="83" spans="1:31" s="69" customFormat="1">
      <c r="A83" s="1"/>
      <c r="D83" s="1"/>
      <c r="J83" s="1"/>
      <c r="K83" s="1"/>
      <c r="L83" s="1"/>
      <c r="M83" s="1"/>
      <c r="N83" s="1"/>
      <c r="O83" s="1"/>
      <c r="P83" s="1"/>
      <c r="Q83" s="1"/>
      <c r="R83" s="1"/>
      <c r="S83" s="1"/>
      <c r="T83" s="1"/>
      <c r="U83" s="1"/>
      <c r="V83" s="1"/>
      <c r="W83" s="1"/>
      <c r="X83" s="1"/>
      <c r="Y83" s="1"/>
      <c r="Z83" s="1"/>
      <c r="AA83" s="1"/>
      <c r="AB83" s="1"/>
      <c r="AC83" s="1"/>
      <c r="AD83" s="1"/>
      <c r="AE83" s="1"/>
    </row>
    <row r="84" spans="1:31" s="69" customFormat="1">
      <c r="A84" s="1"/>
      <c r="D84" s="1"/>
      <c r="J84" s="1"/>
      <c r="K84" s="1"/>
      <c r="L84" s="1"/>
      <c r="M84" s="1"/>
      <c r="N84" s="1"/>
      <c r="O84" s="1"/>
      <c r="P84" s="1"/>
      <c r="Q84" s="1"/>
      <c r="R84" s="1"/>
      <c r="S84" s="1"/>
      <c r="T84" s="1"/>
      <c r="U84" s="1"/>
      <c r="V84" s="1"/>
      <c r="W84" s="1"/>
      <c r="X84" s="1"/>
      <c r="Y84" s="1"/>
      <c r="Z84" s="1"/>
      <c r="AA84" s="1"/>
      <c r="AB84" s="1"/>
      <c r="AC84" s="1"/>
      <c r="AD84" s="1"/>
      <c r="AE84" s="1"/>
    </row>
    <row r="85" spans="1:31" s="69" customFormat="1">
      <c r="A85" s="1"/>
      <c r="D85" s="1"/>
      <c r="J85" s="1"/>
      <c r="K85" s="1"/>
      <c r="L85" s="1"/>
      <c r="M85" s="1"/>
      <c r="N85" s="1"/>
      <c r="O85" s="1"/>
      <c r="P85" s="1"/>
      <c r="Q85" s="1"/>
      <c r="R85" s="1"/>
      <c r="S85" s="1"/>
      <c r="T85" s="1"/>
      <c r="U85" s="1"/>
      <c r="V85" s="1"/>
      <c r="W85" s="1"/>
      <c r="X85" s="1"/>
      <c r="Y85" s="1"/>
      <c r="Z85" s="1"/>
      <c r="AA85" s="1"/>
      <c r="AB85" s="1"/>
      <c r="AC85" s="1"/>
      <c r="AD85" s="1"/>
      <c r="AE85" s="1"/>
    </row>
    <row r="86" spans="1:31" s="69" customFormat="1">
      <c r="A86" s="1"/>
      <c r="D86" s="1"/>
      <c r="J86" s="1"/>
      <c r="K86" s="1"/>
      <c r="L86" s="1"/>
      <c r="M86" s="1"/>
      <c r="N86" s="1"/>
      <c r="O86" s="1"/>
      <c r="P86" s="1"/>
      <c r="Q86" s="1"/>
      <c r="R86" s="1"/>
      <c r="S86" s="1"/>
      <c r="T86" s="1"/>
      <c r="U86" s="1"/>
      <c r="V86" s="1"/>
      <c r="W86" s="1"/>
      <c r="X86" s="1"/>
      <c r="Y86" s="1"/>
      <c r="Z86" s="1"/>
      <c r="AA86" s="1"/>
      <c r="AB86" s="1"/>
      <c r="AC86" s="1"/>
      <c r="AD86" s="1"/>
      <c r="AE86" s="1"/>
    </row>
    <row r="87" spans="1:31" s="69" customFormat="1">
      <c r="A87" s="1"/>
      <c r="D87" s="1"/>
      <c r="J87" s="1"/>
      <c r="K87" s="1"/>
      <c r="L87" s="1"/>
      <c r="M87" s="1"/>
      <c r="N87" s="1"/>
      <c r="O87" s="1"/>
      <c r="P87" s="1"/>
      <c r="Q87" s="1"/>
      <c r="R87" s="1"/>
      <c r="S87" s="1"/>
      <c r="T87" s="1"/>
      <c r="U87" s="1"/>
      <c r="V87" s="1"/>
      <c r="W87" s="1"/>
      <c r="X87" s="1"/>
      <c r="Y87" s="1"/>
      <c r="Z87" s="1"/>
      <c r="AA87" s="1"/>
      <c r="AB87" s="1"/>
      <c r="AC87" s="1"/>
      <c r="AD87" s="1"/>
      <c r="AE87" s="1"/>
    </row>
    <row r="88" spans="1:31" s="69" customFormat="1">
      <c r="A88" s="1"/>
      <c r="D88" s="1"/>
      <c r="J88" s="1"/>
      <c r="K88" s="1"/>
      <c r="L88" s="1"/>
      <c r="M88" s="1"/>
      <c r="N88" s="1"/>
      <c r="O88" s="1"/>
      <c r="P88" s="1"/>
      <c r="Q88" s="1"/>
      <c r="R88" s="1"/>
      <c r="S88" s="1"/>
      <c r="T88" s="1"/>
      <c r="U88" s="1"/>
      <c r="V88" s="1"/>
      <c r="W88" s="1"/>
      <c r="X88" s="1"/>
      <c r="Y88" s="1"/>
      <c r="Z88" s="1"/>
      <c r="AA88" s="1"/>
      <c r="AB88" s="1"/>
      <c r="AC88" s="1"/>
      <c r="AD88" s="1"/>
      <c r="AE88" s="1"/>
    </row>
    <row r="89" spans="1:31" s="69" customFormat="1">
      <c r="A89" s="1"/>
      <c r="D89" s="1"/>
      <c r="J89" s="1"/>
      <c r="K89" s="1"/>
      <c r="L89" s="1"/>
      <c r="M89" s="1"/>
      <c r="N89" s="1"/>
      <c r="O89" s="1"/>
      <c r="P89" s="1"/>
      <c r="Q89" s="1"/>
      <c r="R89" s="1"/>
      <c r="S89" s="1"/>
      <c r="T89" s="1"/>
      <c r="U89" s="1"/>
      <c r="V89" s="1"/>
      <c r="W89" s="1"/>
      <c r="X89" s="1"/>
      <c r="Y89" s="1"/>
      <c r="Z89" s="1"/>
      <c r="AA89" s="1"/>
      <c r="AB89" s="1"/>
      <c r="AC89" s="1"/>
      <c r="AD89" s="1"/>
      <c r="AE89" s="1"/>
    </row>
    <row r="90" spans="1:31" s="69" customFormat="1">
      <c r="A90" s="1"/>
      <c r="D90" s="1"/>
      <c r="J90" s="1"/>
      <c r="K90" s="1"/>
      <c r="L90" s="1"/>
      <c r="M90" s="1"/>
      <c r="N90" s="1"/>
      <c r="O90" s="1"/>
      <c r="P90" s="1"/>
      <c r="Q90" s="1"/>
      <c r="R90" s="1"/>
      <c r="S90" s="1"/>
      <c r="T90" s="1"/>
      <c r="U90" s="1"/>
      <c r="V90" s="1"/>
      <c r="W90" s="1"/>
      <c r="X90" s="1"/>
      <c r="Y90" s="1"/>
      <c r="Z90" s="1"/>
      <c r="AA90" s="1"/>
      <c r="AB90" s="1"/>
      <c r="AC90" s="1"/>
      <c r="AD90" s="1"/>
      <c r="AE90" s="1"/>
    </row>
    <row r="91" spans="1:31" s="69" customFormat="1">
      <c r="A91" s="1"/>
      <c r="D91" s="1"/>
      <c r="J91" s="1"/>
      <c r="K91" s="1"/>
      <c r="L91" s="1"/>
      <c r="M91" s="1"/>
      <c r="N91" s="1"/>
      <c r="O91" s="1"/>
      <c r="P91" s="1"/>
      <c r="Q91" s="1"/>
      <c r="R91" s="1"/>
      <c r="S91" s="1"/>
      <c r="T91" s="1"/>
      <c r="U91" s="1"/>
      <c r="V91" s="1"/>
      <c r="W91" s="1"/>
      <c r="X91" s="1"/>
      <c r="Y91" s="1"/>
      <c r="Z91" s="1"/>
      <c r="AA91" s="1"/>
      <c r="AB91" s="1"/>
      <c r="AC91" s="1"/>
      <c r="AD91" s="1"/>
      <c r="AE91" s="1"/>
    </row>
    <row r="92" spans="1:31" s="69" customFormat="1">
      <c r="A92" s="1"/>
      <c r="D92" s="1"/>
      <c r="J92" s="1"/>
      <c r="K92" s="1"/>
      <c r="L92" s="1"/>
      <c r="M92" s="1"/>
      <c r="N92" s="1"/>
      <c r="O92" s="1"/>
      <c r="P92" s="1"/>
      <c r="Q92" s="1"/>
      <c r="R92" s="1"/>
      <c r="S92" s="1"/>
      <c r="T92" s="1"/>
      <c r="U92" s="1"/>
      <c r="V92" s="1"/>
      <c r="W92" s="1"/>
      <c r="X92" s="1"/>
      <c r="Y92" s="1"/>
      <c r="Z92" s="1"/>
      <c r="AA92" s="1"/>
      <c r="AB92" s="1"/>
      <c r="AC92" s="1"/>
      <c r="AD92" s="1"/>
      <c r="AE92" s="1"/>
    </row>
    <row r="93" spans="1:31" s="69" customFormat="1">
      <c r="A93" s="1"/>
      <c r="D93" s="1"/>
      <c r="J93" s="1"/>
      <c r="K93" s="1"/>
      <c r="L93" s="1"/>
      <c r="M93" s="1"/>
      <c r="N93" s="1"/>
      <c r="O93" s="1"/>
      <c r="P93" s="1"/>
      <c r="Q93" s="1"/>
      <c r="R93" s="1"/>
      <c r="S93" s="1"/>
      <c r="T93" s="1"/>
      <c r="U93" s="1"/>
      <c r="V93" s="1"/>
      <c r="W93" s="1"/>
      <c r="X93" s="1"/>
      <c r="Y93" s="1"/>
      <c r="Z93" s="1"/>
      <c r="AA93" s="1"/>
      <c r="AB93" s="1"/>
      <c r="AC93" s="1"/>
      <c r="AD93" s="1"/>
      <c r="AE93" s="1"/>
    </row>
    <row r="94" spans="1:31" s="69" customFormat="1">
      <c r="A94" s="1"/>
      <c r="D94" s="1"/>
      <c r="J94" s="1"/>
      <c r="K94" s="1"/>
      <c r="L94" s="1"/>
      <c r="M94" s="1"/>
      <c r="N94" s="1"/>
      <c r="O94" s="1"/>
      <c r="P94" s="1"/>
      <c r="Q94" s="1"/>
      <c r="R94" s="1"/>
      <c r="S94" s="1"/>
      <c r="T94" s="1"/>
      <c r="U94" s="1"/>
      <c r="V94" s="1"/>
      <c r="W94" s="1"/>
      <c r="X94" s="1"/>
      <c r="Y94" s="1"/>
      <c r="Z94" s="1"/>
      <c r="AA94" s="1"/>
      <c r="AB94" s="1"/>
      <c r="AC94" s="1"/>
      <c r="AD94" s="1"/>
      <c r="AE94" s="1"/>
    </row>
    <row r="95" spans="1:31" s="69" customFormat="1">
      <c r="A95" s="1"/>
      <c r="D95" s="1"/>
      <c r="J95" s="1"/>
      <c r="K95" s="1"/>
      <c r="L95" s="1"/>
      <c r="M95" s="1"/>
      <c r="N95" s="1"/>
      <c r="O95" s="1"/>
      <c r="P95" s="1"/>
      <c r="Q95" s="1"/>
      <c r="R95" s="1"/>
      <c r="S95" s="1"/>
      <c r="T95" s="1"/>
      <c r="U95" s="1"/>
      <c r="V95" s="1"/>
      <c r="W95" s="1"/>
      <c r="X95" s="1"/>
      <c r="Y95" s="1"/>
      <c r="Z95" s="1"/>
      <c r="AA95" s="1"/>
      <c r="AB95" s="1"/>
      <c r="AC95" s="1"/>
      <c r="AD95" s="1"/>
      <c r="AE95" s="1"/>
    </row>
    <row r="96" spans="1:31" s="69" customFormat="1">
      <c r="A96" s="1"/>
      <c r="D96" s="1"/>
      <c r="J96" s="1"/>
      <c r="K96" s="1"/>
      <c r="L96" s="1"/>
      <c r="M96" s="1"/>
      <c r="N96" s="1"/>
      <c r="O96" s="1"/>
      <c r="P96" s="1"/>
      <c r="Q96" s="1"/>
      <c r="R96" s="1"/>
      <c r="S96" s="1"/>
      <c r="T96" s="1"/>
      <c r="U96" s="1"/>
      <c r="V96" s="1"/>
      <c r="W96" s="1"/>
      <c r="X96" s="1"/>
      <c r="Y96" s="1"/>
      <c r="Z96" s="1"/>
      <c r="AA96" s="1"/>
      <c r="AB96" s="1"/>
      <c r="AC96" s="1"/>
      <c r="AD96" s="1"/>
      <c r="AE96" s="1"/>
    </row>
    <row r="97" spans="1:31" s="69" customFormat="1">
      <c r="A97" s="1"/>
      <c r="D97" s="1"/>
      <c r="J97" s="1"/>
      <c r="K97" s="1"/>
      <c r="L97" s="1"/>
      <c r="M97" s="1"/>
      <c r="N97" s="1"/>
      <c r="O97" s="1"/>
      <c r="P97" s="1"/>
      <c r="Q97" s="1"/>
      <c r="R97" s="1"/>
      <c r="S97" s="1"/>
      <c r="T97" s="1"/>
      <c r="U97" s="1"/>
      <c r="V97" s="1"/>
      <c r="W97" s="1"/>
      <c r="X97" s="1"/>
      <c r="Y97" s="1"/>
      <c r="Z97" s="1"/>
      <c r="AA97" s="1"/>
      <c r="AB97" s="1"/>
      <c r="AC97" s="1"/>
      <c r="AD97" s="1"/>
      <c r="AE97" s="1"/>
    </row>
    <row r="98" spans="1:31" s="69" customFormat="1">
      <c r="A98" s="1"/>
      <c r="D98" s="1"/>
      <c r="J98" s="1"/>
      <c r="K98" s="1"/>
      <c r="L98" s="1"/>
      <c r="M98" s="1"/>
      <c r="N98" s="1"/>
      <c r="O98" s="1"/>
      <c r="P98" s="1"/>
      <c r="Q98" s="1"/>
      <c r="R98" s="1"/>
      <c r="S98" s="1"/>
      <c r="T98" s="1"/>
      <c r="U98" s="1"/>
      <c r="V98" s="1"/>
      <c r="W98" s="1"/>
      <c r="X98" s="1"/>
      <c r="Y98" s="1"/>
      <c r="Z98" s="1"/>
      <c r="AA98" s="1"/>
      <c r="AB98" s="1"/>
      <c r="AC98" s="1"/>
      <c r="AD98" s="1"/>
      <c r="AE98" s="1"/>
    </row>
    <row r="99" spans="1:31" s="69" customFormat="1">
      <c r="A99" s="1"/>
      <c r="D99" s="1"/>
      <c r="J99" s="1"/>
      <c r="K99" s="1"/>
      <c r="L99" s="1"/>
      <c r="M99" s="1"/>
      <c r="N99" s="1"/>
      <c r="O99" s="1"/>
      <c r="P99" s="1"/>
      <c r="Q99" s="1"/>
      <c r="R99" s="1"/>
      <c r="S99" s="1"/>
      <c r="T99" s="1"/>
      <c r="U99" s="1"/>
      <c r="V99" s="1"/>
      <c r="W99" s="1"/>
      <c r="X99" s="1"/>
      <c r="Y99" s="1"/>
      <c r="Z99" s="1"/>
      <c r="AA99" s="1"/>
      <c r="AB99" s="1"/>
      <c r="AC99" s="1"/>
      <c r="AD99" s="1"/>
      <c r="AE99" s="1"/>
    </row>
    <row r="100" spans="1:31" s="69" customFormat="1">
      <c r="A100" s="1"/>
      <c r="D100" s="1"/>
      <c r="J100" s="1"/>
      <c r="K100" s="1"/>
      <c r="L100" s="1"/>
      <c r="M100" s="1"/>
      <c r="N100" s="1"/>
      <c r="O100" s="1"/>
      <c r="P100" s="1"/>
      <c r="Q100" s="1"/>
      <c r="R100" s="1"/>
      <c r="S100" s="1"/>
      <c r="T100" s="1"/>
      <c r="U100" s="1"/>
      <c r="V100" s="1"/>
      <c r="W100" s="1"/>
      <c r="X100" s="1"/>
      <c r="Y100" s="1"/>
      <c r="Z100" s="1"/>
      <c r="AA100" s="1"/>
      <c r="AB100" s="1"/>
      <c r="AC100" s="1"/>
      <c r="AD100" s="1"/>
      <c r="AE100" s="1"/>
    </row>
    <row r="101" spans="1:31" s="69" customFormat="1">
      <c r="A101" s="1"/>
      <c r="D101" s="1"/>
      <c r="J101" s="1"/>
      <c r="K101" s="1"/>
      <c r="L101" s="1"/>
      <c r="M101" s="1"/>
      <c r="N101" s="1"/>
      <c r="O101" s="1"/>
      <c r="P101" s="1"/>
      <c r="Q101" s="1"/>
      <c r="R101" s="1"/>
      <c r="S101" s="1"/>
      <c r="T101" s="1"/>
      <c r="U101" s="1"/>
      <c r="V101" s="1"/>
      <c r="W101" s="1"/>
      <c r="X101" s="1"/>
      <c r="Y101" s="1"/>
      <c r="Z101" s="1"/>
      <c r="AA101" s="1"/>
      <c r="AB101" s="1"/>
      <c r="AC101" s="1"/>
      <c r="AD101" s="1"/>
      <c r="AE101" s="1"/>
    </row>
    <row r="102" spans="1:31" s="69" customFormat="1">
      <c r="A102" s="1"/>
      <c r="D102" s="1"/>
      <c r="J102" s="1"/>
      <c r="K102" s="1"/>
      <c r="L102" s="1"/>
      <c r="M102" s="1"/>
      <c r="N102" s="1"/>
      <c r="O102" s="1"/>
      <c r="P102" s="1"/>
      <c r="Q102" s="1"/>
      <c r="R102" s="1"/>
      <c r="S102" s="1"/>
      <c r="T102" s="1"/>
      <c r="U102" s="1"/>
      <c r="V102" s="1"/>
      <c r="W102" s="1"/>
      <c r="X102" s="1"/>
      <c r="Y102" s="1"/>
      <c r="Z102" s="1"/>
      <c r="AA102" s="1"/>
      <c r="AB102" s="1"/>
      <c r="AC102" s="1"/>
      <c r="AD102" s="1"/>
      <c r="AE102" s="1"/>
    </row>
    <row r="103" spans="1:31" s="69" customFormat="1">
      <c r="A103" s="1"/>
      <c r="D103" s="1"/>
      <c r="J103" s="1"/>
      <c r="K103" s="1"/>
      <c r="L103" s="1"/>
      <c r="M103" s="1"/>
      <c r="N103" s="1"/>
      <c r="O103" s="1"/>
      <c r="P103" s="1"/>
      <c r="Q103" s="1"/>
      <c r="R103" s="1"/>
      <c r="S103" s="1"/>
      <c r="T103" s="1"/>
      <c r="U103" s="1"/>
      <c r="V103" s="1"/>
      <c r="W103" s="1"/>
      <c r="X103" s="1"/>
      <c r="Y103" s="1"/>
      <c r="Z103" s="1"/>
      <c r="AA103" s="1"/>
      <c r="AB103" s="1"/>
      <c r="AC103" s="1"/>
      <c r="AD103" s="1"/>
      <c r="AE103" s="1"/>
    </row>
    <row r="104" spans="1:31">
      <c r="B104" s="69"/>
      <c r="C104" s="69"/>
    </row>
    <row r="105" spans="1:31">
      <c r="B105" s="69"/>
      <c r="C105" s="69"/>
    </row>
  </sheetData>
  <sheetProtection algorithmName="SHA-512" hashValue="Gl5HfRgusdt3D+QzujvNHJ3HCA0jJ4foTxPAzx4RBEZpoH3D0BwButUsn1dwKIcz6JfO84rx7cCPb9Lt0MgtdA==" saltValue="jxh/plz6Xz2QP7o9wajI1g==" spinCount="100000" sheet="1" objects="1" scenarios="1"/>
  <mergeCells count="18">
    <mergeCell ref="B3:D3"/>
    <mergeCell ref="B4:D4"/>
    <mergeCell ref="C6:D6"/>
    <mergeCell ref="C7:D7"/>
    <mergeCell ref="C9:D9"/>
    <mergeCell ref="C8:D8"/>
    <mergeCell ref="C13:D13"/>
    <mergeCell ref="C14:D14"/>
    <mergeCell ref="C15:D15"/>
    <mergeCell ref="B17:B19"/>
    <mergeCell ref="C10:D10"/>
    <mergeCell ref="C12:D12"/>
    <mergeCell ref="C18:C19"/>
    <mergeCell ref="G17:G19"/>
    <mergeCell ref="F18:F19"/>
    <mergeCell ref="D18:D19"/>
    <mergeCell ref="E18:E19"/>
    <mergeCell ref="C17:F17"/>
  </mergeCell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2EC2955B-CEF1-449D-88C1-89D3C6455AF2}">
          <x14:formula1>
            <xm:f>Incentives!$G$2:$G$3</xm:f>
          </x14:formula1>
          <xm:sqref>C10:D10</xm:sqref>
        </x14:dataValidation>
        <x14:dataValidation type="list" allowBlank="1" showInputMessage="1" showErrorMessage="1" xr:uid="{05A62724-AEE4-43BE-BC5F-54E1C9BB0C4D}">
          <x14:formula1>
            <xm:f>Incentives!$B$77:$B$94</xm:f>
          </x14:formula1>
          <xm:sqref>C14:D14</xm:sqref>
        </x14:dataValidation>
        <x14:dataValidation type="list" allowBlank="1" showInputMessage="1" showErrorMessage="1" xr:uid="{D93D3344-D671-4BD1-A4CB-BD133A1836E9}">
          <x14:formula1>
            <xm:f>Incentives!$N$3:$N$10</xm:f>
          </x14:formula1>
          <xm:sqref>C12:D12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9C621-28B9-41E0-B0FF-C14CE6193BE2}">
  <sheetPr codeName="Sheet3">
    <tabColor theme="3" tint="0.59999389629810485"/>
  </sheetPr>
  <dimension ref="A1:AQ66"/>
  <sheetViews>
    <sheetView zoomScale="80" zoomScaleNormal="80" workbookViewId="0">
      <pane xSplit="1" ySplit="2" topLeftCell="B3" activePane="bottomRight" state="frozen"/>
      <selection pane="topRight" activeCell="B1" sqref="B1"/>
      <selection pane="bottomLeft" activeCell="A2" sqref="A2"/>
      <selection pane="bottomRight" activeCell="N30" sqref="N30"/>
    </sheetView>
  </sheetViews>
  <sheetFormatPr defaultRowHeight="14.25"/>
  <cols>
    <col min="1" max="1" width="17.125" customWidth="1"/>
    <col min="2" max="24" width="11.75" customWidth="1"/>
    <col min="25" max="25" width="12.375" customWidth="1"/>
    <col min="26" max="42" width="11.75" customWidth="1"/>
    <col min="43" max="43" width="12.125" customWidth="1"/>
  </cols>
  <sheetData>
    <row r="1" spans="1:43" s="93" customFormat="1" ht="71.25">
      <c r="B1" s="639" t="s">
        <v>256</v>
      </c>
      <c r="C1" s="639" t="s">
        <v>257</v>
      </c>
      <c r="D1" s="640" t="s">
        <v>258</v>
      </c>
      <c r="E1" s="639" t="s">
        <v>259</v>
      </c>
      <c r="F1" s="639" t="s">
        <v>260</v>
      </c>
      <c r="G1" s="639" t="s">
        <v>261</v>
      </c>
      <c r="H1" s="639" t="s">
        <v>262</v>
      </c>
      <c r="I1" s="639" t="s">
        <v>263</v>
      </c>
      <c r="J1" s="639" t="s">
        <v>264</v>
      </c>
      <c r="K1" s="639" t="s">
        <v>265</v>
      </c>
      <c r="L1" s="639" t="s">
        <v>266</v>
      </c>
      <c r="M1" s="639" t="s">
        <v>267</v>
      </c>
      <c r="N1" s="639"/>
      <c r="O1" s="639" t="s">
        <v>268</v>
      </c>
      <c r="P1" s="639" t="s">
        <v>269</v>
      </c>
      <c r="Q1" s="639" t="s">
        <v>270</v>
      </c>
      <c r="R1" s="639" t="s">
        <v>271</v>
      </c>
      <c r="S1" s="639" t="s">
        <v>272</v>
      </c>
      <c r="T1" s="639"/>
      <c r="U1" s="639" t="s">
        <v>273</v>
      </c>
      <c r="V1" s="639"/>
      <c r="W1" s="639"/>
      <c r="X1" s="639" t="s">
        <v>274</v>
      </c>
      <c r="Y1" s="640" t="s">
        <v>275</v>
      </c>
      <c r="Z1" s="639" t="s">
        <v>276</v>
      </c>
      <c r="AA1" s="639" t="s">
        <v>277</v>
      </c>
      <c r="AB1" s="639" t="s">
        <v>278</v>
      </c>
      <c r="AC1" s="639" t="s">
        <v>279</v>
      </c>
      <c r="AD1" s="639" t="s">
        <v>280</v>
      </c>
      <c r="AE1" s="639" t="s">
        <v>281</v>
      </c>
      <c r="AF1" s="639" t="s">
        <v>282</v>
      </c>
      <c r="AG1" s="639" t="s">
        <v>283</v>
      </c>
      <c r="AH1" s="639" t="s">
        <v>284</v>
      </c>
      <c r="AI1" s="639" t="s">
        <v>285</v>
      </c>
      <c r="AJ1" s="639" t="s">
        <v>286</v>
      </c>
      <c r="AK1" s="639" t="s">
        <v>287</v>
      </c>
      <c r="AL1" s="639" t="s">
        <v>288</v>
      </c>
      <c r="AM1" s="639" t="s">
        <v>289</v>
      </c>
      <c r="AN1" s="639" t="s">
        <v>290</v>
      </c>
      <c r="AO1" s="639" t="s">
        <v>291</v>
      </c>
      <c r="AP1" s="639" t="s">
        <v>292</v>
      </c>
      <c r="AQ1" s="639" t="s">
        <v>293</v>
      </c>
    </row>
    <row r="2" spans="1:43" s="289" customFormat="1" ht="78" customHeight="1">
      <c r="B2" s="641" t="s">
        <v>294</v>
      </c>
      <c r="C2" s="593" t="s">
        <v>295</v>
      </c>
      <c r="D2" s="593" t="s">
        <v>296</v>
      </c>
      <c r="E2" s="593" t="s">
        <v>297</v>
      </c>
      <c r="F2" s="593" t="s">
        <v>298</v>
      </c>
      <c r="G2" s="593" t="s">
        <v>299</v>
      </c>
      <c r="H2" s="641" t="s">
        <v>126</v>
      </c>
      <c r="I2" s="593" t="s">
        <v>300</v>
      </c>
      <c r="J2" s="641" t="s">
        <v>301</v>
      </c>
      <c r="K2" s="641" t="s">
        <v>302</v>
      </c>
      <c r="L2" s="593" t="s">
        <v>303</v>
      </c>
      <c r="M2" s="593" t="s">
        <v>304</v>
      </c>
      <c r="N2" s="593" t="s">
        <v>305</v>
      </c>
      <c r="O2" s="593" t="s">
        <v>306</v>
      </c>
      <c r="P2" s="593" t="s">
        <v>307</v>
      </c>
      <c r="Q2" s="593" t="s">
        <v>308</v>
      </c>
      <c r="R2" s="593" t="s">
        <v>309</v>
      </c>
      <c r="S2" s="593" t="s">
        <v>310</v>
      </c>
      <c r="T2" s="593" t="s">
        <v>311</v>
      </c>
      <c r="U2" s="593" t="s">
        <v>312</v>
      </c>
      <c r="V2" s="593" t="s">
        <v>313</v>
      </c>
      <c r="W2" s="594" t="s">
        <v>314</v>
      </c>
      <c r="X2" s="593" t="s">
        <v>315</v>
      </c>
      <c r="Y2" s="641" t="s">
        <v>316</v>
      </c>
      <c r="Z2" s="593" t="s">
        <v>317</v>
      </c>
      <c r="AA2" s="593" t="s">
        <v>318</v>
      </c>
      <c r="AB2" s="593" t="s">
        <v>319</v>
      </c>
      <c r="AC2" s="593" t="s">
        <v>320</v>
      </c>
      <c r="AD2" s="593" t="s">
        <v>321</v>
      </c>
      <c r="AE2" s="593" t="s">
        <v>322</v>
      </c>
      <c r="AF2" s="593" t="s">
        <v>323</v>
      </c>
      <c r="AG2" s="593" t="s">
        <v>324</v>
      </c>
      <c r="AH2" s="593" t="s">
        <v>325</v>
      </c>
      <c r="AI2" s="593" t="s">
        <v>326</v>
      </c>
      <c r="AJ2" s="593" t="s">
        <v>327</v>
      </c>
      <c r="AK2" s="593" t="s">
        <v>328</v>
      </c>
      <c r="AL2" s="593" t="s">
        <v>329</v>
      </c>
      <c r="AM2" s="593" t="s">
        <v>330</v>
      </c>
      <c r="AN2" s="593" t="s">
        <v>331</v>
      </c>
      <c r="AO2" s="593" t="s">
        <v>332</v>
      </c>
      <c r="AP2" s="593" t="s">
        <v>333</v>
      </c>
      <c r="AQ2" s="593" t="s">
        <v>334</v>
      </c>
    </row>
    <row r="3" spans="1:43">
      <c r="A3" s="821" t="s">
        <v>335</v>
      </c>
      <c r="B3" s="612" t="str">
        <f>IF('ES Ice Machines'!J7="","", 'ES Ice Machines'!J7)</f>
        <v/>
      </c>
      <c r="C3" s="613" t="str">
        <f>IF($B3="","", Calculations!$F$535)</f>
        <v/>
      </c>
      <c r="D3" s="614" t="str">
        <f>IF($B3="","", Summary!$C$8)</f>
        <v/>
      </c>
      <c r="E3" s="613" t="str">
        <f>IF($B3="","", Summary!$G$2)</f>
        <v/>
      </c>
      <c r="F3" s="643" t="str">
        <f>IF($B3="","", 'ES Ice Machines'!N7)</f>
        <v/>
      </c>
      <c r="G3" s="649" t="str">
        <f>IF($B3="","", 'ES Ice Machines'!O7)</f>
        <v/>
      </c>
      <c r="H3" s="654">
        <f>'ES Ice Machines'!Q7</f>
        <v>0</v>
      </c>
      <c r="I3" s="613" t="str">
        <f>IF($B3="","",'ES Ice Machines'!B7)</f>
        <v/>
      </c>
      <c r="J3" s="613" t="str">
        <f>IF($B3="","", 'ES Ice Machines'!F7)</f>
        <v/>
      </c>
      <c r="K3" s="613" t="str">
        <f>IF($B3="","", 'ES Ice Machines'!G7)</f>
        <v/>
      </c>
      <c r="L3" s="613" t="str">
        <f>IF($B3="","", 'ES Ice Machines'!E7)</f>
        <v/>
      </c>
      <c r="M3" s="615"/>
      <c r="N3" s="615"/>
      <c r="O3" s="615"/>
      <c r="P3" s="615"/>
      <c r="Q3" s="615"/>
      <c r="R3" s="615"/>
      <c r="S3" s="615"/>
      <c r="T3" s="615"/>
      <c r="U3" s="615"/>
      <c r="V3" s="615"/>
      <c r="W3" s="615"/>
      <c r="X3" s="613" t="str">
        <f>IF($B3="","",'ES Ice Machines'!D7)</f>
        <v/>
      </c>
      <c r="Y3" s="613" t="str">
        <f t="shared" ref="Y3:Y34" si="0" xml:space="preserve"> IF(H3="", "", IFERROR(ROUND(H3/B3, 2), ""))</f>
        <v/>
      </c>
      <c r="Z3" s="616"/>
      <c r="AQ3" s="619">
        <f xml:space="preserve"> IF($H3="", "",Summary!$C$8)</f>
        <v>0</v>
      </c>
    </row>
    <row r="4" spans="1:43">
      <c r="A4" s="821"/>
      <c r="B4" s="617" t="str">
        <f>IF('ES Ice Machines'!J8="","", 'ES Ice Machines'!J8)</f>
        <v/>
      </c>
      <c r="C4" s="618" t="str">
        <f>IF($B4="","", Calculations!$F$535)</f>
        <v/>
      </c>
      <c r="D4" s="619" t="str">
        <f>IF($B4="","", Summary!$C$8)</f>
        <v/>
      </c>
      <c r="E4" s="618" t="str">
        <f>IF($B4="","", Summary!$G$2)</f>
        <v/>
      </c>
      <c r="F4" s="629" t="str">
        <f>IF($B4="","", 'ES Ice Machines'!N8)</f>
        <v/>
      </c>
      <c r="G4" s="628" t="str">
        <f>IF($B4="","", 'ES Ice Machines'!O8)</f>
        <v/>
      </c>
      <c r="H4" s="634">
        <f>'ES Ice Machines'!Q8</f>
        <v>0</v>
      </c>
      <c r="I4" s="618" t="str">
        <f>IF($B4="","",'ES Ice Machines'!B8)</f>
        <v/>
      </c>
      <c r="J4" s="618" t="str">
        <f>IF($B4="","", 'ES Ice Machines'!F8)</f>
        <v/>
      </c>
      <c r="K4" s="618" t="str">
        <f>IF($B4="","", 'ES Ice Machines'!G8)</f>
        <v/>
      </c>
      <c r="L4" s="618" t="str">
        <f>IF($B4="","", 'ES Ice Machines'!E8)</f>
        <v/>
      </c>
      <c r="M4" s="264"/>
      <c r="N4" s="264"/>
      <c r="O4" s="264"/>
      <c r="P4" s="264"/>
      <c r="Q4" s="264"/>
      <c r="R4" s="264"/>
      <c r="S4" s="264"/>
      <c r="T4" s="264"/>
      <c r="U4" s="264"/>
      <c r="V4" s="264"/>
      <c r="W4" s="264"/>
      <c r="X4" s="618" t="str">
        <f>IF($B4="","",'ES Ice Machines'!D8)</f>
        <v/>
      </c>
      <c r="Y4" s="618" t="str">
        <f t="shared" si="0"/>
        <v/>
      </c>
      <c r="Z4" s="620"/>
      <c r="AQ4" s="619">
        <f xml:space="preserve"> IF($H4="", "",Summary!$C$8)</f>
        <v>0</v>
      </c>
    </row>
    <row r="5" spans="1:43">
      <c r="A5" s="821"/>
      <c r="B5" s="617" t="str">
        <f>IF('ES Ice Machines'!J9="","", 'ES Ice Machines'!J9)</f>
        <v/>
      </c>
      <c r="C5" s="618" t="str">
        <f>IF($B5="","", Calculations!$F$535)</f>
        <v/>
      </c>
      <c r="D5" s="619" t="str">
        <f>IF($B5="","", Summary!$C$8)</f>
        <v/>
      </c>
      <c r="E5" s="618" t="str">
        <f>IF($B5="","", Summary!$G$2)</f>
        <v/>
      </c>
      <c r="F5" s="629" t="str">
        <f>IF($B5="","", 'ES Ice Machines'!N9)</f>
        <v/>
      </c>
      <c r="G5" s="628" t="str">
        <f>IF($B5="","", 'ES Ice Machines'!O9)</f>
        <v/>
      </c>
      <c r="H5" s="634">
        <f>'ES Ice Machines'!Q9</f>
        <v>0</v>
      </c>
      <c r="I5" s="618" t="str">
        <f>IF($B5="","",'ES Ice Machines'!B9)</f>
        <v/>
      </c>
      <c r="J5" s="618" t="str">
        <f>IF($B5="","", 'ES Ice Machines'!F9)</f>
        <v/>
      </c>
      <c r="K5" s="618" t="str">
        <f>IF($B5="","", 'ES Ice Machines'!G9)</f>
        <v/>
      </c>
      <c r="L5" s="618" t="str">
        <f>IF($B5="","", 'ES Ice Machines'!E9)</f>
        <v/>
      </c>
      <c r="M5" s="264"/>
      <c r="N5" s="264"/>
      <c r="O5" s="264"/>
      <c r="P5" s="264"/>
      <c r="Q5" s="264"/>
      <c r="R5" s="264"/>
      <c r="S5" s="264"/>
      <c r="T5" s="264"/>
      <c r="U5" s="264"/>
      <c r="V5" s="264"/>
      <c r="W5" s="264"/>
      <c r="X5" s="618" t="str">
        <f>IF($B5="","",'ES Ice Machines'!D9)</f>
        <v/>
      </c>
      <c r="Y5" s="618" t="str">
        <f t="shared" si="0"/>
        <v/>
      </c>
      <c r="Z5" s="620"/>
      <c r="AQ5" s="619">
        <f xml:space="preserve"> IF($H5="", "",Summary!$C$8)</f>
        <v>0</v>
      </c>
    </row>
    <row r="6" spans="1:43" ht="15" thickBot="1">
      <c r="A6" s="821"/>
      <c r="B6" s="621" t="str">
        <f>IF('ES Ice Machines'!J10="","", 'ES Ice Machines'!J10)</f>
        <v/>
      </c>
      <c r="C6" s="622" t="str">
        <f>IF($B6="","", Calculations!$F$535)</f>
        <v/>
      </c>
      <c r="D6" s="623" t="str">
        <f>IF($B6="","", Summary!$C$8)</f>
        <v/>
      </c>
      <c r="E6" s="622" t="str">
        <f>IF($B6="","", Summary!$G$2)</f>
        <v/>
      </c>
      <c r="F6" s="644" t="str">
        <f>IF($B6="","", 'ES Ice Machines'!N10)</f>
        <v/>
      </c>
      <c r="G6" s="650" t="str">
        <f>IF($B6="","", 'ES Ice Machines'!O10)</f>
        <v/>
      </c>
      <c r="H6" s="655">
        <f>'ES Ice Machines'!Q10</f>
        <v>0</v>
      </c>
      <c r="I6" s="622" t="str">
        <f>IF($B6="","",'ES Ice Machines'!B10)</f>
        <v/>
      </c>
      <c r="J6" s="622" t="str">
        <f>IF($B6="","", 'ES Ice Machines'!F10)</f>
        <v/>
      </c>
      <c r="K6" s="622" t="str">
        <f>IF($B6="","", 'ES Ice Machines'!G10)</f>
        <v/>
      </c>
      <c r="L6" s="622" t="str">
        <f>IF($B6="","", 'ES Ice Machines'!E10)</f>
        <v/>
      </c>
      <c r="M6" s="624"/>
      <c r="N6" s="624"/>
      <c r="O6" s="624"/>
      <c r="P6" s="624"/>
      <c r="Q6" s="624"/>
      <c r="R6" s="624"/>
      <c r="S6" s="624"/>
      <c r="T6" s="624"/>
      <c r="U6" s="624"/>
      <c r="V6" s="624"/>
      <c r="W6" s="624"/>
      <c r="X6" s="622" t="str">
        <f>IF($B6="","",'ES Ice Machines'!D10)</f>
        <v/>
      </c>
      <c r="Y6" s="622" t="str">
        <f t="shared" si="0"/>
        <v/>
      </c>
      <c r="Z6" s="625"/>
      <c r="AQ6" s="619">
        <f xml:space="preserve"> IF($H6="", "",Summary!$C$8)</f>
        <v>0</v>
      </c>
    </row>
    <row r="7" spans="1:43" s="627" customFormat="1">
      <c r="A7" s="821" t="s">
        <v>336</v>
      </c>
      <c r="B7" s="617" t="str">
        <f>IF('ENERGY STAR Steam Cooker'!H7="","", 'ENERGY STAR Steam Cooker'!H7)</f>
        <v/>
      </c>
      <c r="C7" s="617" t="str">
        <f>IF($B7="","", Calculations!$F$540)</f>
        <v/>
      </c>
      <c r="D7" s="626" t="str">
        <f>IF($B7="","", Summary!$C$8)</f>
        <v/>
      </c>
      <c r="E7" s="617" t="str">
        <f>IF($B7="","", Summary!$G$2)</f>
        <v/>
      </c>
      <c r="F7" s="645" t="str">
        <f>IF($B7="","", 'ENERGY STAR Steam Cooker'!L7)</f>
        <v/>
      </c>
      <c r="G7" s="631" t="str">
        <f>IF($B7="","", 'ENERGY STAR Steam Cooker'!M7)</f>
        <v/>
      </c>
      <c r="H7" s="656" t="str">
        <f>IF($B7="","",'ENERGY STAR Steam Cooker'!O7)</f>
        <v/>
      </c>
      <c r="I7" s="617" t="str">
        <f>IF($B7="","",'ENERGY STAR Steam Cooker'!B7)</f>
        <v/>
      </c>
      <c r="J7" t="str">
        <f t="shared" ref="J7:N10" si="1">IF($B7="","", "")</f>
        <v/>
      </c>
      <c r="K7" t="str">
        <f t="shared" si="1"/>
        <v/>
      </c>
      <c r="L7" t="str">
        <f t="shared" si="1"/>
        <v/>
      </c>
      <c r="M7" t="str">
        <f t="shared" si="1"/>
        <v/>
      </c>
      <c r="N7" t="str">
        <f t="shared" si="1"/>
        <v/>
      </c>
      <c r="O7"/>
      <c r="P7"/>
      <c r="Q7"/>
      <c r="R7"/>
      <c r="S7"/>
      <c r="T7"/>
      <c r="U7"/>
      <c r="V7"/>
      <c r="W7"/>
      <c r="X7" s="618" t="str">
        <f>IF($B7="","",'ENERGY STAR Steam Cooker'!G7)</f>
        <v/>
      </c>
      <c r="Y7" s="618" t="str">
        <f t="shared" si="0"/>
        <v/>
      </c>
      <c r="Z7" s="617" t="str">
        <f>IF('ENERGY STAR Steam Cooker'!H7="","", 'ENERGY STAR Steam Cooker'!H7)</f>
        <v/>
      </c>
      <c r="AC7" s="618" t="str">
        <f>IF('ENERGY STAR Steam Cooker'!D7="","", 'ENERGY STAR Steam Cooker'!D7)</f>
        <v/>
      </c>
      <c r="AD7" s="618" t="str">
        <f>IF('ENERGY STAR Steam Cooker'!E7="","", 'ENERGY STAR Steam Cooker'!E7)</f>
        <v/>
      </c>
      <c r="AH7" s="628" t="str">
        <f>IF('ENERGY STAR Steam Cooker'!K7="","", 'ENERGY STAR Steam Cooker'!K7)</f>
        <v/>
      </c>
      <c r="AI7" s="628" t="str">
        <f>IF('ENERGY STAR Steam Cooker'!J7="","", 'ENERGY STAR Steam Cooker'!J7)</f>
        <v/>
      </c>
      <c r="AJ7" s="629">
        <f>IF(Calculations!$F$87="","", Calculations!$F$87)</f>
        <v>1.863E-4</v>
      </c>
      <c r="AK7" s="629">
        <f>IF(Calculations!$F$88="","", Calculations!$F$88)</f>
        <v>1.192E-4</v>
      </c>
      <c r="AM7" s="618"/>
      <c r="AQ7" s="619" t="str">
        <f xml:space="preserve"> IF($H7="", "",Summary!$C$8)</f>
        <v/>
      </c>
    </row>
    <row r="8" spans="1:43">
      <c r="A8" s="821"/>
      <c r="B8" s="617" t="str">
        <f>IF('ENERGY STAR Steam Cooker'!H8="","", 'ENERGY STAR Steam Cooker'!H8)</f>
        <v/>
      </c>
      <c r="C8" s="617" t="str">
        <f>IF($B8="","", Calculations!$F$540)</f>
        <v/>
      </c>
      <c r="D8" s="626" t="str">
        <f>IF($B8="","", Summary!$C$8)</f>
        <v/>
      </c>
      <c r="E8" s="617" t="str">
        <f>IF($B8="","", Summary!$G$2)</f>
        <v/>
      </c>
      <c r="F8" s="645" t="str">
        <f>IF($B8="","", 'ENERGY STAR Steam Cooker'!L8)</f>
        <v/>
      </c>
      <c r="G8" s="631" t="str">
        <f>IF($B8="","", 'ENERGY STAR Steam Cooker'!M8)</f>
        <v/>
      </c>
      <c r="H8" s="656" t="str">
        <f>IF($B8="","",'ENERGY STAR Steam Cooker'!O8)</f>
        <v/>
      </c>
      <c r="I8" s="617" t="str">
        <f>IF($B8="","",'ENERGY STAR Steam Cooker'!B8)</f>
        <v/>
      </c>
      <c r="J8" t="str">
        <f t="shared" si="1"/>
        <v/>
      </c>
      <c r="K8" t="str">
        <f t="shared" si="1"/>
        <v/>
      </c>
      <c r="L8" t="str">
        <f t="shared" si="1"/>
        <v/>
      </c>
      <c r="M8" t="str">
        <f t="shared" si="1"/>
        <v/>
      </c>
      <c r="N8" t="str">
        <f t="shared" si="1"/>
        <v/>
      </c>
      <c r="X8" s="618" t="str">
        <f>IF($B8="","",'ENERGY STAR Steam Cooker'!G8)</f>
        <v/>
      </c>
      <c r="Y8" s="618" t="str">
        <f t="shared" si="0"/>
        <v/>
      </c>
      <c r="Z8" s="617" t="str">
        <f>IF('ENERGY STAR Steam Cooker'!H8="","", 'ENERGY STAR Steam Cooker'!H8)</f>
        <v/>
      </c>
      <c r="AC8" s="618" t="str">
        <f>IF('ENERGY STAR Steam Cooker'!D8="","", 'ENERGY STAR Steam Cooker'!D8)</f>
        <v/>
      </c>
      <c r="AD8" s="618" t="str">
        <f>IF('ENERGY STAR Steam Cooker'!E8="","", 'ENERGY STAR Steam Cooker'!E8)</f>
        <v/>
      </c>
      <c r="AH8" s="628" t="str">
        <f>IF('ENERGY STAR Steam Cooker'!K8="","", 'ENERGY STAR Steam Cooker'!K8)</f>
        <v/>
      </c>
      <c r="AI8" s="628" t="str">
        <f>IF('ENERGY STAR Steam Cooker'!J8="","", 'ENERGY STAR Steam Cooker'!J8)</f>
        <v/>
      </c>
      <c r="AJ8" s="629">
        <f>IF(Calculations!$F$87="","", Calculations!$F$87)</f>
        <v>1.863E-4</v>
      </c>
      <c r="AK8" s="629">
        <f>IF(Calculations!$F$88="","", Calculations!$F$88)</f>
        <v>1.192E-4</v>
      </c>
      <c r="AM8" s="618"/>
      <c r="AQ8" s="619" t="str">
        <f xml:space="preserve"> IF($H8="", "",Summary!$C$8)</f>
        <v/>
      </c>
    </row>
    <row r="9" spans="1:43">
      <c r="A9" s="821"/>
      <c r="B9" s="617" t="str">
        <f>IF('ENERGY STAR Steam Cooker'!H9="","", 'ENERGY STAR Steam Cooker'!H9)</f>
        <v/>
      </c>
      <c r="C9" s="617" t="str">
        <f>IF($B9="","", Calculations!$F$540)</f>
        <v/>
      </c>
      <c r="D9" s="626" t="str">
        <f>IF($B9="","", Summary!$C$8)</f>
        <v/>
      </c>
      <c r="E9" s="617" t="str">
        <f>IF($B9="","", Summary!$G$2)</f>
        <v/>
      </c>
      <c r="F9" s="645" t="str">
        <f>IF($B9="","", 'ENERGY STAR Steam Cooker'!L9)</f>
        <v/>
      </c>
      <c r="G9" s="631" t="str">
        <f>IF($B9="","", 'ENERGY STAR Steam Cooker'!M9)</f>
        <v/>
      </c>
      <c r="H9" s="656" t="str">
        <f>IF($B9="","",'ENERGY STAR Steam Cooker'!O9)</f>
        <v/>
      </c>
      <c r="I9" s="617" t="str">
        <f>IF($B9="","",'ENERGY STAR Steam Cooker'!B9)</f>
        <v/>
      </c>
      <c r="J9" t="str">
        <f t="shared" si="1"/>
        <v/>
      </c>
      <c r="K9" t="str">
        <f t="shared" si="1"/>
        <v/>
      </c>
      <c r="L9" t="str">
        <f t="shared" si="1"/>
        <v/>
      </c>
      <c r="M9" t="str">
        <f t="shared" si="1"/>
        <v/>
      </c>
      <c r="N9" t="str">
        <f t="shared" si="1"/>
        <v/>
      </c>
      <c r="X9" s="618" t="str">
        <f>IF($B9="","",'ENERGY STAR Steam Cooker'!G9)</f>
        <v/>
      </c>
      <c r="Y9" s="618" t="str">
        <f t="shared" si="0"/>
        <v/>
      </c>
      <c r="Z9" s="617" t="str">
        <f>IF('ENERGY STAR Steam Cooker'!H9="","", 'ENERGY STAR Steam Cooker'!H9)</f>
        <v/>
      </c>
      <c r="AC9" s="618" t="str">
        <f>IF('ENERGY STAR Steam Cooker'!D9="","", 'ENERGY STAR Steam Cooker'!D9)</f>
        <v/>
      </c>
      <c r="AD9" s="618" t="str">
        <f>IF('ENERGY STAR Steam Cooker'!E9="","", 'ENERGY STAR Steam Cooker'!E9)</f>
        <v/>
      </c>
      <c r="AH9" s="628" t="str">
        <f>IF('ENERGY STAR Steam Cooker'!K9="","", 'ENERGY STAR Steam Cooker'!K9)</f>
        <v/>
      </c>
      <c r="AI9" s="628" t="str">
        <f>IF('ENERGY STAR Steam Cooker'!J9="","", 'ENERGY STAR Steam Cooker'!J9)</f>
        <v/>
      </c>
      <c r="AJ9" s="629">
        <f>IF(Calculations!$F$87="","", Calculations!$F$87)</f>
        <v>1.863E-4</v>
      </c>
      <c r="AK9" s="629">
        <f>IF(Calculations!$F$88="","", Calculations!$F$88)</f>
        <v>1.192E-4</v>
      </c>
      <c r="AM9" s="618"/>
      <c r="AQ9" s="619" t="str">
        <f xml:space="preserve"> IF($H9="", "",Summary!$C$8)</f>
        <v/>
      </c>
    </row>
    <row r="10" spans="1:43">
      <c r="A10" s="821"/>
      <c r="B10" s="617" t="str">
        <f>IF('ENERGY STAR Steam Cooker'!H10="","", 'ENERGY STAR Steam Cooker'!H10)</f>
        <v/>
      </c>
      <c r="C10" s="617" t="str">
        <f>IF($B10="","", Calculations!$F$540)</f>
        <v/>
      </c>
      <c r="D10" s="626" t="str">
        <f>IF($B10="","", Summary!$C$8)</f>
        <v/>
      </c>
      <c r="E10" s="617" t="str">
        <f>IF($B10="","", Summary!$G$2)</f>
        <v/>
      </c>
      <c r="F10" s="645" t="str">
        <f>IF($B10="","", 'ENERGY STAR Steam Cooker'!L10)</f>
        <v/>
      </c>
      <c r="G10" s="631" t="str">
        <f>IF($B10="","", 'ENERGY STAR Steam Cooker'!M10)</f>
        <v/>
      </c>
      <c r="H10" s="656" t="str">
        <f>IF($B10="","",'ENERGY STAR Steam Cooker'!O10)</f>
        <v/>
      </c>
      <c r="I10" s="617" t="str">
        <f>IF($B10="","",'ENERGY STAR Steam Cooker'!B10)</f>
        <v/>
      </c>
      <c r="J10" t="str">
        <f t="shared" si="1"/>
        <v/>
      </c>
      <c r="K10" t="str">
        <f t="shared" si="1"/>
        <v/>
      </c>
      <c r="L10" t="str">
        <f t="shared" si="1"/>
        <v/>
      </c>
      <c r="M10" t="str">
        <f t="shared" si="1"/>
        <v/>
      </c>
      <c r="N10" t="str">
        <f t="shared" si="1"/>
        <v/>
      </c>
      <c r="X10" s="618" t="str">
        <f>IF($B10="","",'ENERGY STAR Steam Cooker'!G10)</f>
        <v/>
      </c>
      <c r="Y10" s="618" t="str">
        <f t="shared" si="0"/>
        <v/>
      </c>
      <c r="Z10" s="617" t="str">
        <f>IF('ENERGY STAR Steam Cooker'!H10="","", 'ENERGY STAR Steam Cooker'!H10)</f>
        <v/>
      </c>
      <c r="AC10" s="618" t="str">
        <f>IF('ENERGY STAR Steam Cooker'!D10="","", 'ENERGY STAR Steam Cooker'!D10)</f>
        <v/>
      </c>
      <c r="AD10" s="618" t="str">
        <f>IF('ENERGY STAR Steam Cooker'!E10="","", 'ENERGY STAR Steam Cooker'!E10)</f>
        <v/>
      </c>
      <c r="AH10" s="628" t="str">
        <f>IF('ENERGY STAR Steam Cooker'!K10="","", 'ENERGY STAR Steam Cooker'!K10)</f>
        <v/>
      </c>
      <c r="AI10" s="628" t="str">
        <f>IF('ENERGY STAR Steam Cooker'!J10="","", 'ENERGY STAR Steam Cooker'!J10)</f>
        <v/>
      </c>
      <c r="AJ10" s="629">
        <f>IF(Calculations!$F$87="","", Calculations!$F$87)</f>
        <v>1.863E-4</v>
      </c>
      <c r="AK10" s="629">
        <f>IF(Calculations!$F$88="","", Calculations!$F$88)</f>
        <v>1.192E-4</v>
      </c>
      <c r="AM10" s="618"/>
      <c r="AQ10" s="619" t="str">
        <f xml:space="preserve"> IF($H10="", "",Summary!$C$8)</f>
        <v/>
      </c>
    </row>
    <row r="11" spans="1:43" s="627" customFormat="1">
      <c r="A11" s="821" t="s">
        <v>337</v>
      </c>
      <c r="B11" s="617" t="str">
        <f>IF('Beverage and Snack Controls'!H7="","", 'Beverage and Snack Controls'!H7)</f>
        <v/>
      </c>
      <c r="C11" s="617" t="str">
        <f>IF($B11="","", Calculations!$F$536)</f>
        <v/>
      </c>
      <c r="D11" s="626" t="str">
        <f>IF($B11="","", Summary!$C$8)</f>
        <v/>
      </c>
      <c r="E11" s="617" t="str">
        <f>IF($B11="","", Summary!$G$2)</f>
        <v/>
      </c>
      <c r="F11" s="645" t="str">
        <f>IF($B11="","", 'Beverage and Snack Controls'!K7)</f>
        <v/>
      </c>
      <c r="G11" s="631" t="str">
        <f>IF($B11="","", 'Beverage and Snack Controls'!L7)</f>
        <v/>
      </c>
      <c r="H11" s="656" t="str">
        <f>IF($B11="","", 'Beverage and Snack Controls'!N7)</f>
        <v/>
      </c>
      <c r="I11" s="617" t="str">
        <f>IF($B11="","", 'Beverage and Snack Controls'!B7)</f>
        <v/>
      </c>
      <c r="J11" s="627" t="str">
        <f>IF($B11="","", "")</f>
        <v/>
      </c>
      <c r="K11" s="627" t="str">
        <f t="shared" ref="K11:L11" si="2">IF($B11="","", "")</f>
        <v/>
      </c>
      <c r="L11" s="627" t="str">
        <f t="shared" si="2"/>
        <v/>
      </c>
      <c r="M11" s="618" t="str">
        <f>IF($B11="","", 'Beverage and Snack Controls'!E7)</f>
        <v/>
      </c>
      <c r="X11" s="618" t="str">
        <f>IF($B11="","",'Beverage and Snack Controls'!D7)</f>
        <v/>
      </c>
      <c r="Y11" s="618" t="str">
        <f t="shared" si="0"/>
        <v/>
      </c>
      <c r="AH11" s="628">
        <f>0</f>
        <v>0</v>
      </c>
      <c r="AI11" s="628">
        <f>0</f>
        <v>0</v>
      </c>
      <c r="AJ11" s="630">
        <f>0</f>
        <v>0</v>
      </c>
      <c r="AK11" s="630">
        <f>0</f>
        <v>0</v>
      </c>
      <c r="AQ11" s="619" t="str">
        <f xml:space="preserve"> IF($H11="", "",Summary!$C$8)</f>
        <v/>
      </c>
    </row>
    <row r="12" spans="1:43">
      <c r="A12" s="821"/>
      <c r="B12" s="617" t="str">
        <f>IF('Beverage and Snack Controls'!H8="","", 'Beverage and Snack Controls'!H8)</f>
        <v/>
      </c>
      <c r="C12" s="617" t="str">
        <f>IF($B12="","", Calculations!$F$536)</f>
        <v/>
      </c>
      <c r="D12" s="626" t="str">
        <f>IF($B12="","", Summary!$C$8)</f>
        <v/>
      </c>
      <c r="E12" s="617" t="str">
        <f>IF($B12="","", Summary!$G$2)</f>
        <v/>
      </c>
      <c r="F12" s="645" t="str">
        <f>IF($B12="","", 'Beverage and Snack Controls'!K8)</f>
        <v/>
      </c>
      <c r="G12" s="631" t="str">
        <f>IF($B12="","", 'Beverage and Snack Controls'!L8)</f>
        <v/>
      </c>
      <c r="H12" s="656" t="str">
        <f>IF($B12="","", 'Beverage and Snack Controls'!N8)</f>
        <v/>
      </c>
      <c r="I12" s="617" t="str">
        <f>IF($B12="","", 'Beverage and Snack Controls'!B8)</f>
        <v/>
      </c>
      <c r="M12" s="618" t="str">
        <f>IF($B12="","", 'Beverage and Snack Controls'!E8)</f>
        <v/>
      </c>
      <c r="X12" s="618" t="str">
        <f>IF($B12="","",'Beverage and Snack Controls'!D8)</f>
        <v/>
      </c>
      <c r="Y12" s="618" t="str">
        <f t="shared" si="0"/>
        <v/>
      </c>
      <c r="AH12" s="628">
        <f>0</f>
        <v>0</v>
      </c>
      <c r="AI12" s="628">
        <f>0</f>
        <v>0</v>
      </c>
      <c r="AJ12" s="630">
        <f>0</f>
        <v>0</v>
      </c>
      <c r="AK12" s="630">
        <f>0</f>
        <v>0</v>
      </c>
      <c r="AQ12" s="619" t="str">
        <f xml:space="preserve"> IF($H12="", "",Summary!$C$8)</f>
        <v/>
      </c>
    </row>
    <row r="13" spans="1:43">
      <c r="A13" s="821"/>
      <c r="B13" s="617" t="str">
        <f>IF('Beverage and Snack Controls'!H9="","", 'Beverage and Snack Controls'!H9)</f>
        <v/>
      </c>
      <c r="C13" s="617" t="str">
        <f>IF($B13="","", Calculations!$F$536)</f>
        <v/>
      </c>
      <c r="D13" s="626" t="str">
        <f>IF($B13="","", Summary!$C$8)</f>
        <v/>
      </c>
      <c r="E13" s="617" t="str">
        <f>IF($B13="","", Summary!$G$2)</f>
        <v/>
      </c>
      <c r="F13" s="645" t="str">
        <f>IF($B13="","", 'Beverage and Snack Controls'!K9)</f>
        <v/>
      </c>
      <c r="G13" s="631" t="str">
        <f>IF($B13="","", 'Beverage and Snack Controls'!L9)</f>
        <v/>
      </c>
      <c r="H13" s="656" t="str">
        <f>IF($B13="","", 'Beverage and Snack Controls'!N9)</f>
        <v/>
      </c>
      <c r="I13" s="617" t="str">
        <f>IF($B13="","", 'Beverage and Snack Controls'!B9)</f>
        <v/>
      </c>
      <c r="M13" s="618" t="str">
        <f>IF($B13="","", 'Beverage and Snack Controls'!E9)</f>
        <v/>
      </c>
      <c r="X13" s="618" t="str">
        <f>IF($B13="","",'Beverage and Snack Controls'!D9)</f>
        <v/>
      </c>
      <c r="Y13" s="618" t="str">
        <f t="shared" si="0"/>
        <v/>
      </c>
      <c r="AH13" s="628">
        <f>0</f>
        <v>0</v>
      </c>
      <c r="AI13" s="628">
        <f>0</f>
        <v>0</v>
      </c>
      <c r="AJ13" s="630">
        <f>0</f>
        <v>0</v>
      </c>
      <c r="AK13" s="630">
        <f>0</f>
        <v>0</v>
      </c>
      <c r="AQ13" s="619" t="str">
        <f xml:space="preserve"> IF($H13="", "",Summary!$C$8)</f>
        <v/>
      </c>
    </row>
    <row r="14" spans="1:43">
      <c r="A14" s="821"/>
      <c r="B14" s="617" t="str">
        <f>IF('Beverage and Snack Controls'!H10="","", 'Beverage and Snack Controls'!H10)</f>
        <v/>
      </c>
      <c r="C14" s="617" t="str">
        <f>IF($B14="","", Calculations!$F$536)</f>
        <v/>
      </c>
      <c r="D14" s="626" t="str">
        <f>IF($B14="","", Summary!$C$8)</f>
        <v/>
      </c>
      <c r="E14" s="617" t="str">
        <f>IF($B14="","", Summary!$G$2)</f>
        <v/>
      </c>
      <c r="F14" s="645" t="str">
        <f>IF($B14="","", 'Beverage and Snack Controls'!K10)</f>
        <v/>
      </c>
      <c r="G14" s="631" t="str">
        <f>IF($B14="","", 'Beverage and Snack Controls'!L10)</f>
        <v/>
      </c>
      <c r="H14" s="656" t="str">
        <f>IF($B14="","", 'Beverage and Snack Controls'!N10)</f>
        <v/>
      </c>
      <c r="I14" s="617" t="str">
        <f>IF($B14="","", 'Beverage and Snack Controls'!B10)</f>
        <v/>
      </c>
      <c r="M14" s="618" t="str">
        <f>IF($B14="","", 'Beverage and Snack Controls'!E10)</f>
        <v/>
      </c>
      <c r="X14" s="618" t="str">
        <f>IF($B14="","",'Beverage and Snack Controls'!D10)</f>
        <v/>
      </c>
      <c r="Y14" s="618" t="str">
        <f t="shared" si="0"/>
        <v/>
      </c>
      <c r="AH14" s="628">
        <f>0</f>
        <v>0</v>
      </c>
      <c r="AI14" s="628">
        <f>0</f>
        <v>0</v>
      </c>
      <c r="AJ14" s="630">
        <f>0</f>
        <v>0</v>
      </c>
      <c r="AK14" s="630">
        <f>0</f>
        <v>0</v>
      </c>
      <c r="AQ14" s="619" t="str">
        <f xml:space="preserve"> IF($H14="", "",Summary!$C$8)</f>
        <v/>
      </c>
    </row>
    <row r="15" spans="1:43" s="627" customFormat="1">
      <c r="A15" s="821" t="s">
        <v>338</v>
      </c>
      <c r="B15" s="617" t="str">
        <f>IF('Convection Oven'!E7="","", 'Convection Oven'!E7)</f>
        <v/>
      </c>
      <c r="C15" s="617" t="str">
        <f>IF($B15="","",IF('Convection Oven'!F7="Full",Calculations!$F$542,Calculations!$F$543))</f>
        <v/>
      </c>
      <c r="D15" s="626" t="str">
        <f>IF($B15="","", Summary!$C$8)</f>
        <v/>
      </c>
      <c r="E15" s="617" t="str">
        <f>IF($B15="","", Summary!$G$2)</f>
        <v/>
      </c>
      <c r="F15" s="645" t="str">
        <f>IF($B15="","",'Convection Oven'!I7)</f>
        <v/>
      </c>
      <c r="G15" s="631" t="str">
        <f>IF($B15="","",'Convection Oven'!J7)</f>
        <v/>
      </c>
      <c r="H15" s="656" t="str">
        <f>IF($B15="","",'Convection Oven'!L7)</f>
        <v/>
      </c>
      <c r="I15" s="617" t="str">
        <f>IF($B15="","",'Convection Oven'!B7)</f>
        <v/>
      </c>
      <c r="X15" s="618" t="str">
        <f>IF($B$15="","",'Convection Oven'!D7)</f>
        <v/>
      </c>
      <c r="Y15" s="618" t="str">
        <f t="shared" si="0"/>
        <v/>
      </c>
      <c r="AC15" s="618" t="e">
        <f>VLOOKUP(AE15,Calculations!$G$33:$I$35,2)</f>
        <v>#N/A</v>
      </c>
      <c r="AD15" s="618" t="e">
        <f>VLOOKUP(AE15,Calculations!$G$33:$I$35,3)</f>
        <v>#N/A</v>
      </c>
      <c r="AE15" s="631" t="str">
        <f>IF('Convection Oven'!F7="","", 'Convection Oven'!F7)</f>
        <v/>
      </c>
      <c r="AH15" s="628">
        <f>IF('Convection Oven'!H7="","", 'Convection Oven'!H7)</f>
        <v>0</v>
      </c>
      <c r="AI15" s="628">
        <f>IF('Convection Oven'!G7="","", 'Convection Oven'!G7)</f>
        <v>0</v>
      </c>
      <c r="AJ15" s="629">
        <f>IF(Calculations!$H$29="","", Calculations!$H$29)</f>
        <v>1.863E-4</v>
      </c>
      <c r="AK15" s="629">
        <f>IF(Calculations!$H$30="","", Calculations!$H$30)</f>
        <v>1.192E-4</v>
      </c>
      <c r="AQ15" s="619" t="str">
        <f xml:space="preserve"> IF($H15="", "",Summary!$C$8)</f>
        <v/>
      </c>
    </row>
    <row r="16" spans="1:43">
      <c r="A16" s="821"/>
      <c r="B16" s="617" t="str">
        <f>IF('Convection Oven'!E8="","", 'Convection Oven'!E8)</f>
        <v/>
      </c>
      <c r="C16" s="617" t="str">
        <f>IF($B16="","",IF('Convection Oven'!F8="Full",Calculations!$F$542,Calculations!$F$543))</f>
        <v/>
      </c>
      <c r="D16" s="626" t="str">
        <f>IF($B16="","", Summary!$C$8)</f>
        <v/>
      </c>
      <c r="E16" s="617" t="str">
        <f>IF($B16="","", Summary!$G$2)</f>
        <v/>
      </c>
      <c r="F16" s="645" t="str">
        <f>IF($B16="","",'Convection Oven'!I8)</f>
        <v/>
      </c>
      <c r="G16" s="631" t="str">
        <f>IF($B16="","",'Convection Oven'!J8)</f>
        <v/>
      </c>
      <c r="H16" s="656" t="str">
        <f>IF($B16="","",'Convection Oven'!L8)</f>
        <v/>
      </c>
      <c r="I16" s="617" t="str">
        <f>IF($B16="","",'Convection Oven'!B8)</f>
        <v/>
      </c>
      <c r="X16" s="618" t="str">
        <f>IF($B16="","",'Convection Oven'!D8)</f>
        <v/>
      </c>
      <c r="Y16" s="618" t="str">
        <f t="shared" si="0"/>
        <v/>
      </c>
      <c r="AC16" s="618" t="e">
        <f>VLOOKUP(AE16,Calculations!$G$33:$I$35,2)</f>
        <v>#N/A</v>
      </c>
      <c r="AD16" s="618" t="e">
        <f>VLOOKUP(AE16,Calculations!$G$33:$I$35,3)</f>
        <v>#N/A</v>
      </c>
      <c r="AE16" s="631" t="str">
        <f>IF('Convection Oven'!F8="","", 'Convection Oven'!F8)</f>
        <v/>
      </c>
      <c r="AH16" s="628">
        <f>IF('Convection Oven'!H8="","", 'Convection Oven'!H8)</f>
        <v>0</v>
      </c>
      <c r="AI16" s="628">
        <f>IF('Convection Oven'!G8="","", 'Convection Oven'!G8)</f>
        <v>0</v>
      </c>
      <c r="AJ16" s="629">
        <f>IF(Calculations!$H$29="","", Calculations!$H$29)</f>
        <v>1.863E-4</v>
      </c>
      <c r="AK16" s="629">
        <f>IF(Calculations!$H$30="","", Calculations!$H$30)</f>
        <v>1.192E-4</v>
      </c>
      <c r="AQ16" s="619" t="str">
        <f xml:space="preserve"> IF($H16="", "",Summary!$C$8)</f>
        <v/>
      </c>
    </row>
    <row r="17" spans="1:43">
      <c r="A17" s="821"/>
      <c r="B17" s="617" t="str">
        <f>IF('Convection Oven'!E9="","", 'Convection Oven'!E9)</f>
        <v/>
      </c>
      <c r="C17" s="617" t="str">
        <f>IF($B17="","",IF('Convection Oven'!F9="Full",Calculations!$F$542,Calculations!$F$543))</f>
        <v/>
      </c>
      <c r="D17" s="626" t="str">
        <f>IF($B17="","", Summary!$C$8)</f>
        <v/>
      </c>
      <c r="E17" s="617" t="str">
        <f>IF($B17="","", Summary!$G$2)</f>
        <v/>
      </c>
      <c r="F17" s="645" t="str">
        <f>IF($B17="","",'Convection Oven'!I9)</f>
        <v/>
      </c>
      <c r="G17" s="631" t="str">
        <f>IF($B17="","",'Convection Oven'!J9)</f>
        <v/>
      </c>
      <c r="H17" s="656" t="str">
        <f>IF($B17="","",'Convection Oven'!L9)</f>
        <v/>
      </c>
      <c r="I17" s="617" t="str">
        <f>IF($B17="","",'Convection Oven'!B9)</f>
        <v/>
      </c>
      <c r="X17" s="618" t="str">
        <f>IF($B17="","",'Convection Oven'!D9)</f>
        <v/>
      </c>
      <c r="Y17" s="618" t="str">
        <f t="shared" si="0"/>
        <v/>
      </c>
      <c r="AC17" s="618" t="e">
        <f>VLOOKUP(AE17,Calculations!$G$33:$I$35,2)</f>
        <v>#N/A</v>
      </c>
      <c r="AD17" s="618" t="e">
        <f>VLOOKUP(AE17,Calculations!$G$33:$I$35,3)</f>
        <v>#N/A</v>
      </c>
      <c r="AE17" s="631" t="str">
        <f>IF('Convection Oven'!F9="","", 'Convection Oven'!F9)</f>
        <v/>
      </c>
      <c r="AH17" s="628">
        <f>IF('Convection Oven'!H9="","", 'Convection Oven'!H9)</f>
        <v>0</v>
      </c>
      <c r="AI17" s="628">
        <f>IF('Convection Oven'!G9="","", 'Convection Oven'!G9)</f>
        <v>0</v>
      </c>
      <c r="AJ17" s="629">
        <f>IF(Calculations!$H$29="","", Calculations!$H$29)</f>
        <v>1.863E-4</v>
      </c>
      <c r="AK17" s="629">
        <f>IF(Calculations!$H$30="","", Calculations!$H$30)</f>
        <v>1.192E-4</v>
      </c>
      <c r="AQ17" s="619" t="str">
        <f xml:space="preserve"> IF($H17="", "",Summary!$C$8)</f>
        <v/>
      </c>
    </row>
    <row r="18" spans="1:43">
      <c r="A18" s="821"/>
      <c r="B18" s="617" t="str">
        <f>IF('Convection Oven'!E10="","", 'Convection Oven'!E10)</f>
        <v/>
      </c>
      <c r="C18" s="617" t="str">
        <f>IF($B18="","",IF('Convection Oven'!F10="Full",Calculations!$F$542,Calculations!$F$543))</f>
        <v/>
      </c>
      <c r="D18" s="626" t="str">
        <f>IF($B18="","", Summary!$C$8)</f>
        <v/>
      </c>
      <c r="E18" s="617" t="str">
        <f>IF($B18="","", Summary!$G$2)</f>
        <v/>
      </c>
      <c r="F18" s="645" t="str">
        <f>IF($B18="","",'Convection Oven'!I10)</f>
        <v/>
      </c>
      <c r="G18" s="631" t="str">
        <f>IF($B18="","",'Convection Oven'!J10)</f>
        <v/>
      </c>
      <c r="H18" s="656" t="str">
        <f>IF($B18="","",'Convection Oven'!L10)</f>
        <v/>
      </c>
      <c r="I18" s="617" t="str">
        <f>IF($B18="","",'Convection Oven'!B10)</f>
        <v/>
      </c>
      <c r="X18" s="618" t="str">
        <f>IF($B18="","",'Convection Oven'!D10)</f>
        <v/>
      </c>
      <c r="Y18" s="618" t="str">
        <f t="shared" si="0"/>
        <v/>
      </c>
      <c r="AC18" s="618" t="e">
        <f>VLOOKUP(AE18,Calculations!$G$33:$I$35,2)</f>
        <v>#N/A</v>
      </c>
      <c r="AD18" s="618" t="e">
        <f>VLOOKUP(AE18,Calculations!$G$33:$I$35,3)</f>
        <v>#N/A</v>
      </c>
      <c r="AE18" s="631" t="str">
        <f>IF('Convection Oven'!F10="","", 'Convection Oven'!F10)</f>
        <v/>
      </c>
      <c r="AH18" s="628">
        <f>IF('Convection Oven'!H10="","", 'Convection Oven'!H10)</f>
        <v>0</v>
      </c>
      <c r="AI18" s="628">
        <f>IF('Convection Oven'!G10="","", 'Convection Oven'!G10)</f>
        <v>0</v>
      </c>
      <c r="AJ18" s="629">
        <f>IF(Calculations!$H$29="","", Calculations!$H$29)</f>
        <v>1.863E-4</v>
      </c>
      <c r="AK18" s="629">
        <f>IF(Calculations!$H$30="","", Calculations!$H$30)</f>
        <v>1.192E-4</v>
      </c>
      <c r="AQ18" s="619" t="str">
        <f xml:space="preserve"> IF($H18="", "",Summary!$C$8)</f>
        <v/>
      </c>
    </row>
    <row r="19" spans="1:43" s="627" customFormat="1">
      <c r="A19" s="821" t="s">
        <v>192</v>
      </c>
      <c r="B19" s="618" t="str">
        <f>IF('ENERGY STAR Clothes Washer'!F8="","", 'ENERGY STAR Clothes Washer'!F8)</f>
        <v/>
      </c>
      <c r="C19" s="618" t="str">
        <f>IF($B19="","",IF('ENERGY STAR Clothes Washer'!D8="Multifamily",Calculations!$F$533,Calculations!$F$534))</f>
        <v/>
      </c>
      <c r="D19" s="619" t="str">
        <f>IF($B19="","", Summary!$C$8)</f>
        <v/>
      </c>
      <c r="E19" s="618" t="str">
        <f>IF($B19="","", Summary!$G$2)</f>
        <v/>
      </c>
      <c r="F19" s="629" t="str">
        <f>IF($B19="","",'ENERGY STAR Clothes Washer'!J8)</f>
        <v/>
      </c>
      <c r="G19" s="628" t="str">
        <f>IF($B19="","",'ENERGY STAR Clothes Washer'!K8)</f>
        <v/>
      </c>
      <c r="H19" s="634" t="str">
        <f>IF($B19="","",'ENERGY STAR Clothes Washer'!M8)</f>
        <v/>
      </c>
      <c r="I19" s="618" t="str">
        <f>IF($B19="","",'ENERGY STAR Clothes Washer'!B8)</f>
        <v/>
      </c>
      <c r="O19" s="632" t="str">
        <f>Calculations!E326</f>
        <v/>
      </c>
      <c r="X19" s="618" t="str">
        <f>IF(B19="","",'ENERGY STAR Clothes Washer'!C8)</f>
        <v/>
      </c>
      <c r="Y19" s="618" t="str">
        <f t="shared" si="0"/>
        <v/>
      </c>
      <c r="AH19" s="628">
        <f>IF('ENERGY STAR Clothes Washer'!I8="","", 'ENERGY STAR Clothes Washer'!I8)</f>
        <v>0</v>
      </c>
      <c r="AI19" s="628">
        <f>IF('ENERGY STAR Clothes Washer'!H8="","", 'ENERGY STAR Clothes Washer'!H8)</f>
        <v>0</v>
      </c>
      <c r="AJ19" s="630">
        <f>0</f>
        <v>0</v>
      </c>
      <c r="AK19" s="630">
        <f>0</f>
        <v>0</v>
      </c>
      <c r="AQ19" s="619" t="str">
        <f xml:space="preserve"> IF($H19="", "",Summary!$C$8)</f>
        <v/>
      </c>
    </row>
    <row r="20" spans="1:43">
      <c r="A20" s="821"/>
      <c r="B20" s="618" t="str">
        <f>IF('ENERGY STAR Clothes Washer'!F9="","", 'ENERGY STAR Clothes Washer'!F9)</f>
        <v/>
      </c>
      <c r="C20" s="618" t="str">
        <f>IF($B20="","",IF('ENERGY STAR Clothes Washer'!D9="Multifamily",Calculations!$F$533,Calculations!$F$534))</f>
        <v/>
      </c>
      <c r="D20" s="619" t="str">
        <f>IF($B20="","", Summary!$C$8)</f>
        <v/>
      </c>
      <c r="E20" s="618" t="str">
        <f>IF($B20="","", Summary!$G$2)</f>
        <v/>
      </c>
      <c r="F20" s="629" t="str">
        <f>IF($B20="","",'ENERGY STAR Clothes Washer'!J9)</f>
        <v/>
      </c>
      <c r="G20" s="628" t="str">
        <f>IF($B20="","",'ENERGY STAR Clothes Washer'!K9)</f>
        <v/>
      </c>
      <c r="H20" s="634" t="str">
        <f>IF($B20="","",'ENERGY STAR Clothes Washer'!M9)</f>
        <v/>
      </c>
      <c r="I20" s="618" t="str">
        <f>IF($B20="","",'ENERGY STAR Clothes Washer'!B9)</f>
        <v/>
      </c>
      <c r="O20" s="632" t="str">
        <f>Calculations!E327</f>
        <v/>
      </c>
      <c r="X20" s="618" t="str">
        <f>IF(B20="","",'ENERGY STAR Clothes Washer'!C9)</f>
        <v/>
      </c>
      <c r="Y20" s="618" t="str">
        <f t="shared" si="0"/>
        <v/>
      </c>
      <c r="AH20" s="628">
        <f>IF('ENERGY STAR Clothes Washer'!I9="","", 'ENERGY STAR Clothes Washer'!I9)</f>
        <v>0</v>
      </c>
      <c r="AI20" s="628">
        <f>IF('ENERGY STAR Clothes Washer'!H9="","", 'ENERGY STAR Clothes Washer'!H9)</f>
        <v>0</v>
      </c>
      <c r="AJ20" s="630">
        <f>0</f>
        <v>0</v>
      </c>
      <c r="AK20" s="630">
        <f>0</f>
        <v>0</v>
      </c>
      <c r="AQ20" s="619" t="str">
        <f xml:space="preserve"> IF($H20="", "",Summary!$C$8)</f>
        <v/>
      </c>
    </row>
    <row r="21" spans="1:43">
      <c r="A21" s="821"/>
      <c r="B21" s="618" t="str">
        <f>IF('ENERGY STAR Clothes Washer'!F10="","", 'ENERGY STAR Clothes Washer'!F10)</f>
        <v/>
      </c>
      <c r="C21" s="618" t="str">
        <f>IF($B21="","",IF('ENERGY STAR Clothes Washer'!D10="Multifamily",Calculations!$F$533,Calculations!$F$534))</f>
        <v/>
      </c>
      <c r="D21" s="619" t="str">
        <f>IF($B21="","", Summary!$C$8)</f>
        <v/>
      </c>
      <c r="E21" s="618" t="str">
        <f>IF($B21="","", Summary!$G$2)</f>
        <v/>
      </c>
      <c r="F21" s="629" t="str">
        <f>IF($B21="","",'ENERGY STAR Clothes Washer'!J10)</f>
        <v/>
      </c>
      <c r="G21" s="628" t="str">
        <f>IF($B21="","",'ENERGY STAR Clothes Washer'!K10)</f>
        <v/>
      </c>
      <c r="H21" s="634" t="str">
        <f>IF($B21="","",'ENERGY STAR Clothes Washer'!M10)</f>
        <v/>
      </c>
      <c r="I21" s="618" t="str">
        <f>IF($B21="","",'ENERGY STAR Clothes Washer'!B10)</f>
        <v/>
      </c>
      <c r="O21" s="632" t="str">
        <f>Calculations!E328</f>
        <v/>
      </c>
      <c r="X21" s="618" t="str">
        <f>IF(B21="","",'ENERGY STAR Clothes Washer'!C10)</f>
        <v/>
      </c>
      <c r="Y21" s="618" t="str">
        <f t="shared" si="0"/>
        <v/>
      </c>
      <c r="AH21" s="628">
        <f>IF('ENERGY STAR Clothes Washer'!I10="","", 'ENERGY STAR Clothes Washer'!I10)</f>
        <v>0</v>
      </c>
      <c r="AI21" s="628">
        <f>IF('ENERGY STAR Clothes Washer'!H10="","", 'ENERGY STAR Clothes Washer'!H10)</f>
        <v>0</v>
      </c>
      <c r="AJ21" s="630">
        <f>0</f>
        <v>0</v>
      </c>
      <c r="AK21" s="630">
        <f>0</f>
        <v>0</v>
      </c>
      <c r="AQ21" s="619" t="str">
        <f xml:space="preserve"> IF($H21="", "",Summary!$C$8)</f>
        <v/>
      </c>
    </row>
    <row r="22" spans="1:43">
      <c r="A22" s="821"/>
      <c r="B22" s="618" t="str">
        <f>IF('ENERGY STAR Clothes Washer'!F11="","", 'ENERGY STAR Clothes Washer'!F11)</f>
        <v/>
      </c>
      <c r="C22" s="618" t="str">
        <f>IF($B22="","",IF('ENERGY STAR Clothes Washer'!D11="Multifamily",Calculations!$F$533,Calculations!$F$534))</f>
        <v/>
      </c>
      <c r="D22" s="619" t="str">
        <f>IF($B22="","", Summary!$C$8)</f>
        <v/>
      </c>
      <c r="E22" s="618" t="str">
        <f>IF($B22="","", Summary!$G$2)</f>
        <v/>
      </c>
      <c r="F22" s="629" t="str">
        <f>IF($B22="","",'ENERGY STAR Clothes Washer'!J11)</f>
        <v/>
      </c>
      <c r="G22" s="628" t="str">
        <f>IF($B22="","",'ENERGY STAR Clothes Washer'!K11)</f>
        <v/>
      </c>
      <c r="H22" s="634" t="str">
        <f>IF($B22="","",'ENERGY STAR Clothes Washer'!M11)</f>
        <v/>
      </c>
      <c r="I22" s="618" t="str">
        <f>IF($B22="","",'ENERGY STAR Clothes Washer'!B11)</f>
        <v/>
      </c>
      <c r="O22" s="632" t="str">
        <f>Calculations!E329</f>
        <v/>
      </c>
      <c r="X22" s="618" t="str">
        <f>IF(B22="","",'ENERGY STAR Clothes Washer'!C11)</f>
        <v/>
      </c>
      <c r="Y22" s="618" t="str">
        <f t="shared" si="0"/>
        <v/>
      </c>
      <c r="AH22" s="628">
        <f>IF('ENERGY STAR Clothes Washer'!I11="","", 'ENERGY STAR Clothes Washer'!I11)</f>
        <v>0</v>
      </c>
      <c r="AI22" s="628">
        <f>IF('ENERGY STAR Clothes Washer'!H11="","", 'ENERGY STAR Clothes Washer'!H11)</f>
        <v>0</v>
      </c>
      <c r="AJ22" s="630">
        <f>0</f>
        <v>0</v>
      </c>
      <c r="AK22" s="630">
        <f>0</f>
        <v>0</v>
      </c>
      <c r="AQ22" s="619" t="str">
        <f xml:space="preserve"> IF($H22="", "",Summary!$C$8)</f>
        <v/>
      </c>
    </row>
    <row r="23" spans="1:43" s="627" customFormat="1">
      <c r="A23" s="821" t="s">
        <v>339</v>
      </c>
      <c r="B23" s="618" t="str">
        <f>IF('Commercial Fryer'!H7="","", 'Commercial Fryer'!H7)</f>
        <v/>
      </c>
      <c r="C23" s="618" t="str">
        <f>IF($B23="","",IF('Commercial Fryer'!G7="Standard",Calculations!$F$544,Calculations!$F$545))</f>
        <v/>
      </c>
      <c r="D23" s="619" t="str">
        <f>IF($B23="","", Summary!$C$8)</f>
        <v/>
      </c>
      <c r="E23" s="618" t="str">
        <f>IF($B23="","", Summary!$G$2)</f>
        <v/>
      </c>
      <c r="F23" s="629" t="str">
        <f>IF($B23="","",'Commercial Fryer'!K7)</f>
        <v/>
      </c>
      <c r="G23" s="628" t="str">
        <f>IF($B23="","",'Commercial Fryer'!L7)</f>
        <v/>
      </c>
      <c r="H23" s="634" t="str">
        <f>IF($B23="","",'Commercial Fryer'!N7)</f>
        <v/>
      </c>
      <c r="I23" s="618" t="str">
        <f>IF($B23="","",'Commercial Fryer'!B7)</f>
        <v/>
      </c>
      <c r="X23" s="618" t="str">
        <f>IF(B23="","",'Commercial Fryer'!D7)</f>
        <v/>
      </c>
      <c r="Y23" s="618" t="str">
        <f t="shared" si="0"/>
        <v/>
      </c>
      <c r="AC23" s="618" t="str">
        <f>IF(B23="","",'Commercial Fryer'!F7)</f>
        <v/>
      </c>
      <c r="AD23" s="618" t="str">
        <f>IF(B23="","",'Commercial Fryer'!E7)</f>
        <v/>
      </c>
      <c r="AH23" s="628" t="str">
        <f>IF(B23="","",'Commercial Fryer'!J7)</f>
        <v/>
      </c>
      <c r="AI23" s="628" t="str">
        <f>IF(B23="","",'Commercial Fryer'!I7)</f>
        <v/>
      </c>
      <c r="AJ23" s="629">
        <f>IF(Calculations!$C$7="","", Calculations!$C$7)</f>
        <v>1.863E-4</v>
      </c>
      <c r="AK23" s="629">
        <f>IF(Calculations!$C$8="","", Calculations!$C$8)</f>
        <v>1.192E-4</v>
      </c>
      <c r="AM23" s="630">
        <f>IF(Calculations!$C$5="","", Calculations!$C$5)</f>
        <v>150</v>
      </c>
      <c r="AQ23" s="619" t="str">
        <f xml:space="preserve"> IF($H23="", "",Summary!$C$8)</f>
        <v/>
      </c>
    </row>
    <row r="24" spans="1:43">
      <c r="A24" s="821"/>
      <c r="B24" s="618" t="str">
        <f>IF('Commercial Fryer'!H8="","", 'Commercial Fryer'!H8)</f>
        <v/>
      </c>
      <c r="C24" s="618" t="str">
        <f>IF($B24="","",IF('Commercial Fryer'!G8="Standard",Calculations!$F$544,Calculations!$F$545))</f>
        <v/>
      </c>
      <c r="D24" s="619" t="str">
        <f>IF($B24="","", Summary!$C$8)</f>
        <v/>
      </c>
      <c r="E24" s="618" t="str">
        <f>IF($B24="","", Summary!$G$2)</f>
        <v/>
      </c>
      <c r="F24" s="629" t="str">
        <f>IF($B24="","",'Commercial Fryer'!K8)</f>
        <v/>
      </c>
      <c r="G24" s="628" t="str">
        <f>IF($B24="","",'Commercial Fryer'!L8)</f>
        <v/>
      </c>
      <c r="H24" s="634" t="str">
        <f>IF($B24="","",'Commercial Fryer'!N8)</f>
        <v/>
      </c>
      <c r="I24" s="618" t="str">
        <f>IF($B24="","",'Commercial Fryer'!B8)</f>
        <v/>
      </c>
      <c r="X24" s="618" t="str">
        <f>IF(B24="","",'Commercial Fryer'!D8)</f>
        <v/>
      </c>
      <c r="Y24" s="618" t="str">
        <f t="shared" si="0"/>
        <v/>
      </c>
      <c r="AC24" s="618" t="str">
        <f>IF(B24="","",'Commercial Fryer'!F8)</f>
        <v/>
      </c>
      <c r="AD24" s="618" t="str">
        <f>IF(B24="","",'Commercial Fryer'!E8)</f>
        <v/>
      </c>
      <c r="AH24" s="628" t="str">
        <f>IF(B24="","",'Commercial Fryer'!J8)</f>
        <v/>
      </c>
      <c r="AI24" s="628" t="str">
        <f>IF(B24="","",'Commercial Fryer'!I8)</f>
        <v/>
      </c>
      <c r="AJ24" s="629">
        <f>IF(Calculations!$C$7="","", Calculations!$C$7)</f>
        <v>1.863E-4</v>
      </c>
      <c r="AK24" s="629">
        <f>IF(Calculations!$C$8="","", Calculations!$C$8)</f>
        <v>1.192E-4</v>
      </c>
      <c r="AM24" s="630">
        <f>IF(Calculations!$C$5="","", Calculations!$C$5)</f>
        <v>150</v>
      </c>
      <c r="AQ24" s="619" t="str">
        <f xml:space="preserve"> IF($H24="", "",Summary!$C$8)</f>
        <v/>
      </c>
    </row>
    <row r="25" spans="1:43">
      <c r="A25" s="821"/>
      <c r="B25" s="618" t="str">
        <f>IF('Commercial Fryer'!H9="","", 'Commercial Fryer'!H9)</f>
        <v/>
      </c>
      <c r="C25" s="618" t="str">
        <f>IF($B25="","",IF('Commercial Fryer'!G9="Standard",Calculations!$F$544,Calculations!$F$545))</f>
        <v/>
      </c>
      <c r="D25" s="619" t="str">
        <f>IF($B25="","", Summary!$C$8)</f>
        <v/>
      </c>
      <c r="E25" s="618" t="str">
        <f>IF($B25="","", Summary!$G$2)</f>
        <v/>
      </c>
      <c r="F25" s="629" t="str">
        <f>IF($B25="","",'Commercial Fryer'!K9)</f>
        <v/>
      </c>
      <c r="G25" s="628" t="str">
        <f>IF($B25="","",'Commercial Fryer'!L9)</f>
        <v/>
      </c>
      <c r="H25" s="634" t="str">
        <f>IF($B25="","",'Commercial Fryer'!N9)</f>
        <v/>
      </c>
      <c r="I25" s="618" t="str">
        <f>IF($B25="","",'Commercial Fryer'!B9)</f>
        <v/>
      </c>
      <c r="X25" s="618" t="str">
        <f>IF(B25="","",'Commercial Fryer'!D9)</f>
        <v/>
      </c>
      <c r="Y25" s="618" t="str">
        <f t="shared" si="0"/>
        <v/>
      </c>
      <c r="AC25" s="618" t="str">
        <f>IF(B25="","",'Commercial Fryer'!F9)</f>
        <v/>
      </c>
      <c r="AD25" s="618" t="str">
        <f>IF(B25="","",'Commercial Fryer'!E9)</f>
        <v/>
      </c>
      <c r="AH25" s="628" t="str">
        <f>IF(B25="","",'Commercial Fryer'!J9)</f>
        <v/>
      </c>
      <c r="AI25" s="628" t="str">
        <f>IF(B25="","",'Commercial Fryer'!I9)</f>
        <v/>
      </c>
      <c r="AJ25" s="629">
        <f>IF(Calculations!$C$7="","", Calculations!$C$7)</f>
        <v>1.863E-4</v>
      </c>
      <c r="AK25" s="629">
        <f>IF(Calculations!$C$8="","", Calculations!$C$8)</f>
        <v>1.192E-4</v>
      </c>
      <c r="AM25" s="630">
        <f>IF(Calculations!$C$5="","", Calculations!$C$5)</f>
        <v>150</v>
      </c>
      <c r="AQ25" s="619" t="str">
        <f xml:space="preserve"> IF($H25="", "",Summary!$C$8)</f>
        <v/>
      </c>
    </row>
    <row r="26" spans="1:43">
      <c r="A26" s="821"/>
      <c r="B26" s="618" t="str">
        <f>IF('Commercial Fryer'!H10="","", 'Commercial Fryer'!H10)</f>
        <v/>
      </c>
      <c r="C26" s="618" t="str">
        <f>IF($B26="","",IF('Commercial Fryer'!G10="Standard",Calculations!$F$544,Calculations!$F$545))</f>
        <v/>
      </c>
      <c r="D26" s="619" t="str">
        <f>IF($B26="","", Summary!$C$8)</f>
        <v/>
      </c>
      <c r="E26" s="618" t="str">
        <f>IF($B26="","", Summary!$G$2)</f>
        <v/>
      </c>
      <c r="F26" s="629" t="str">
        <f>IF($B26="","",'Commercial Fryer'!K10)</f>
        <v/>
      </c>
      <c r="G26" s="628" t="str">
        <f>IF($B26="","",'Commercial Fryer'!L10)</f>
        <v/>
      </c>
      <c r="H26" s="634" t="str">
        <f>IF($B26="","",'Commercial Fryer'!N10)</f>
        <v/>
      </c>
      <c r="I26" s="618" t="str">
        <f>IF($B26="","",'Commercial Fryer'!B10)</f>
        <v/>
      </c>
      <c r="X26" s="618" t="str">
        <f>IF(B26="","",'Commercial Fryer'!D10)</f>
        <v/>
      </c>
      <c r="Y26" s="618" t="str">
        <f t="shared" si="0"/>
        <v/>
      </c>
      <c r="AC26" s="618" t="str">
        <f>IF(B26="","",'Commercial Fryer'!F10)</f>
        <v/>
      </c>
      <c r="AD26" s="618" t="str">
        <f>IF(B26="","",'Commercial Fryer'!E10)</f>
        <v/>
      </c>
      <c r="AH26" s="628" t="str">
        <f>IF(B26="","",'Commercial Fryer'!J10)</f>
        <v/>
      </c>
      <c r="AI26" s="628" t="str">
        <f>IF(B26="","",'Commercial Fryer'!I10)</f>
        <v/>
      </c>
      <c r="AJ26" s="629">
        <f>IF(Calculations!$C$7="","", Calculations!$C$7)</f>
        <v>1.863E-4</v>
      </c>
      <c r="AK26" s="629">
        <f>IF(Calculations!$C$8="","", Calculations!$C$8)</f>
        <v>1.192E-4</v>
      </c>
      <c r="AM26" s="630">
        <f>IF(Calculations!$C$5="","", Calculations!$C$5)</f>
        <v>150</v>
      </c>
      <c r="AQ26" s="619" t="str">
        <f xml:space="preserve"> IF($H26="", "",Summary!$C$8)</f>
        <v/>
      </c>
    </row>
    <row r="27" spans="1:43" s="627" customFormat="1">
      <c r="A27" s="821" t="s">
        <v>340</v>
      </c>
      <c r="B27" s="618" t="str">
        <f>IF('Hot Food Holding Cabinet'!F7="","",'Hot Food Holding Cabinet'!F7)</f>
        <v/>
      </c>
      <c r="C27" s="618" t="str">
        <f>IF($B27="","",Calculations!$F$546)</f>
        <v/>
      </c>
      <c r="D27" s="619" t="str">
        <f>IF($B27="","", Summary!$C$8)</f>
        <v/>
      </c>
      <c r="E27" s="618" t="str">
        <f>IF($B27="","", Summary!$G$2)</f>
        <v/>
      </c>
      <c r="F27" s="629" t="str">
        <f>IF($B27="","",'Hot Food Holding Cabinet'!I7)</f>
        <v/>
      </c>
      <c r="G27" s="628" t="str">
        <f>IF($B27="","",'Hot Food Holding Cabinet'!J7)</f>
        <v/>
      </c>
      <c r="H27" s="634" t="str">
        <f>IF($B27="","",'Hot Food Holding Cabinet'!L7)</f>
        <v/>
      </c>
      <c r="I27" s="618" t="str">
        <f>IF($B27="","",'Hot Food Holding Cabinet'!B7)</f>
        <v/>
      </c>
      <c r="X27" s="618" t="str">
        <f>IF(B27="","",'Hot Food Holding Cabinet'!D7)</f>
        <v/>
      </c>
      <c r="Y27" s="618" t="str">
        <f t="shared" si="0"/>
        <v/>
      </c>
      <c r="AD27" s="630">
        <f>IF(Calculations!$F$262="","", Calculations!$F$262)</f>
        <v>0</v>
      </c>
      <c r="AF27" s="618" t="str">
        <f>IF(B27="","",'Hot Food Holding Cabinet'!E7)</f>
        <v/>
      </c>
      <c r="AH27" s="618" t="str">
        <f>IF(B27="","",'Hot Food Holding Cabinet'!H7)</f>
        <v/>
      </c>
      <c r="AI27" s="628" t="str">
        <f>IF(B27="","",'Hot Food Holding Cabinet'!G7)</f>
        <v/>
      </c>
      <c r="AJ27" s="629">
        <f>IF(Calculations!$C$240="","", Calculations!$C$7)</f>
        <v>1.863E-4</v>
      </c>
      <c r="AK27" s="629">
        <f>IF(Calculations!$C$241="","", Calculations!$C$241)</f>
        <v>1.192E-4</v>
      </c>
      <c r="AQ27" s="619" t="str">
        <f xml:space="preserve"> IF($H27="", "",Summary!$C$8)</f>
        <v/>
      </c>
    </row>
    <row r="28" spans="1:43">
      <c r="A28" s="821"/>
      <c r="B28" t="str">
        <f>IF('Hot Food Holding Cabinet'!F8="","",'Hot Food Holding Cabinet'!F8)</f>
        <v/>
      </c>
      <c r="C28" t="str">
        <f>IF($B28="","",Calculations!$F$546)</f>
        <v/>
      </c>
      <c r="D28" s="633" t="str">
        <f>IF($B28="","", Summary!$C$8)</f>
        <v/>
      </c>
      <c r="E28" t="str">
        <f>IF($B28="","", Summary!$G$2)</f>
        <v/>
      </c>
      <c r="F28" s="646" t="str">
        <f>IF($B28="","",'Hot Food Holding Cabinet'!I8)</f>
        <v/>
      </c>
      <c r="G28" s="651" t="str">
        <f>IF($B28="","",'Hot Food Holding Cabinet'!J8)</f>
        <v/>
      </c>
      <c r="H28" s="36" t="str">
        <f>IF($B28="","",'Hot Food Holding Cabinet'!L8)</f>
        <v/>
      </c>
      <c r="I28" t="str">
        <f>IF($B28="","",'Hot Food Holding Cabinet'!B8)</f>
        <v/>
      </c>
      <c r="X28" s="618" t="str">
        <f>IF(B28="","",'Hot Food Holding Cabinet'!D8)</f>
        <v/>
      </c>
      <c r="Y28" t="str">
        <f t="shared" si="0"/>
        <v/>
      </c>
      <c r="AQ28" s="619" t="str">
        <f xml:space="preserve"> IF($H28="", "",Summary!$C$8)</f>
        <v/>
      </c>
    </row>
    <row r="29" spans="1:43">
      <c r="A29" s="821"/>
      <c r="B29" t="str">
        <f>IF('Hot Food Holding Cabinet'!F9="","",'Hot Food Holding Cabinet'!F9)</f>
        <v/>
      </c>
      <c r="C29" t="str">
        <f>IF($B29="","",Calculations!$F$546)</f>
        <v/>
      </c>
      <c r="D29" s="633" t="str">
        <f>IF($B29="","", Summary!$C$8)</f>
        <v/>
      </c>
      <c r="E29" t="str">
        <f>IF($B29="","", Summary!$G$2)</f>
        <v/>
      </c>
      <c r="F29" s="646" t="str">
        <f>IF($B29="","",'Hot Food Holding Cabinet'!I9)</f>
        <v/>
      </c>
      <c r="G29" s="651" t="str">
        <f>IF($B29="","",'Hot Food Holding Cabinet'!J9)</f>
        <v/>
      </c>
      <c r="H29" s="36" t="str">
        <f>IF($B29="","",'Hot Food Holding Cabinet'!L9)</f>
        <v/>
      </c>
      <c r="I29" t="str">
        <f>IF($B29="","",'Hot Food Holding Cabinet'!B9)</f>
        <v/>
      </c>
      <c r="X29" s="618" t="str">
        <f>IF(B29="","",'Hot Food Holding Cabinet'!D9)</f>
        <v/>
      </c>
      <c r="Y29" t="str">
        <f t="shared" si="0"/>
        <v/>
      </c>
      <c r="AQ29" s="619" t="str">
        <f xml:space="preserve"> IF($H29="", "",Summary!$C$8)</f>
        <v/>
      </c>
    </row>
    <row r="30" spans="1:43">
      <c r="A30" s="821"/>
      <c r="B30" t="str">
        <f>IF('Hot Food Holding Cabinet'!F10="","",'Hot Food Holding Cabinet'!F10)</f>
        <v/>
      </c>
      <c r="C30" t="str">
        <f>IF($B30="","",Calculations!$F$546)</f>
        <v/>
      </c>
      <c r="D30" s="633" t="str">
        <f>IF($B30="","", Summary!$C$8)</f>
        <v/>
      </c>
      <c r="E30" t="str">
        <f>IF($B30="","", Summary!$G$2)</f>
        <v/>
      </c>
      <c r="F30" s="646" t="str">
        <f>IF($B30="","",'Hot Food Holding Cabinet'!I10)</f>
        <v/>
      </c>
      <c r="G30" s="651" t="str">
        <f>IF($B30="","",'Hot Food Holding Cabinet'!J10)</f>
        <v/>
      </c>
      <c r="H30" s="36" t="str">
        <f>IF($B30="","",'Hot Food Holding Cabinet'!L10)</f>
        <v/>
      </c>
      <c r="I30" t="str">
        <f>IF($B30="","",'Hot Food Holding Cabinet'!B10)</f>
        <v/>
      </c>
      <c r="X30" s="618" t="str">
        <f>IF(B30="","",'Hot Food Holding Cabinet'!D10)</f>
        <v/>
      </c>
      <c r="Y30" t="str">
        <f t="shared" si="0"/>
        <v/>
      </c>
      <c r="AQ30" s="619" t="str">
        <f xml:space="preserve"> IF($H30="", "",Summary!$C$8)</f>
        <v/>
      </c>
    </row>
    <row r="31" spans="1:43" s="627" customFormat="1">
      <c r="A31" s="821" t="s">
        <v>341</v>
      </c>
      <c r="B31" s="618" t="str">
        <f>IF('Commercial Dishwasher'!G7="","",'Commercial Dishwasher'!G7)</f>
        <v/>
      </c>
      <c r="C31" s="618" t="str">
        <f>IF($B31="","",Calculations!$F$547)</f>
        <v/>
      </c>
      <c r="D31" s="619" t="str">
        <f>IF($B31="","", Summary!$C$8)</f>
        <v/>
      </c>
      <c r="E31" s="618" t="str">
        <f>IF($B31="","", Summary!$G$2)</f>
        <v/>
      </c>
      <c r="F31" s="629" t="str">
        <f>IF($B31="","",'Commercial Dishwasher'!J7)</f>
        <v/>
      </c>
      <c r="G31" s="628" t="str">
        <f>IF($B31="","",'Commercial Dishwasher'!K7)</f>
        <v/>
      </c>
      <c r="H31" s="634" t="str">
        <f>IF($B31="","",'Commercial Dishwasher'!M7)</f>
        <v/>
      </c>
      <c r="I31" s="618" t="str">
        <f>IF($B31="","",'Commercial Dishwasher'!B7)</f>
        <v/>
      </c>
      <c r="S31" s="618" t="str">
        <f>IF($B31="","",Calculations!M363)</f>
        <v/>
      </c>
      <c r="X31" s="618" t="str">
        <f>IF(B31="","",'Commercial Dishwasher'!D7)</f>
        <v/>
      </c>
      <c r="Y31" s="618" t="str">
        <f t="shared" si="0"/>
        <v/>
      </c>
      <c r="AB31" s="634" t="e">
        <f>IF(Calculations!G375="","", Calculations!G375)</f>
        <v>#N/A</v>
      </c>
      <c r="AD31" s="634" t="e">
        <f>IF(Calculations!N375="","", Calculations!N375)</f>
        <v>#N/A</v>
      </c>
      <c r="AH31" s="628" t="str">
        <f>IF(B31="","",'Commercial Dishwasher'!I7)</f>
        <v/>
      </c>
      <c r="AI31" s="634" t="str">
        <f>IF(C31="","",'Commercial Dishwasher'!H7)</f>
        <v/>
      </c>
      <c r="AJ31" s="629">
        <f>IF(Calculations!$C$344="","", Calculations!$C$344)</f>
        <v>1.863E-4</v>
      </c>
      <c r="AK31" s="629">
        <f>IF(Calculations!$C$345="","", Calculations!$C$345)</f>
        <v>1.192E-4</v>
      </c>
      <c r="AQ31" s="619" t="str">
        <f xml:space="preserve"> IF($H31="", "",Summary!$C$8)</f>
        <v/>
      </c>
    </row>
    <row r="32" spans="1:43">
      <c r="A32" s="821"/>
      <c r="B32" s="618" t="str">
        <f>IF('Commercial Dishwasher'!G8="","",'Commercial Dishwasher'!G8)</f>
        <v/>
      </c>
      <c r="C32" s="618" t="str">
        <f>IF($B32="","",Calculations!$F$547)</f>
        <v/>
      </c>
      <c r="D32" s="619" t="str">
        <f>IF($B32="","", Summary!$C$8)</f>
        <v/>
      </c>
      <c r="E32" s="618" t="str">
        <f>IF($B32="","", Summary!$G$2)</f>
        <v/>
      </c>
      <c r="F32" s="629" t="str">
        <f>IF($B32="","",'Commercial Dishwasher'!J8)</f>
        <v/>
      </c>
      <c r="G32" s="628" t="str">
        <f>IF($B32="","",'Commercial Dishwasher'!K8)</f>
        <v/>
      </c>
      <c r="H32" s="634" t="str">
        <f>IF($B32="","",'Commercial Dishwasher'!M8)</f>
        <v/>
      </c>
      <c r="I32" s="618" t="str">
        <f>IF($B32="","",'Commercial Dishwasher'!B8)</f>
        <v/>
      </c>
      <c r="S32" s="618" t="str">
        <f>IF($B32="","",Calculations!M364)</f>
        <v/>
      </c>
      <c r="X32" s="618" t="str">
        <f>IF(B32="","",'Commercial Dishwasher'!D8)</f>
        <v/>
      </c>
      <c r="Y32" s="618" t="str">
        <f t="shared" si="0"/>
        <v/>
      </c>
      <c r="AB32" s="634" t="e">
        <f>IF(Calculations!G376="","", Calculations!G376)</f>
        <v>#N/A</v>
      </c>
      <c r="AD32" s="634" t="e">
        <f>IF(Calculations!N376="","", Calculations!N376)</f>
        <v>#N/A</v>
      </c>
      <c r="AH32" s="628" t="str">
        <f>IF(B32="","",'Commercial Dishwasher'!I8)</f>
        <v/>
      </c>
      <c r="AI32" s="634" t="str">
        <f>IF(C32="","",'Commercial Dishwasher'!H8)</f>
        <v/>
      </c>
      <c r="AJ32" s="629">
        <f>IF(Calculations!$C$344="","", Calculations!$C$344)</f>
        <v>1.863E-4</v>
      </c>
      <c r="AK32" s="629">
        <f>IF(Calculations!$C$345="","", Calculations!$C$345)</f>
        <v>1.192E-4</v>
      </c>
      <c r="AQ32" s="619" t="str">
        <f xml:space="preserve"> IF($H32="", "",Summary!$C$8)</f>
        <v/>
      </c>
    </row>
    <row r="33" spans="1:43">
      <c r="A33" s="821"/>
      <c r="B33" s="618" t="str">
        <f>IF('Commercial Dishwasher'!G9="","",'Commercial Dishwasher'!G9)</f>
        <v/>
      </c>
      <c r="C33" s="618" t="str">
        <f>IF($B33="","",Calculations!$F$547)</f>
        <v/>
      </c>
      <c r="D33" s="619" t="str">
        <f>IF($B33="","", Summary!$C$8)</f>
        <v/>
      </c>
      <c r="E33" s="618" t="str">
        <f>IF($B33="","", Summary!$G$2)</f>
        <v/>
      </c>
      <c r="F33" s="629" t="str">
        <f>IF($B33="","",'Commercial Dishwasher'!J9)</f>
        <v/>
      </c>
      <c r="G33" s="628" t="str">
        <f>IF($B33="","",'Commercial Dishwasher'!K9)</f>
        <v/>
      </c>
      <c r="H33" s="634" t="str">
        <f>IF($B33="","",'Commercial Dishwasher'!M9)</f>
        <v/>
      </c>
      <c r="I33" s="618" t="str">
        <f>IF($B33="","",'Commercial Dishwasher'!B9)</f>
        <v/>
      </c>
      <c r="S33" s="618" t="str">
        <f>IF($B33="","",Calculations!M365)</f>
        <v/>
      </c>
      <c r="X33" s="618" t="str">
        <f>IF(B33="","",'Commercial Dishwasher'!D9)</f>
        <v/>
      </c>
      <c r="Y33" s="618" t="str">
        <f t="shared" si="0"/>
        <v/>
      </c>
      <c r="AB33" s="634" t="e">
        <f>IF(Calculations!G377="","", Calculations!G377)</f>
        <v>#N/A</v>
      </c>
      <c r="AD33" s="634" t="e">
        <f>IF(Calculations!N377="","", Calculations!N377)</f>
        <v>#N/A</v>
      </c>
      <c r="AH33" s="628" t="str">
        <f>IF(B33="","",'Commercial Dishwasher'!I9)</f>
        <v/>
      </c>
      <c r="AI33" s="634" t="str">
        <f>IF(C33="","",'Commercial Dishwasher'!H9)</f>
        <v/>
      </c>
      <c r="AJ33" s="629">
        <f>IF(Calculations!$C$344="","", Calculations!$C$344)</f>
        <v>1.863E-4</v>
      </c>
      <c r="AK33" s="629">
        <f>IF(Calculations!$C$345="","", Calculations!$C$345)</f>
        <v>1.192E-4</v>
      </c>
      <c r="AQ33" s="619" t="str">
        <f xml:space="preserve"> IF($H33="", "",Summary!$C$8)</f>
        <v/>
      </c>
    </row>
    <row r="34" spans="1:43">
      <c r="A34" s="821"/>
      <c r="B34" s="618" t="str">
        <f>IF('Commercial Dishwasher'!G10="","",'Commercial Dishwasher'!G10)</f>
        <v/>
      </c>
      <c r="C34" s="618" t="str">
        <f>IF($B34="","",Calculations!$F$547)</f>
        <v/>
      </c>
      <c r="D34" s="619" t="str">
        <f>IF($B34="","", Summary!$C$8)</f>
        <v/>
      </c>
      <c r="E34" s="618" t="str">
        <f>IF($B34="","", Summary!$G$2)</f>
        <v/>
      </c>
      <c r="F34" s="629" t="str">
        <f>IF($B34="","",'Commercial Dishwasher'!J10)</f>
        <v/>
      </c>
      <c r="G34" s="628" t="str">
        <f>IF($B34="","",'Commercial Dishwasher'!K10)</f>
        <v/>
      </c>
      <c r="H34" s="634" t="str">
        <f>IF($B34="","",'Commercial Dishwasher'!M10)</f>
        <v/>
      </c>
      <c r="I34" s="618" t="str">
        <f>IF($B34="","",'Commercial Dishwasher'!B10)</f>
        <v/>
      </c>
      <c r="S34" s="618" t="str">
        <f>IF($B34="","",Calculations!M366)</f>
        <v/>
      </c>
      <c r="X34" s="618" t="str">
        <f>IF(B34="","",'Commercial Dishwasher'!D10)</f>
        <v/>
      </c>
      <c r="Y34" s="618" t="str">
        <f t="shared" si="0"/>
        <v/>
      </c>
      <c r="AB34" s="634" t="e">
        <f>IF(Calculations!G378="","", Calculations!G378)</f>
        <v>#N/A</v>
      </c>
      <c r="AD34" s="634" t="e">
        <f>IF(Calculations!N378="","", Calculations!N378)</f>
        <v>#N/A</v>
      </c>
      <c r="AH34" s="628" t="str">
        <f>IF(B34="","",'Commercial Dishwasher'!I10)</f>
        <v/>
      </c>
      <c r="AI34" s="634" t="str">
        <f>IF(C34="","",'Commercial Dishwasher'!H10)</f>
        <v/>
      </c>
      <c r="AJ34" s="629">
        <f>IF(Calculations!$C$344="","", Calculations!$C$344)</f>
        <v>1.863E-4</v>
      </c>
      <c r="AK34" s="629">
        <f>IF(Calculations!$C$345="","", Calculations!$C$345)</f>
        <v>1.192E-4</v>
      </c>
      <c r="AQ34" s="619" t="str">
        <f xml:space="preserve"> IF($H34="", "",Summary!$C$8)</f>
        <v/>
      </c>
    </row>
    <row r="35" spans="1:43" s="627" customFormat="1">
      <c r="A35" s="821" t="s">
        <v>342</v>
      </c>
      <c r="B35" s="618" t="str">
        <f>IF('ENERGY STAR Bath Fans'!H7="","",'ENERGY STAR Bath Fans'!H7)</f>
        <v/>
      </c>
      <c r="C35" s="618" t="str">
        <f>IF($B35="","",Calculations!$F$560)</f>
        <v/>
      </c>
      <c r="D35" s="619" t="str">
        <f>IF($B35="","", Summary!$C$8)</f>
        <v/>
      </c>
      <c r="E35" s="618" t="str">
        <f>IF($B35="","", Summary!$G$2)</f>
        <v/>
      </c>
      <c r="F35" s="629" t="str">
        <f>IF($B35="","",'ENERGY STAR Bath Fans'!K7)</f>
        <v/>
      </c>
      <c r="G35" s="628" t="str">
        <f>IF($B35="","",'ENERGY STAR Bath Fans'!L7)</f>
        <v/>
      </c>
      <c r="H35" s="634" t="str">
        <f>IF($B35="","",'ENERGY STAR Bath Fans'!N7)</f>
        <v/>
      </c>
      <c r="I35" s="618" t="str">
        <f>IF($B35="","",'ENERGY STAR Bath Fans'!B7)</f>
        <v/>
      </c>
      <c r="X35" s="618" t="str">
        <f>IF($B35="","",'ENERGY STAR Bath Fans'!D7)</f>
        <v/>
      </c>
      <c r="Y35" s="618" t="str">
        <f t="shared" ref="Y35:Y66" si="3" xml:space="preserve"> IF(H35="", "", IFERROR(ROUND(H35/B35, 2), ""))</f>
        <v/>
      </c>
      <c r="AH35" s="618" t="str">
        <f>IF($B35="","",'ENERGY STAR Bath Fans'!J7)</f>
        <v/>
      </c>
      <c r="AI35" s="618" t="str">
        <f>IF($B35="","",'ENERGY STAR Bath Fans'!I7)</f>
        <v/>
      </c>
      <c r="AJ35" s="629">
        <f>IF(Calculations!$L$414="","", Calculations!$L$414)</f>
        <v>1.7650000000000001E-4</v>
      </c>
      <c r="AK35" s="629">
        <f>IF(Calculations!$L$413="","", Calculations!$L$413)</f>
        <v>1.3019999999999999E-4</v>
      </c>
      <c r="AQ35" s="619" t="str">
        <f xml:space="preserve"> IF($H35="", "",Summary!$C$8)</f>
        <v/>
      </c>
    </row>
    <row r="36" spans="1:43">
      <c r="A36" s="821"/>
      <c r="B36" s="618" t="str">
        <f>IF('ENERGY STAR Bath Fans'!H8="","",'ENERGY STAR Bath Fans'!H8)</f>
        <v/>
      </c>
      <c r="C36" s="618" t="str">
        <f>IF($B36="","",Calculations!$F$560)</f>
        <v/>
      </c>
      <c r="D36" s="619" t="str">
        <f>IF($B36="","", Summary!$C$8)</f>
        <v/>
      </c>
      <c r="E36" s="618" t="str">
        <f>IF($B36="","", Summary!$G$2)</f>
        <v/>
      </c>
      <c r="F36" s="629" t="str">
        <f>IF($B36="","",'ENERGY STAR Bath Fans'!K8)</f>
        <v/>
      </c>
      <c r="G36" s="628" t="str">
        <f>IF($B36="","",'ENERGY STAR Bath Fans'!L8)</f>
        <v/>
      </c>
      <c r="H36" s="634" t="str">
        <f>IF($B36="","",'ENERGY STAR Bath Fans'!N8)</f>
        <v/>
      </c>
      <c r="I36" s="618" t="str">
        <f>IF($B36="","",'ENERGY STAR Bath Fans'!B8)</f>
        <v/>
      </c>
      <c r="X36" s="618" t="str">
        <f>IF($B36="","",'ENERGY STAR Bath Fans'!D8)</f>
        <v/>
      </c>
      <c r="Y36" s="618" t="str">
        <f t="shared" si="3"/>
        <v/>
      </c>
      <c r="AH36" s="618" t="str">
        <f>IF($B36="","",'ENERGY STAR Bath Fans'!J8)</f>
        <v/>
      </c>
      <c r="AI36" s="618" t="str">
        <f>IF($B36="","",'ENERGY STAR Bath Fans'!I8)</f>
        <v/>
      </c>
      <c r="AJ36" s="629">
        <f>IF(Calculations!$L$414="","", Calculations!$L$414)</f>
        <v>1.7650000000000001E-4</v>
      </c>
      <c r="AK36" s="629">
        <f>IF(Calculations!$L$413="","", Calculations!$L$413)</f>
        <v>1.3019999999999999E-4</v>
      </c>
      <c r="AQ36" s="619" t="str">
        <f xml:space="preserve"> IF($H36="", "",Summary!$C$8)</f>
        <v/>
      </c>
    </row>
    <row r="37" spans="1:43">
      <c r="A37" s="821"/>
      <c r="B37" s="618" t="str">
        <f>IF('ENERGY STAR Bath Fans'!H9="","",'ENERGY STAR Bath Fans'!H9)</f>
        <v/>
      </c>
      <c r="C37" s="618" t="str">
        <f>IF($B37="","",Calculations!$F$560)</f>
        <v/>
      </c>
      <c r="D37" s="619" t="str">
        <f>IF($B37="","", Summary!$C$8)</f>
        <v/>
      </c>
      <c r="E37" s="618" t="str">
        <f>IF($B37="","", Summary!$G$2)</f>
        <v/>
      </c>
      <c r="F37" s="629" t="str">
        <f>IF($B37="","",'ENERGY STAR Bath Fans'!K9)</f>
        <v/>
      </c>
      <c r="G37" s="628" t="str">
        <f>IF($B37="","",'ENERGY STAR Bath Fans'!L9)</f>
        <v/>
      </c>
      <c r="H37" s="634" t="str">
        <f>IF($B37="","",'ENERGY STAR Bath Fans'!N9)</f>
        <v/>
      </c>
      <c r="I37" s="618" t="str">
        <f>IF($B37="","",'ENERGY STAR Bath Fans'!B9)</f>
        <v/>
      </c>
      <c r="X37" s="618" t="str">
        <f>IF($B37="","",'ENERGY STAR Bath Fans'!D9)</f>
        <v/>
      </c>
      <c r="Y37" s="618" t="str">
        <f t="shared" si="3"/>
        <v/>
      </c>
      <c r="AH37" s="618" t="str">
        <f>IF($B37="","",'ENERGY STAR Bath Fans'!J9)</f>
        <v/>
      </c>
      <c r="AI37" s="618" t="str">
        <f>IF($B37="","",'ENERGY STAR Bath Fans'!I9)</f>
        <v/>
      </c>
      <c r="AJ37" s="629">
        <f>IF(Calculations!$L$414="","", Calculations!$L$414)</f>
        <v>1.7650000000000001E-4</v>
      </c>
      <c r="AK37" s="629">
        <f>IF(Calculations!$L$413="","", Calculations!$L$413)</f>
        <v>1.3019999999999999E-4</v>
      </c>
      <c r="AQ37" s="619" t="str">
        <f xml:space="preserve"> IF($H37="", "",Summary!$C$8)</f>
        <v/>
      </c>
    </row>
    <row r="38" spans="1:43">
      <c r="A38" s="821"/>
      <c r="B38" s="618" t="str">
        <f>IF('ENERGY STAR Bath Fans'!H10="","",'ENERGY STAR Bath Fans'!H10)</f>
        <v/>
      </c>
      <c r="C38" s="618" t="str">
        <f>IF($B38="","",Calculations!$F$560)</f>
        <v/>
      </c>
      <c r="D38" s="619" t="str">
        <f>IF($B38="","", Summary!$C$8)</f>
        <v/>
      </c>
      <c r="E38" s="618" t="str">
        <f>IF($B38="","", Summary!$G$2)</f>
        <v/>
      </c>
      <c r="F38" s="629" t="str">
        <f>IF($B38="","",'ENERGY STAR Bath Fans'!K10)</f>
        <v/>
      </c>
      <c r="G38" s="628" t="str">
        <f>IF($B38="","",'ENERGY STAR Bath Fans'!L10)</f>
        <v/>
      </c>
      <c r="H38" s="634" t="str">
        <f>IF($B38="","",'ENERGY STAR Bath Fans'!N10)</f>
        <v/>
      </c>
      <c r="I38" s="618" t="str">
        <f>IF($B38="","",'ENERGY STAR Bath Fans'!B10)</f>
        <v/>
      </c>
      <c r="X38" s="618" t="str">
        <f>IF($B38="","",'ENERGY STAR Bath Fans'!D10)</f>
        <v/>
      </c>
      <c r="Y38" s="618" t="str">
        <f t="shared" si="3"/>
        <v/>
      </c>
      <c r="AH38" s="618" t="str">
        <f>IF($B38="","",'ENERGY STAR Bath Fans'!J10)</f>
        <v/>
      </c>
      <c r="AI38" s="618" t="str">
        <f>IF($B38="","",'ENERGY STAR Bath Fans'!I10)</f>
        <v/>
      </c>
      <c r="AJ38" s="629">
        <f>IF(Calculations!$L$414="","", Calculations!$L$414)</f>
        <v>1.7650000000000001E-4</v>
      </c>
      <c r="AK38" s="629">
        <f>IF(Calculations!$L$413="","", Calculations!$L$413)</f>
        <v>1.3019999999999999E-4</v>
      </c>
      <c r="AQ38" s="619" t="str">
        <f xml:space="preserve"> IF($H38="", "",Summary!$C$8)</f>
        <v/>
      </c>
    </row>
    <row r="39" spans="1:43" s="627" customFormat="1">
      <c r="A39" s="821" t="s">
        <v>343</v>
      </c>
      <c r="B39" s="618" t="str">
        <f>IF('ENERGY STAR Griddle'!F7="","",'ENERGY STAR Griddle'!F7)</f>
        <v/>
      </c>
      <c r="C39" s="618" t="str">
        <f>IF($B39="","",Calculations!$F$548)</f>
        <v/>
      </c>
      <c r="D39" s="619" t="str">
        <f>IF($B39="","", Summary!$C$8)</f>
        <v/>
      </c>
      <c r="E39" s="618" t="str">
        <f>IF($B39="","", Summary!$G$2)</f>
        <v/>
      </c>
      <c r="F39" s="629" t="str">
        <f>IF($B39="","",'ENERGY STAR Griddle'!I7)</f>
        <v/>
      </c>
      <c r="G39" s="628" t="str">
        <f>IF($B39="","",'ENERGY STAR Griddle'!J7)</f>
        <v/>
      </c>
      <c r="H39" s="634" t="str">
        <f>IF($B39="","",'ENERGY STAR Griddle'!L7)</f>
        <v/>
      </c>
      <c r="I39" s="618" t="str">
        <f>IF($B39="","",'ENERGY STAR Griddle'!B7)</f>
        <v/>
      </c>
      <c r="X39" s="618" t="str">
        <f>IF(B39="","",'ENERGY STAR Griddle'!D7)</f>
        <v/>
      </c>
      <c r="Y39" s="617" t="str">
        <f t="shared" si="3"/>
        <v/>
      </c>
      <c r="AC39" s="634" t="e">
        <f>IF(Calculations!E438="","", Calculations!E438)</f>
        <v>#N/A</v>
      </c>
      <c r="AD39" s="634" t="e">
        <f>IF(Calculations!I438="","", Calculations!I438)</f>
        <v>#N/A</v>
      </c>
      <c r="AE39" s="634" t="e">
        <f>IF(Calculations!G438="","", Calculations!G438)</f>
        <v>#N/A</v>
      </c>
      <c r="AG39" s="634">
        <f>IF(Calculations!C425="","", Calculations!C425)</f>
        <v>6</v>
      </c>
      <c r="AH39" s="628" t="str">
        <f>IF(B39="","",'ENERGY STAR Griddle'!H7)</f>
        <v/>
      </c>
      <c r="AI39" s="628" t="str">
        <f>IF(B39="","",'ENERGY STAR Griddle'!G7)</f>
        <v/>
      </c>
      <c r="AJ39" s="629">
        <f>IF(Calculations!$C$431="","", Calculations!$C$431)</f>
        <v>1.863E-4</v>
      </c>
      <c r="AK39" s="629">
        <f>IF(Calculations!$C$432="","", Calculations!$C$432)</f>
        <v>1.192E-4</v>
      </c>
      <c r="AM39" s="634">
        <f>IF(Calculations!C421="","", Calculations!C421)</f>
        <v>100</v>
      </c>
      <c r="AQ39" s="619" t="str">
        <f xml:space="preserve"> IF($H39="", "",Summary!$C$8)</f>
        <v/>
      </c>
    </row>
    <row r="40" spans="1:43">
      <c r="A40" s="821"/>
      <c r="B40" s="618" t="str">
        <f>IF('ENERGY STAR Griddle'!F8="","",'ENERGY STAR Griddle'!F8)</f>
        <v/>
      </c>
      <c r="C40" s="618" t="str">
        <f>IF($B40="","",Calculations!$F$548)</f>
        <v/>
      </c>
      <c r="D40" s="619" t="str">
        <f>IF($B40="","", Summary!$C$8)</f>
        <v/>
      </c>
      <c r="E40" s="618" t="str">
        <f>IF($B40="","", Summary!$G$2)</f>
        <v/>
      </c>
      <c r="F40" s="629" t="str">
        <f>IF($B40="","",'ENERGY STAR Griddle'!I8)</f>
        <v/>
      </c>
      <c r="G40" s="628" t="str">
        <f>IF($B40="","",'ENERGY STAR Griddle'!J8)</f>
        <v/>
      </c>
      <c r="H40" s="634" t="str">
        <f>IF($B40="","",'ENERGY STAR Griddle'!L8)</f>
        <v/>
      </c>
      <c r="I40" s="618" t="str">
        <f>IF($B40="","",'ENERGY STAR Griddle'!B8)</f>
        <v/>
      </c>
      <c r="X40" s="618" t="str">
        <f>IF(B40="","",'ENERGY STAR Griddle'!D8)</f>
        <v/>
      </c>
      <c r="Y40" s="617" t="str">
        <f t="shared" si="3"/>
        <v/>
      </c>
      <c r="AC40" s="634" t="e">
        <f>IF(Calculations!E439="","", Calculations!E439)</f>
        <v>#N/A</v>
      </c>
      <c r="AD40" s="634" t="e">
        <f>IF(Calculations!I439="","", Calculations!I439)</f>
        <v>#N/A</v>
      </c>
      <c r="AE40" s="634" t="e">
        <f>IF(Calculations!G439="","", Calculations!G439)</f>
        <v>#N/A</v>
      </c>
      <c r="AG40" s="634">
        <f>IF(Calculations!C425="","", Calculations!C425)</f>
        <v>6</v>
      </c>
      <c r="AH40" s="628" t="str">
        <f>IF(B40="","",'ENERGY STAR Griddle'!H8)</f>
        <v/>
      </c>
      <c r="AI40" s="628" t="str">
        <f>IF(B40="","",'ENERGY STAR Griddle'!G8)</f>
        <v/>
      </c>
      <c r="AJ40" s="629">
        <f>IF(Calculations!$C$431="","", Calculations!$C$431)</f>
        <v>1.863E-4</v>
      </c>
      <c r="AK40" s="629">
        <f>IF(Calculations!$C$432="","", Calculations!$C$432)</f>
        <v>1.192E-4</v>
      </c>
      <c r="AM40" s="634">
        <f>IF(Calculations!C421="","", Calculations!C421)</f>
        <v>100</v>
      </c>
      <c r="AQ40" s="619" t="str">
        <f xml:space="preserve"> IF($H40="", "",Summary!$C$8)</f>
        <v/>
      </c>
    </row>
    <row r="41" spans="1:43">
      <c r="A41" s="821"/>
      <c r="B41" t="str">
        <f>IF('ENERGY STAR Griddle'!F9="","",'ENERGY STAR Griddle'!F9)</f>
        <v/>
      </c>
      <c r="C41" t="str">
        <f>IF($B41="","",Calculations!$F$548)</f>
        <v/>
      </c>
      <c r="D41" s="633" t="str">
        <f>IF($B41="","", Summary!$C$8)</f>
        <v/>
      </c>
      <c r="E41" t="str">
        <f>IF($B41="","", Summary!$G$2)</f>
        <v/>
      </c>
      <c r="F41" s="646" t="str">
        <f>IF($B41="","",'ENERGY STAR Griddle'!I9)</f>
        <v/>
      </c>
      <c r="G41" s="651" t="str">
        <f>IF($B41="","",'ENERGY STAR Griddle'!J9)</f>
        <v/>
      </c>
      <c r="H41" s="36" t="str">
        <f>IF($B41="","",'ENERGY STAR Griddle'!L9)</f>
        <v/>
      </c>
      <c r="I41" t="str">
        <f>IF($B41="","",'ENERGY STAR Griddle'!B9)</f>
        <v/>
      </c>
      <c r="X41" s="618" t="str">
        <f>IF(B41="","",'ENERGY STAR Griddle'!D9)</f>
        <v/>
      </c>
      <c r="Y41" t="str">
        <f t="shared" si="3"/>
        <v/>
      </c>
      <c r="AQ41" s="619" t="str">
        <f xml:space="preserve"> IF($H41="", "",Summary!$C$8)</f>
        <v/>
      </c>
    </row>
    <row r="42" spans="1:43">
      <c r="A42" s="821"/>
      <c r="B42" t="str">
        <f>IF('ENERGY STAR Griddle'!F10="","",'ENERGY STAR Griddle'!F10)</f>
        <v/>
      </c>
      <c r="C42" t="str">
        <f>IF($B42="","",Calculations!$F$548)</f>
        <v/>
      </c>
      <c r="D42" s="633" t="str">
        <f>IF($B42="","", Summary!$C$8)</f>
        <v/>
      </c>
      <c r="E42" t="str">
        <f>IF($B42="","", Summary!$G$2)</f>
        <v/>
      </c>
      <c r="F42" s="646" t="str">
        <f>IF($B42="","",'ENERGY STAR Griddle'!I10)</f>
        <v/>
      </c>
      <c r="G42" s="651" t="str">
        <f>IF($B42="","",'ENERGY STAR Griddle'!J10)</f>
        <v/>
      </c>
      <c r="H42" s="36" t="str">
        <f>IF($B42="","",'ENERGY STAR Griddle'!L10)</f>
        <v/>
      </c>
      <c r="I42" t="str">
        <f>IF($B42="","",'ENERGY STAR Griddle'!B10)</f>
        <v/>
      </c>
      <c r="X42" s="618" t="str">
        <f>IF(B42="","",'ENERGY STAR Griddle'!D10)</f>
        <v/>
      </c>
      <c r="Y42" t="str">
        <f t="shared" si="3"/>
        <v/>
      </c>
      <c r="AQ42" s="619" t="str">
        <f xml:space="preserve"> IF($H42="", "",Summary!$C$8)</f>
        <v/>
      </c>
    </row>
    <row r="43" spans="1:43" s="627" customFormat="1">
      <c r="A43" s="821" t="s">
        <v>344</v>
      </c>
      <c r="B43" s="627" t="str">
        <f>IF('Office Equipment'!I7="","",'Office Equipment'!I7)</f>
        <v/>
      </c>
      <c r="C43" s="627" t="str">
        <f>IF($B43="","",VLOOKUP('Office Equipment'!H7,Calculations!$B$271:$E$292,4,FALSE))</f>
        <v/>
      </c>
      <c r="D43" s="635" t="str">
        <f>IF($B43="","", Summary!$C$8)</f>
        <v/>
      </c>
      <c r="E43" s="627" t="str">
        <f>IF($B43="","", Summary!$G$2)</f>
        <v/>
      </c>
      <c r="F43" s="647" t="str">
        <f>IF($B43="","",'Office Equipment'!B7)</f>
        <v/>
      </c>
      <c r="G43" s="652" t="str">
        <f>IF($B43="","",'Office Equipment'!C7)</f>
        <v/>
      </c>
      <c r="H43" s="657" t="str">
        <f>IF($B43="","",'Office Equipment'!E7)</f>
        <v/>
      </c>
      <c r="I43" s="627" t="str">
        <f>IF($B43="","",'Office Equipment'!F7)</f>
        <v/>
      </c>
      <c r="N43" s="627" t="str">
        <f>IF($B43="","",'Office Equipment'!H7)</f>
        <v/>
      </c>
      <c r="X43" s="627" t="str">
        <f>IF(B43="","",'Office Equipment'!G7)</f>
        <v/>
      </c>
      <c r="Y43" t="str">
        <f t="shared" si="3"/>
        <v/>
      </c>
      <c r="AQ43" s="619" t="str">
        <f xml:space="preserve"> IF($H43="", "",Summary!$C$8)</f>
        <v/>
      </c>
    </row>
    <row r="44" spans="1:43">
      <c r="A44" s="821"/>
      <c r="B44" t="str">
        <f>IF('Office Equipment'!I8="","",'Office Equipment'!I8)</f>
        <v/>
      </c>
      <c r="C44" t="str">
        <f>IF($B44="","",VLOOKUP('Office Equipment'!H8,Calculations!$B$271:$E$292,4,FALSE))</f>
        <v/>
      </c>
      <c r="D44" s="633" t="str">
        <f>IF($B44="","", Summary!$C$8)</f>
        <v/>
      </c>
      <c r="E44" t="str">
        <f>IF($B44="","", Summary!$G$2)</f>
        <v/>
      </c>
      <c r="F44" s="646" t="str">
        <f>IF($B44="","",'Office Equipment'!B8)</f>
        <v/>
      </c>
      <c r="G44" s="651" t="str">
        <f>IF($B44="","",'Office Equipment'!C8)</f>
        <v/>
      </c>
      <c r="H44" s="36" t="str">
        <f>IF($B44="","",'Office Equipment'!E8)</f>
        <v/>
      </c>
      <c r="I44" t="str">
        <f>IF($B44="","",'Office Equipment'!F8)</f>
        <v/>
      </c>
      <c r="N44" t="str">
        <f>IF($B44="","",'Office Equipment'!H8)</f>
        <v/>
      </c>
      <c r="X44" t="str">
        <f>IF(B44="","",'Office Equipment'!G8)</f>
        <v/>
      </c>
      <c r="Y44" t="str">
        <f t="shared" si="3"/>
        <v/>
      </c>
      <c r="AQ44" s="619" t="str">
        <f xml:space="preserve"> IF($H44="", "",Summary!$C$8)</f>
        <v/>
      </c>
    </row>
    <row r="45" spans="1:43">
      <c r="A45" s="821"/>
      <c r="B45" t="str">
        <f>IF('Office Equipment'!I9="","",'Office Equipment'!I9)</f>
        <v/>
      </c>
      <c r="C45" t="str">
        <f>IF($B45="","",VLOOKUP('Office Equipment'!H9,Calculations!$B$271:$E$292,4,FALSE))</f>
        <v/>
      </c>
      <c r="D45" s="633" t="str">
        <f>IF($B45="","", Summary!$C$8)</f>
        <v/>
      </c>
      <c r="E45" t="str">
        <f>IF($B45="","", Summary!$G$2)</f>
        <v/>
      </c>
      <c r="F45" s="646" t="str">
        <f>IF($B45="","",'Office Equipment'!B9)</f>
        <v/>
      </c>
      <c r="G45" s="651" t="str">
        <f>IF($B45="","",'Office Equipment'!C9)</f>
        <v/>
      </c>
      <c r="H45" s="36" t="str">
        <f>IF($B45="","",'Office Equipment'!E9)</f>
        <v/>
      </c>
      <c r="I45" t="str">
        <f>IF($B45="","",'Office Equipment'!F9)</f>
        <v/>
      </c>
      <c r="N45" t="str">
        <f>IF($B45="","",'Office Equipment'!H9)</f>
        <v/>
      </c>
      <c r="X45" t="str">
        <f>IF(B45="","",'Office Equipment'!G9)</f>
        <v/>
      </c>
      <c r="Y45" t="str">
        <f t="shared" si="3"/>
        <v/>
      </c>
      <c r="AQ45" s="619" t="str">
        <f xml:space="preserve"> IF($H45="", "",Summary!$C$8)</f>
        <v/>
      </c>
    </row>
    <row r="46" spans="1:43">
      <c r="A46" s="821"/>
      <c r="B46" t="str">
        <f>IF('Office Equipment'!I10="","",'Office Equipment'!I10)</f>
        <v/>
      </c>
      <c r="C46" t="str">
        <f>IF($B46="","",VLOOKUP('Office Equipment'!H10,Calculations!$B$271:$E$292,4,FALSE))</f>
        <v/>
      </c>
      <c r="D46" s="633" t="str">
        <f>IF($B46="","", Summary!$C$8)</f>
        <v/>
      </c>
      <c r="E46" t="str">
        <f>IF($B46="","", Summary!$G$2)</f>
        <v/>
      </c>
      <c r="F46" s="646" t="str">
        <f>IF($B46="","",'Office Equipment'!B10)</f>
        <v/>
      </c>
      <c r="G46" s="651" t="str">
        <f>IF($B46="","",'Office Equipment'!C10)</f>
        <v/>
      </c>
      <c r="H46" s="36" t="str">
        <f>IF($B46="","",'Office Equipment'!E10)</f>
        <v/>
      </c>
      <c r="I46" t="str">
        <f>IF($B46="","",'Office Equipment'!F10)</f>
        <v/>
      </c>
      <c r="N46" t="str">
        <f>IF($B46="","",'Office Equipment'!H10)</f>
        <v/>
      </c>
      <c r="X46" t="str">
        <f>IF(B46="","",'Office Equipment'!G10)</f>
        <v/>
      </c>
      <c r="Y46" t="str">
        <f t="shared" si="3"/>
        <v/>
      </c>
      <c r="AQ46" s="619" t="str">
        <f xml:space="preserve"> IF($H46="", "",Summary!$C$8)</f>
        <v/>
      </c>
    </row>
    <row r="47" spans="1:43" s="627" customFormat="1">
      <c r="A47" s="821" t="s">
        <v>345</v>
      </c>
      <c r="B47" s="627" t="str">
        <f>IF('Network Power Management'!H7="","",'Network Power Management'!H7)</f>
        <v/>
      </c>
      <c r="C47" s="627" t="str">
        <f>IF($B47="","",Calculations!$F$557)</f>
        <v/>
      </c>
      <c r="D47" s="635" t="str">
        <f>IF($B47="","", Summary!$C$8)</f>
        <v/>
      </c>
      <c r="E47" s="627" t="str">
        <f>IF($B47="","", Summary!$G$2)</f>
        <v/>
      </c>
      <c r="F47" s="647" t="str">
        <f>IF($B47="","",'Network Power Management'!B7)</f>
        <v/>
      </c>
      <c r="G47" s="652" t="str">
        <f>IF($B47="","",'Network Power Management'!C7)</f>
        <v/>
      </c>
      <c r="H47" s="657" t="str">
        <f>IF($B47="","",'Network Power Management'!E7)</f>
        <v/>
      </c>
      <c r="I47" s="627" t="str">
        <f>IF($B47="","",'Network Power Management'!F7)</f>
        <v/>
      </c>
      <c r="T47" s="627" t="str">
        <f>IF($B47="","",'Network Power Management'!G7)</f>
        <v/>
      </c>
      <c r="Y47" t="str">
        <f t="shared" si="3"/>
        <v/>
      </c>
      <c r="AQ47" s="619" t="str">
        <f xml:space="preserve"> IF($H47="", "",Summary!$C$8)</f>
        <v/>
      </c>
    </row>
    <row r="48" spans="1:43">
      <c r="A48" s="821"/>
      <c r="B48" t="str">
        <f>IF('Network Power Management'!H8="","",'Network Power Management'!H8)</f>
        <v/>
      </c>
      <c r="C48" t="str">
        <f>IF($B48="","",Calculations!$F$557)</f>
        <v/>
      </c>
      <c r="D48" s="633" t="str">
        <f>IF($B48="","", Summary!$C$8)</f>
        <v/>
      </c>
      <c r="E48" t="str">
        <f>IF($B48="","", Summary!$G$2)</f>
        <v/>
      </c>
      <c r="F48" s="646" t="str">
        <f>IF($B48="","",'Network Power Management'!B8)</f>
        <v/>
      </c>
      <c r="G48" s="651" t="str">
        <f>IF($B48="","",'Network Power Management'!C8)</f>
        <v/>
      </c>
      <c r="H48" s="36" t="str">
        <f>IF($B48="","",'Network Power Management'!E8)</f>
        <v/>
      </c>
      <c r="I48" t="str">
        <f>IF($B48="","",'Network Power Management'!F8)</f>
        <v/>
      </c>
      <c r="T48" t="str">
        <f>IF($B48="","",'Network Power Management'!G8)</f>
        <v/>
      </c>
      <c r="Y48" t="str">
        <f t="shared" si="3"/>
        <v/>
      </c>
      <c r="AQ48" s="619" t="str">
        <f xml:space="preserve"> IF($H48="", "",Summary!$C$8)</f>
        <v/>
      </c>
    </row>
    <row r="49" spans="1:43">
      <c r="A49" s="821"/>
      <c r="B49" t="str">
        <f>IF('Network Power Management'!H9="","",'Network Power Management'!H9)</f>
        <v/>
      </c>
      <c r="C49" t="str">
        <f>IF($B49="","",Calculations!$F$557)</f>
        <v/>
      </c>
      <c r="D49" s="633" t="str">
        <f>IF($B49="","", Summary!$C$8)</f>
        <v/>
      </c>
      <c r="E49" t="str">
        <f>IF($B49="","", Summary!$G$2)</f>
        <v/>
      </c>
      <c r="F49" s="646" t="str">
        <f>IF($B49="","",'Network Power Management'!B9)</f>
        <v/>
      </c>
      <c r="G49" s="651" t="str">
        <f>IF($B49="","",'Network Power Management'!C9)</f>
        <v/>
      </c>
      <c r="H49" s="36" t="str">
        <f>IF($B49="","",'Network Power Management'!E9)</f>
        <v/>
      </c>
      <c r="I49" t="str">
        <f>IF($B49="","",'Network Power Management'!F9)</f>
        <v/>
      </c>
      <c r="T49" t="str">
        <f>IF($B49="","",'Network Power Management'!G9)</f>
        <v/>
      </c>
      <c r="Y49" t="str">
        <f t="shared" si="3"/>
        <v/>
      </c>
      <c r="AQ49" s="619" t="str">
        <f xml:space="preserve"> IF($H49="", "",Summary!$C$8)</f>
        <v/>
      </c>
    </row>
    <row r="50" spans="1:43">
      <c r="A50" s="821"/>
      <c r="B50" t="str">
        <f>IF('Network Power Management'!H10="","",'Network Power Management'!H10)</f>
        <v/>
      </c>
      <c r="C50" t="str">
        <f>IF($B50="","",Calculations!$F$557)</f>
        <v/>
      </c>
      <c r="D50" s="633" t="str">
        <f>IF($B50="","", Summary!$C$8)</f>
        <v/>
      </c>
      <c r="E50" t="str">
        <f>IF($B50="","", Summary!$G$2)</f>
        <v/>
      </c>
      <c r="F50" s="646" t="str">
        <f>IF($B50="","",'Network Power Management'!B10)</f>
        <v/>
      </c>
      <c r="G50" s="651" t="str">
        <f>IF($B50="","",'Network Power Management'!C10)</f>
        <v/>
      </c>
      <c r="H50" s="36" t="str">
        <f>IF($B50="","",'Network Power Management'!E10)</f>
        <v/>
      </c>
      <c r="I50" t="str">
        <f>IF($B50="","",'Network Power Management'!F10)</f>
        <v/>
      </c>
      <c r="T50" t="str">
        <f>IF($B50="","",'Network Power Management'!G10)</f>
        <v/>
      </c>
      <c r="Y50" t="str">
        <f t="shared" si="3"/>
        <v/>
      </c>
      <c r="AQ50" s="619" t="str">
        <f xml:space="preserve"> IF($H50="", "",Summary!$C$8)</f>
        <v/>
      </c>
    </row>
    <row r="51" spans="1:43" s="627" customFormat="1">
      <c r="A51" s="821" t="s">
        <v>346</v>
      </c>
      <c r="B51" s="618" t="str">
        <f>IF('Advanced Power Strips'!E7="","",'Advanced Power Strips'!E7)</f>
        <v/>
      </c>
      <c r="C51" s="618" t="str">
        <f>IF($B51="","",Calculations!$F$558)</f>
        <v/>
      </c>
      <c r="D51" s="619" t="str">
        <f>IF($B51="","", Summary!$C$8)</f>
        <v/>
      </c>
      <c r="E51" s="618" t="str">
        <f>IF($B51="","", Summary!$G$2)</f>
        <v/>
      </c>
      <c r="F51" s="629" t="str">
        <f>IF($B51="","",'Advanced Power Strips'!F7)</f>
        <v/>
      </c>
      <c r="G51" s="628" t="str">
        <f>IF($B51="","",'Advanced Power Strips'!I7)</f>
        <v/>
      </c>
      <c r="H51" s="634" t="str">
        <f>IF($B51="","",'Advanced Power Strips'!K7)</f>
        <v/>
      </c>
      <c r="I51" s="618" t="str">
        <f>IF($B51="","",'Advanced Power Strips'!B7)</f>
        <v/>
      </c>
      <c r="U51" s="618" t="str">
        <f>IF($B51="","",'Advanced Power Strips'!D7)</f>
        <v/>
      </c>
      <c r="V51" s="618" t="str">
        <f>IF($B51="","",'Advanced Power Strips'!C7)</f>
        <v/>
      </c>
      <c r="Y51" s="618" t="str">
        <f t="shared" si="3"/>
        <v/>
      </c>
      <c r="AH51" s="618" t="str">
        <f>IF($B51="","",'Advanced Power Strips'!G7)</f>
        <v/>
      </c>
      <c r="AI51" s="618" t="str">
        <f>IF($B51="","",'Advanced Power Strips'!F7)</f>
        <v/>
      </c>
      <c r="AJ51" s="629">
        <f>IF(Calculations!$D$507="","", Calculations!$D$507)</f>
        <v>1.181E-4</v>
      </c>
      <c r="AK51" s="629">
        <f>IF(Calculations!$D$508="","", Calculations!$D$508)</f>
        <v>1.227E-4</v>
      </c>
      <c r="AQ51" s="619" t="str">
        <f xml:space="preserve"> IF($H51="", "",Summary!$C$8)</f>
        <v/>
      </c>
    </row>
    <row r="52" spans="1:43">
      <c r="A52" s="821"/>
      <c r="B52" s="618" t="str">
        <f>IF('Advanced Power Strips'!E8="","",'Advanced Power Strips'!E8)</f>
        <v/>
      </c>
      <c r="C52" s="618" t="str">
        <f>IF($B52="","",Calculations!$F$558)</f>
        <v/>
      </c>
      <c r="D52" s="619" t="str">
        <f>IF($B52="","", Summary!$C$8)</f>
        <v/>
      </c>
      <c r="E52" s="618" t="str">
        <f>IF($B52="","", Summary!$G$2)</f>
        <v/>
      </c>
      <c r="F52" s="629" t="str">
        <f>IF($B52="","",'Advanced Power Strips'!F8)</f>
        <v/>
      </c>
      <c r="G52" s="628" t="str">
        <f>IF($B52="","",'Advanced Power Strips'!I8)</f>
        <v/>
      </c>
      <c r="H52" s="634" t="str">
        <f>IF($B52="","",'Advanced Power Strips'!K8)</f>
        <v/>
      </c>
      <c r="I52" s="618" t="str">
        <f>IF($B52="","",'Advanced Power Strips'!B8)</f>
        <v/>
      </c>
      <c r="U52" s="618" t="str">
        <f>IF($B52="","",'Advanced Power Strips'!D8)</f>
        <v/>
      </c>
      <c r="V52" s="618" t="str">
        <f>IF($B52="","",'Advanced Power Strips'!C8)</f>
        <v/>
      </c>
      <c r="Y52" s="618" t="str">
        <f t="shared" si="3"/>
        <v/>
      </c>
      <c r="AH52" s="618" t="str">
        <f>IF($B52="","",'Advanced Power Strips'!G8)</f>
        <v/>
      </c>
      <c r="AI52" s="618" t="str">
        <f>IF($B52="","",'Advanced Power Strips'!F8)</f>
        <v/>
      </c>
      <c r="AJ52" s="629">
        <f>IF(Calculations!$D$507="","", Calculations!$D$507)</f>
        <v>1.181E-4</v>
      </c>
      <c r="AK52" s="629">
        <f>IF(Calculations!$D$508="","", Calculations!$D$508)</f>
        <v>1.227E-4</v>
      </c>
      <c r="AQ52" s="619" t="str">
        <f xml:space="preserve"> IF($H52="", "",Summary!$C$8)</f>
        <v/>
      </c>
    </row>
    <row r="53" spans="1:43">
      <c r="A53" s="821"/>
      <c r="B53" s="618" t="str">
        <f>IF('Advanced Power Strips'!E9="","",'Advanced Power Strips'!E9)</f>
        <v/>
      </c>
      <c r="C53" s="618" t="str">
        <f>IF($B53="","",Calculations!$F$558)</f>
        <v/>
      </c>
      <c r="D53" s="619" t="str">
        <f>IF($B53="","", Summary!$C$8)</f>
        <v/>
      </c>
      <c r="E53" s="618" t="str">
        <f>IF($B53="","", Summary!$G$2)</f>
        <v/>
      </c>
      <c r="F53" s="629" t="str">
        <f>IF($B53="","",'Advanced Power Strips'!F9)</f>
        <v/>
      </c>
      <c r="G53" s="628" t="str">
        <f>IF($B53="","",'Advanced Power Strips'!I9)</f>
        <v/>
      </c>
      <c r="H53" s="634" t="str">
        <f>IF($B53="","",'Advanced Power Strips'!K9)</f>
        <v/>
      </c>
      <c r="I53" s="618" t="str">
        <f>IF($B53="","",'Advanced Power Strips'!B9)</f>
        <v/>
      </c>
      <c r="U53" s="618" t="str">
        <f>IF($B53="","",'Advanced Power Strips'!D9)</f>
        <v/>
      </c>
      <c r="V53" s="618" t="str">
        <f>IF($B53="","",'Advanced Power Strips'!C9)</f>
        <v/>
      </c>
      <c r="Y53" s="618" t="str">
        <f t="shared" si="3"/>
        <v/>
      </c>
      <c r="AH53" s="618" t="str">
        <f>IF($B53="","",'Advanced Power Strips'!G9)</f>
        <v/>
      </c>
      <c r="AI53" s="618" t="str">
        <f>IF($B53="","",'Advanced Power Strips'!F9)</f>
        <v/>
      </c>
      <c r="AJ53" s="629">
        <f>IF(Calculations!$D$507="","", Calculations!$D$507)</f>
        <v>1.181E-4</v>
      </c>
      <c r="AK53" s="629">
        <f>IF(Calculations!$D$508="","", Calculations!$D$508)</f>
        <v>1.227E-4</v>
      </c>
      <c r="AQ53" s="619" t="str">
        <f xml:space="preserve"> IF($H53="", "",Summary!$C$8)</f>
        <v/>
      </c>
    </row>
    <row r="54" spans="1:43">
      <c r="A54" s="821"/>
      <c r="B54" s="618" t="str">
        <f>IF('Advanced Power Strips'!E10="","",'Advanced Power Strips'!E10)</f>
        <v/>
      </c>
      <c r="C54" s="618" t="str">
        <f>IF($B54="","",Calculations!$F$558)</f>
        <v/>
      </c>
      <c r="D54" s="619" t="str">
        <f>IF($B54="","", Summary!$C$8)</f>
        <v/>
      </c>
      <c r="E54" s="618" t="str">
        <f>IF($B54="","", Summary!$G$2)</f>
        <v/>
      </c>
      <c r="F54" s="629" t="str">
        <f>IF($B54="","",'Advanced Power Strips'!F10)</f>
        <v/>
      </c>
      <c r="G54" s="628" t="str">
        <f>IF($B54="","",'Advanced Power Strips'!I10)</f>
        <v/>
      </c>
      <c r="H54" s="634" t="str">
        <f>IF($B54="","",'Advanced Power Strips'!K10)</f>
        <v/>
      </c>
      <c r="I54" s="618" t="str">
        <f>IF($B54="","",'Advanced Power Strips'!B10)</f>
        <v/>
      </c>
      <c r="U54" s="618" t="str">
        <f>IF($B54="","",'Advanced Power Strips'!D10)</f>
        <v/>
      </c>
      <c r="V54" s="618" t="str">
        <f>IF($B54="","",'Advanced Power Strips'!C10)</f>
        <v/>
      </c>
      <c r="Y54" s="618" t="str">
        <f t="shared" si="3"/>
        <v/>
      </c>
      <c r="AH54" s="618" t="str">
        <f>IF($B54="","",'Advanced Power Strips'!G10)</f>
        <v/>
      </c>
      <c r="AI54" s="618" t="str">
        <f>IF($B54="","",'Advanced Power Strips'!F10)</f>
        <v/>
      </c>
      <c r="AJ54" s="629">
        <f>IF(Calculations!$D$507="","", Calculations!$D$507)</f>
        <v>1.181E-4</v>
      </c>
      <c r="AK54" s="629">
        <f>IF(Calculations!$D$508="","", Calculations!$D$508)</f>
        <v>1.227E-4</v>
      </c>
      <c r="AQ54" s="619" t="str">
        <f xml:space="preserve"> IF($H54="", "",Summary!$C$8)</f>
        <v/>
      </c>
    </row>
    <row r="55" spans="1:43" s="627" customFormat="1">
      <c r="A55" s="821" t="s">
        <v>347</v>
      </c>
      <c r="B55" s="618" t="str">
        <f>IF('ENERGY STAR Servers'!F7="","",'ENERGY STAR Servers'!F7)</f>
        <v/>
      </c>
      <c r="C55" s="618" t="str">
        <f>IF($B55="","",Calculations!$F$532)</f>
        <v/>
      </c>
      <c r="D55" s="619" t="str">
        <f>IF($B55="","", Summary!$C$8)</f>
        <v/>
      </c>
      <c r="E55" s="618" t="str">
        <f>IF($B55="","", Summary!$G$2)</f>
        <v/>
      </c>
      <c r="F55" s="629">
        <f>IF('ENERGY STAR Servers'!J7="","",'ENERGY STAR Servers'!J7)</f>
        <v>0</v>
      </c>
      <c r="G55" s="628">
        <f>IF('ENERGY STAR Servers'!G7="","",'ENERGY STAR Servers'!G7)</f>
        <v>0</v>
      </c>
      <c r="H55" s="634">
        <f>IF('ENERGY STAR Servers'!K7="","",'ENERGY STAR Servers'!K7)</f>
        <v>0</v>
      </c>
      <c r="I55" s="634" t="str">
        <f>IF('ENERGY STAR Servers'!B7="","",'ENERGY STAR Servers'!B7)</f>
        <v/>
      </c>
      <c r="P55" s="618" t="s">
        <v>348</v>
      </c>
      <c r="Q55" s="634" t="str">
        <f>IF('ENERGY STAR Servers'!D7="","",'ENERGY STAR Servers'!D7)</f>
        <v/>
      </c>
      <c r="R55" s="618" t="s">
        <v>348</v>
      </c>
      <c r="X55" s="618">
        <f>0</f>
        <v>0</v>
      </c>
      <c r="Y55" s="618" t="str">
        <f t="shared" si="3"/>
        <v/>
      </c>
      <c r="AH55" s="636">
        <f>IF('ENERGY STAR Servers'!I7="","",'ENERGY STAR Servers'!I7)</f>
        <v>0</v>
      </c>
      <c r="AI55" s="636">
        <f>IF('ENERGY STAR Servers'!H7="","",'ENERGY STAR Servers'!H7)</f>
        <v>0</v>
      </c>
      <c r="AJ55" s="629">
        <f>IF(Calculations!$D$451="","", Calculations!$D$451)</f>
        <v>1.181E-4</v>
      </c>
      <c r="AK55" s="629">
        <f>IF(Calculations!$D$452="","", Calculations!$D$452)</f>
        <v>1.227E-4</v>
      </c>
      <c r="AQ55" s="619">
        <f xml:space="preserve"> IF($H55="", "",Summary!$C$8)</f>
        <v>0</v>
      </c>
    </row>
    <row r="56" spans="1:43">
      <c r="A56" s="821"/>
      <c r="B56" s="618" t="str">
        <f>IF('ENERGY STAR Servers'!F8="","",'ENERGY STAR Servers'!F8)</f>
        <v/>
      </c>
      <c r="C56" s="618" t="str">
        <f>IF($B56="","",Calculations!$F$532)</f>
        <v/>
      </c>
      <c r="D56" s="619" t="str">
        <f>IF($B56="","", Summary!$C$8)</f>
        <v/>
      </c>
      <c r="E56" s="618" t="str">
        <f>IF($B56="","", Summary!$G$2)</f>
        <v/>
      </c>
      <c r="F56" s="629">
        <f>IF('ENERGY STAR Servers'!J8="","",'ENERGY STAR Servers'!J8)</f>
        <v>0</v>
      </c>
      <c r="G56" s="628">
        <f>IF('ENERGY STAR Servers'!G8="","",'ENERGY STAR Servers'!G8)</f>
        <v>0</v>
      </c>
      <c r="H56" s="634">
        <f>IF('ENERGY STAR Servers'!K8="","",'ENERGY STAR Servers'!K8)</f>
        <v>0</v>
      </c>
      <c r="I56" s="634" t="str">
        <f>IF('ENERGY STAR Servers'!B8="","",'ENERGY STAR Servers'!B8)</f>
        <v/>
      </c>
      <c r="P56" s="618" t="s">
        <v>348</v>
      </c>
      <c r="Q56" s="634" t="str">
        <f>IF('ENERGY STAR Servers'!D8="","",'ENERGY STAR Servers'!D8)</f>
        <v/>
      </c>
      <c r="R56" s="618" t="s">
        <v>348</v>
      </c>
      <c r="X56" s="618">
        <f>0</f>
        <v>0</v>
      </c>
      <c r="Y56" s="618" t="str">
        <f t="shared" si="3"/>
        <v/>
      </c>
      <c r="AH56" s="636">
        <f>IF('ENERGY STAR Servers'!I8="","",'ENERGY STAR Servers'!I8)</f>
        <v>0</v>
      </c>
      <c r="AI56" s="636">
        <f>IF('ENERGY STAR Servers'!H8="","",'ENERGY STAR Servers'!H8)</f>
        <v>0</v>
      </c>
      <c r="AJ56" s="629">
        <f>IF(Calculations!$D$451="","", Calculations!$D$451)</f>
        <v>1.181E-4</v>
      </c>
      <c r="AK56" s="629">
        <f>IF(Calculations!$D$452="","", Calculations!$D$452)</f>
        <v>1.227E-4</v>
      </c>
      <c r="AQ56" s="619">
        <f xml:space="preserve"> IF($H56="", "",Summary!$C$8)</f>
        <v>0</v>
      </c>
    </row>
    <row r="57" spans="1:43">
      <c r="A57" s="821"/>
      <c r="B57" s="618" t="str">
        <f>IF('ENERGY STAR Servers'!F9="","",'ENERGY STAR Servers'!F9)</f>
        <v/>
      </c>
      <c r="C57" s="618" t="str">
        <f>IF($B57="","",Calculations!$F$532)</f>
        <v/>
      </c>
      <c r="D57" s="619" t="str">
        <f>IF($B57="","", Summary!$C$8)</f>
        <v/>
      </c>
      <c r="E57" s="618" t="str">
        <f>IF($B57="","", Summary!$G$2)</f>
        <v/>
      </c>
      <c r="F57" s="629">
        <f>IF('ENERGY STAR Servers'!J9="","",'ENERGY STAR Servers'!J9)</f>
        <v>0</v>
      </c>
      <c r="G57" s="628">
        <f>IF('ENERGY STAR Servers'!G9="","",'ENERGY STAR Servers'!G9)</f>
        <v>0</v>
      </c>
      <c r="H57" s="634">
        <f>IF('ENERGY STAR Servers'!K9="","",'ENERGY STAR Servers'!K9)</f>
        <v>0</v>
      </c>
      <c r="I57" s="634" t="str">
        <f>IF('ENERGY STAR Servers'!B9="","",'ENERGY STAR Servers'!B9)</f>
        <v/>
      </c>
      <c r="P57" s="618" t="s">
        <v>348</v>
      </c>
      <c r="Q57" s="634" t="str">
        <f>IF('ENERGY STAR Servers'!D9="","",'ENERGY STAR Servers'!D9)</f>
        <v/>
      </c>
      <c r="R57" s="618" t="s">
        <v>348</v>
      </c>
      <c r="X57" s="618">
        <f>0</f>
        <v>0</v>
      </c>
      <c r="Y57" s="618" t="str">
        <f t="shared" si="3"/>
        <v/>
      </c>
      <c r="AH57" s="636">
        <f>IF('ENERGY STAR Servers'!I9="","",'ENERGY STAR Servers'!I9)</f>
        <v>0</v>
      </c>
      <c r="AI57" s="636">
        <f>IF('ENERGY STAR Servers'!H9="","",'ENERGY STAR Servers'!H9)</f>
        <v>0</v>
      </c>
      <c r="AJ57" s="629">
        <f>IF(Calculations!$D$451="","", Calculations!$D$451)</f>
        <v>1.181E-4</v>
      </c>
      <c r="AK57" s="629">
        <f>IF(Calculations!$D$452="","", Calculations!$D$452)</f>
        <v>1.227E-4</v>
      </c>
      <c r="AQ57" s="619">
        <f xml:space="preserve"> IF($H57="", "",Summary!$C$8)</f>
        <v>0</v>
      </c>
    </row>
    <row r="58" spans="1:43">
      <c r="A58" s="821"/>
      <c r="B58" s="618" t="str">
        <f>IF('ENERGY STAR Servers'!F10="","",'ENERGY STAR Servers'!F10)</f>
        <v/>
      </c>
      <c r="C58" s="618" t="str">
        <f>IF($B58="","",Calculations!$F$532)</f>
        <v/>
      </c>
      <c r="D58" s="619" t="str">
        <f>IF($B58="","", Summary!$C$8)</f>
        <v/>
      </c>
      <c r="E58" s="618" t="str">
        <f>IF($B58="","", Summary!$G$2)</f>
        <v/>
      </c>
      <c r="F58" s="629">
        <f>IF('ENERGY STAR Servers'!J10="","",'ENERGY STAR Servers'!J10)</f>
        <v>0</v>
      </c>
      <c r="G58" s="628">
        <f>IF('ENERGY STAR Servers'!G10="","",'ENERGY STAR Servers'!G10)</f>
        <v>0</v>
      </c>
      <c r="H58" s="634">
        <f>IF('ENERGY STAR Servers'!K10="","",'ENERGY STAR Servers'!K10)</f>
        <v>0</v>
      </c>
      <c r="I58" s="634" t="str">
        <f>IF('ENERGY STAR Servers'!B10="","",'ENERGY STAR Servers'!B10)</f>
        <v/>
      </c>
      <c r="P58" s="618" t="s">
        <v>348</v>
      </c>
      <c r="Q58" s="634" t="str">
        <f>IF('ENERGY STAR Servers'!D10="","",'ENERGY STAR Servers'!D10)</f>
        <v/>
      </c>
      <c r="R58" s="618" t="s">
        <v>348</v>
      </c>
      <c r="X58" s="618">
        <f>0</f>
        <v>0</v>
      </c>
      <c r="Y58" s="618" t="str">
        <f t="shared" si="3"/>
        <v/>
      </c>
      <c r="AH58" s="636">
        <f>IF('ENERGY STAR Servers'!I10="","",'ENERGY STAR Servers'!I10)</f>
        <v>0</v>
      </c>
      <c r="AI58" s="636">
        <f>IF('ENERGY STAR Servers'!H10="","",'ENERGY STAR Servers'!H10)</f>
        <v>0</v>
      </c>
      <c r="AJ58" s="629">
        <f>IF(Calculations!$D$451="","", Calculations!$D$451)</f>
        <v>1.181E-4</v>
      </c>
      <c r="AK58" s="629">
        <f>IF(Calculations!$D$452="","", Calculations!$D$452)</f>
        <v>1.227E-4</v>
      </c>
      <c r="AQ58" s="619">
        <f xml:space="preserve"> IF($H58="", "",Summary!$C$8)</f>
        <v>0</v>
      </c>
    </row>
    <row r="59" spans="1:43" s="627" customFormat="1">
      <c r="A59" s="821" t="s">
        <v>349</v>
      </c>
      <c r="B59" s="618" t="str">
        <f>IF('Server Virtualization'!H7="","",'Server Virtualization'!H7)</f>
        <v/>
      </c>
      <c r="C59" s="618" t="str">
        <f>IF($B59="","",Calculations!$F$559)</f>
        <v/>
      </c>
      <c r="D59" s="619" t="str">
        <f>IF($B59="","", Summary!$C$8)</f>
        <v/>
      </c>
      <c r="E59" s="618" t="str">
        <f>IF($B59="","", Summary!$G$2)</f>
        <v/>
      </c>
      <c r="F59" s="648">
        <f>IF('Server Virtualization'!L7="","",'Server Virtualization'!L7)</f>
        <v>0</v>
      </c>
      <c r="G59" s="653">
        <f>IF('Server Virtualization'!I7="","",'Server Virtualization'!I7)</f>
        <v>0</v>
      </c>
      <c r="H59" s="658">
        <f>IF('Server Virtualization'!N7="","",'Server Virtualization'!N7)</f>
        <v>0</v>
      </c>
      <c r="I59" s="637" t="str">
        <f>IF('Server Virtualization'!B7="","",'Server Virtualization'!B7)</f>
        <v/>
      </c>
      <c r="P59" s="638" t="str">
        <f>IF($B59="","",Calculations!$C$494)</f>
        <v/>
      </c>
      <c r="Q59" s="637" t="str">
        <f>IF('Server Virtualization'!G7="","",'Server Virtualization'!G7)</f>
        <v/>
      </c>
      <c r="R59" s="618" t="s">
        <v>348</v>
      </c>
      <c r="X59"/>
      <c r="Y59" s="618" t="str">
        <f t="shared" si="3"/>
        <v/>
      </c>
      <c r="AH59" s="637">
        <f>IF('Server Virtualization'!K7="","",'Server Virtualization'!K7)</f>
        <v>0</v>
      </c>
      <c r="AI59" s="637">
        <f>IF('Server Virtualization'!J7="","",'Server Virtualization'!J7)</f>
        <v>0</v>
      </c>
      <c r="AJ59" s="618">
        <f>0</f>
        <v>0</v>
      </c>
      <c r="AK59" s="618">
        <f>0</f>
        <v>0</v>
      </c>
      <c r="AQ59" s="619">
        <f xml:space="preserve"> IF($H59="", "",Summary!$C$8)</f>
        <v>0</v>
      </c>
    </row>
    <row r="60" spans="1:43">
      <c r="A60" s="821"/>
      <c r="B60" s="618" t="str">
        <f>IF('Server Virtualization'!H8="","",'Server Virtualization'!H8)</f>
        <v/>
      </c>
      <c r="C60" s="618" t="str">
        <f>IF($B60="","",Calculations!$F$559)</f>
        <v/>
      </c>
      <c r="D60" s="619" t="str">
        <f>IF($B60="","", Summary!$C$8)</f>
        <v/>
      </c>
      <c r="E60" s="618" t="str">
        <f>IF($B60="","", Summary!$G$2)</f>
        <v/>
      </c>
      <c r="F60" s="648">
        <f>IF('Server Virtualization'!L8="","",'Server Virtualization'!L8)</f>
        <v>0</v>
      </c>
      <c r="G60" s="653">
        <f>IF('Server Virtualization'!I8="","",'Server Virtualization'!I8)</f>
        <v>0</v>
      </c>
      <c r="H60" s="658">
        <f>IF('Server Virtualization'!N8="","",'Server Virtualization'!N8)</f>
        <v>0</v>
      </c>
      <c r="I60" s="637" t="str">
        <f>IF('Server Virtualization'!B8="","",'Server Virtualization'!B8)</f>
        <v/>
      </c>
      <c r="P60" s="638" t="str">
        <f>IF($B60="","",Calculations!$C$494)</f>
        <v/>
      </c>
      <c r="Q60" s="637" t="str">
        <f>IF('Server Virtualization'!G8="","",'Server Virtualization'!G8)</f>
        <v/>
      </c>
      <c r="R60" s="618" t="s">
        <v>348</v>
      </c>
      <c r="Y60" s="618" t="str">
        <f t="shared" si="3"/>
        <v/>
      </c>
      <c r="AH60" s="637">
        <f>IF('Server Virtualization'!K8="","",'Server Virtualization'!K8)</f>
        <v>0</v>
      </c>
      <c r="AI60" s="637">
        <f>IF('Server Virtualization'!J8="","",'Server Virtualization'!J8)</f>
        <v>0</v>
      </c>
      <c r="AJ60" s="618">
        <f>0</f>
        <v>0</v>
      </c>
      <c r="AK60" s="618">
        <f>0</f>
        <v>0</v>
      </c>
      <c r="AQ60" s="619">
        <f xml:space="preserve"> IF($H60="", "",Summary!$C$8)</f>
        <v>0</v>
      </c>
    </row>
    <row r="61" spans="1:43">
      <c r="A61" s="821"/>
      <c r="B61" s="618" t="str">
        <f>IF('Server Virtualization'!H9="","",'Server Virtualization'!H9)</f>
        <v/>
      </c>
      <c r="C61" s="618" t="str">
        <f>IF($B61="","",Calculations!$F$559)</f>
        <v/>
      </c>
      <c r="D61" s="619" t="str">
        <f>IF($B61="","", Summary!$C$8)</f>
        <v/>
      </c>
      <c r="E61" s="618" t="str">
        <f>IF($B61="","", Summary!$G$2)</f>
        <v/>
      </c>
      <c r="F61" s="648">
        <f>IF('Server Virtualization'!L9="","",'Server Virtualization'!L9)</f>
        <v>0</v>
      </c>
      <c r="G61" s="653">
        <f>IF('Server Virtualization'!I9="","",'Server Virtualization'!I9)</f>
        <v>0</v>
      </c>
      <c r="H61" s="658">
        <f>IF('Server Virtualization'!N9="","",'Server Virtualization'!N9)</f>
        <v>0</v>
      </c>
      <c r="I61" s="637" t="str">
        <f>IF('Server Virtualization'!B9="","",'Server Virtualization'!B9)</f>
        <v/>
      </c>
      <c r="P61" s="638" t="str">
        <f>IF($B61="","",Calculations!$C$494)</f>
        <v/>
      </c>
      <c r="Q61" s="637" t="str">
        <f>IF('Server Virtualization'!G9="","",'Server Virtualization'!G9)</f>
        <v/>
      </c>
      <c r="R61" s="618" t="s">
        <v>348</v>
      </c>
      <c r="Y61" s="618" t="str">
        <f t="shared" si="3"/>
        <v/>
      </c>
      <c r="AH61" s="637">
        <f>IF('Server Virtualization'!K9="","",'Server Virtualization'!K9)</f>
        <v>0</v>
      </c>
      <c r="AI61" s="637">
        <f>IF('Server Virtualization'!J9="","",'Server Virtualization'!J9)</f>
        <v>0</v>
      </c>
      <c r="AJ61" s="618">
        <f>0</f>
        <v>0</v>
      </c>
      <c r="AK61" s="618">
        <f>0</f>
        <v>0</v>
      </c>
      <c r="AQ61" s="619">
        <f xml:space="preserve"> IF($H61="", "",Summary!$C$8)</f>
        <v>0</v>
      </c>
    </row>
    <row r="62" spans="1:43">
      <c r="A62" s="821"/>
      <c r="B62" s="618" t="str">
        <f>IF('Server Virtualization'!H10="","",'Server Virtualization'!H10)</f>
        <v/>
      </c>
      <c r="C62" s="618" t="str">
        <f>IF($B62="","",Calculations!$F$559)</f>
        <v/>
      </c>
      <c r="D62" s="619" t="str">
        <f>IF($B62="","", Summary!$C$8)</f>
        <v/>
      </c>
      <c r="E62" s="618" t="str">
        <f>IF($B62="","", Summary!$G$2)</f>
        <v/>
      </c>
      <c r="F62" s="648">
        <f>IF('Server Virtualization'!L10="","",'Server Virtualization'!L10)</f>
        <v>0</v>
      </c>
      <c r="G62" s="653">
        <f>IF('Server Virtualization'!I10="","",'Server Virtualization'!I10)</f>
        <v>0</v>
      </c>
      <c r="H62" s="658">
        <f>IF('Server Virtualization'!N10="","",'Server Virtualization'!N10)</f>
        <v>0</v>
      </c>
      <c r="I62" s="637" t="str">
        <f>IF('Server Virtualization'!B10="","",'Server Virtualization'!B10)</f>
        <v/>
      </c>
      <c r="P62" s="638" t="str">
        <f>IF($B62="","",Calculations!$C$494)</f>
        <v/>
      </c>
      <c r="Q62" s="637" t="str">
        <f>IF('Server Virtualization'!G10="","",'Server Virtualization'!G10)</f>
        <v/>
      </c>
      <c r="R62" s="618" t="s">
        <v>348</v>
      </c>
      <c r="Y62" s="618" t="str">
        <f t="shared" si="3"/>
        <v/>
      </c>
      <c r="AH62" s="637">
        <f>IF('Server Virtualization'!K10="","",'Server Virtualization'!K10)</f>
        <v>0</v>
      </c>
      <c r="AI62" s="637">
        <f>IF('Server Virtualization'!J10="","",'Server Virtualization'!J10)</f>
        <v>0</v>
      </c>
      <c r="AJ62" s="618">
        <f>0</f>
        <v>0</v>
      </c>
      <c r="AK62" s="618">
        <f>0</f>
        <v>0</v>
      </c>
      <c r="AQ62" s="619">
        <f xml:space="preserve"> IF($H62="", "",Summary!$C$8)</f>
        <v>0</v>
      </c>
    </row>
    <row r="63" spans="1:43" s="627" customFormat="1">
      <c r="A63" s="821" t="s">
        <v>350</v>
      </c>
      <c r="B63" s="618" t="str">
        <f>IF('Combination Oven'!G11="","",'Combination Oven'!G11)</f>
        <v/>
      </c>
      <c r="C63" s="618" t="str">
        <f>IF($B63="","",Calculations!$F$541)</f>
        <v/>
      </c>
      <c r="D63" s="619" t="str">
        <f>IF($B63="","", Summary!$C$8)</f>
        <v/>
      </c>
      <c r="E63" s="618" t="str">
        <f>IF($B63="","", Summary!$G$2)</f>
        <v/>
      </c>
      <c r="F63" s="629" t="str">
        <f>IF($B63="","",'Combination Oven'!J11)</f>
        <v/>
      </c>
      <c r="G63" s="628" t="str">
        <f>IF($B63="","",'Combination Oven'!K11)</f>
        <v/>
      </c>
      <c r="H63" s="634" t="str">
        <f>IF($B63="","",'Combination Oven'!M11)</f>
        <v/>
      </c>
      <c r="I63" s="618" t="str">
        <f>IF($B63="","",'Combination Oven'!B11)</f>
        <v/>
      </c>
      <c r="X63" s="618" t="str">
        <f>IF(B63="","",'Combination Oven'!D11)</f>
        <v/>
      </c>
      <c r="Y63" s="618" t="str">
        <f t="shared" si="3"/>
        <v/>
      </c>
      <c r="Z63" s="618" t="str">
        <f>IF(B63="","",'Combination Oven'!F11)</f>
        <v/>
      </c>
      <c r="AC63" s="634">
        <f>IF(Calculations!R70="","", Calculations!R70)</f>
        <v>0.78</v>
      </c>
      <c r="AD63" s="634">
        <f>IF(Calculations!Q70="","", Calculations!Q70)</f>
        <v>350</v>
      </c>
      <c r="AE63" s="634">
        <f>IF(Calculations!S70="","", Calculations!S70)</f>
        <v>95.79</v>
      </c>
      <c r="AH63" s="618" t="str">
        <f>IF(B63="","",'Combination Oven'!I11)</f>
        <v/>
      </c>
      <c r="AI63" s="618" t="str">
        <f>IF(C63="","",'Combination Oven'!H11)</f>
        <v/>
      </c>
      <c r="AJ63" s="629">
        <f>IF(Calculations!$E$52="","", Calculations!$E$52)</f>
        <v>1.863E-4</v>
      </c>
      <c r="AK63" s="629">
        <f>IF(Calculations!$E$53="","", Calculations!$E$53)</f>
        <v>1.192E-4</v>
      </c>
      <c r="AN63" s="634">
        <f>IF(Calculations!V70="","", Calculations!V70)</f>
        <v>0.55000000000000004</v>
      </c>
      <c r="AO63" s="634">
        <f>IF(Calculations!U70="","", Calculations!U70)</f>
        <v>640</v>
      </c>
      <c r="AP63" s="642">
        <f>IF(Calculations!W70="","", Calculations!W70)</f>
        <v>128.11000000000001</v>
      </c>
      <c r="AQ63" s="619" t="str">
        <f xml:space="preserve"> IF($H63="", "",Summary!$C$8)</f>
        <v/>
      </c>
    </row>
    <row r="64" spans="1:43">
      <c r="A64" s="821"/>
      <c r="B64" s="618" t="str">
        <f>IF('Combination Oven'!G12="","",'Combination Oven'!G12)</f>
        <v/>
      </c>
      <c r="C64" s="618" t="str">
        <f>IF($B64="","",Calculations!$F$541)</f>
        <v/>
      </c>
      <c r="D64" s="619" t="str">
        <f>IF($B64="","", Summary!$C$8)</f>
        <v/>
      </c>
      <c r="E64" s="618" t="str">
        <f>IF($B64="","", Summary!$G$2)</f>
        <v/>
      </c>
      <c r="F64" s="629" t="str">
        <f>IF($B64="","",'Combination Oven'!J12)</f>
        <v/>
      </c>
      <c r="G64" s="628" t="str">
        <f>IF($B64="","",'Combination Oven'!K12)</f>
        <v/>
      </c>
      <c r="H64" s="634" t="str">
        <f>IF($B64="","",'Combination Oven'!M12)</f>
        <v/>
      </c>
      <c r="I64" s="618" t="str">
        <f>IF($B64="","",'Combination Oven'!B12)</f>
        <v/>
      </c>
      <c r="X64" s="618" t="str">
        <f>IF(B64="","",'Combination Oven'!D12)</f>
        <v/>
      </c>
      <c r="Y64" s="618" t="str">
        <f t="shared" si="3"/>
        <v/>
      </c>
      <c r="Z64" s="618" t="str">
        <f>IF(B64="","",'Combination Oven'!F12)</f>
        <v/>
      </c>
      <c r="AC64" s="634">
        <f>IF(Calculations!R71="","", Calculations!R71)</f>
        <v>0.78</v>
      </c>
      <c r="AD64" s="634">
        <f>IF(Calculations!Q71="","", Calculations!Q71)</f>
        <v>350</v>
      </c>
      <c r="AE64" s="634">
        <f>IF(Calculations!S71="","", Calculations!S71)</f>
        <v>95.79</v>
      </c>
      <c r="AH64" s="618" t="str">
        <f>IF(B64="","",'Combination Oven'!I12)</f>
        <v/>
      </c>
      <c r="AI64" s="618" t="str">
        <f>IF(C64="","",'Combination Oven'!H12)</f>
        <v/>
      </c>
      <c r="AJ64" s="629">
        <f>IF(Calculations!$E$52="","", Calculations!$E$52)</f>
        <v>1.863E-4</v>
      </c>
      <c r="AK64" s="629">
        <f>IF(Calculations!$E$53="","", Calculations!$E$53)</f>
        <v>1.192E-4</v>
      </c>
      <c r="AN64" s="634">
        <f>IF(Calculations!V71="","", Calculations!V71)</f>
        <v>0.55000000000000004</v>
      </c>
      <c r="AO64" s="634">
        <f>IF(Calculations!U71="","", Calculations!U71)</f>
        <v>640</v>
      </c>
      <c r="AP64" s="642">
        <f>IF(Calculations!W71="","", Calculations!W71)</f>
        <v>128.11000000000001</v>
      </c>
      <c r="AQ64" s="619" t="str">
        <f xml:space="preserve"> IF($H64="", "",Summary!$C$8)</f>
        <v/>
      </c>
    </row>
    <row r="65" spans="1:43">
      <c r="A65" s="821"/>
      <c r="B65" s="618" t="str">
        <f>IF('Combination Oven'!G13="","",'Combination Oven'!G13)</f>
        <v/>
      </c>
      <c r="C65" s="618" t="str">
        <f>IF($B65="","",Calculations!$F$541)</f>
        <v/>
      </c>
      <c r="D65" s="619" t="str">
        <f>IF($B65="","", Summary!$C$8)</f>
        <v/>
      </c>
      <c r="E65" s="618" t="str">
        <f>IF($B65="","", Summary!$G$2)</f>
        <v/>
      </c>
      <c r="F65" s="629" t="str">
        <f>IF($B65="","",'Combination Oven'!J13)</f>
        <v/>
      </c>
      <c r="G65" s="628" t="str">
        <f>IF($B65="","",'Combination Oven'!K13)</f>
        <v/>
      </c>
      <c r="H65" s="634" t="str">
        <f>IF($B65="","",'Combination Oven'!M13)</f>
        <v/>
      </c>
      <c r="I65" s="618" t="str">
        <f>IF($B65="","",'Combination Oven'!B13)</f>
        <v/>
      </c>
      <c r="X65" s="618" t="str">
        <f>IF(B65="","",'Combination Oven'!D13)</f>
        <v/>
      </c>
      <c r="Y65" s="618" t="str">
        <f t="shared" si="3"/>
        <v/>
      </c>
      <c r="Z65" s="618" t="str">
        <f>IF(B65="","",'Combination Oven'!F13)</f>
        <v/>
      </c>
      <c r="AC65" s="634">
        <f>IF(Calculations!R72="","", Calculations!R72)</f>
        <v>0.78</v>
      </c>
      <c r="AD65" s="634">
        <f>IF(Calculations!Q72="","", Calculations!Q72)</f>
        <v>350</v>
      </c>
      <c r="AE65" s="634">
        <f>IF(Calculations!S72="","", Calculations!S72)</f>
        <v>95.79</v>
      </c>
      <c r="AH65" s="618" t="str">
        <f>IF(B65="","",'Combination Oven'!I13)</f>
        <v/>
      </c>
      <c r="AI65" s="618" t="str">
        <f>IF(C65="","",'Combination Oven'!H13)</f>
        <v/>
      </c>
      <c r="AJ65" s="629">
        <f>IF(Calculations!$E$52="","", Calculations!$E$52)</f>
        <v>1.863E-4</v>
      </c>
      <c r="AK65" s="629">
        <f>IF(Calculations!$E$53="","", Calculations!$E$53)</f>
        <v>1.192E-4</v>
      </c>
      <c r="AN65" s="634">
        <f>IF(Calculations!V72="","", Calculations!V72)</f>
        <v>0.55000000000000004</v>
      </c>
      <c r="AO65" s="634">
        <f>IF(Calculations!U72="","", Calculations!U72)</f>
        <v>640</v>
      </c>
      <c r="AP65" s="642">
        <f>IF(Calculations!W72="","", Calculations!W72)</f>
        <v>128.11000000000001</v>
      </c>
      <c r="AQ65" s="619" t="str">
        <f xml:space="preserve"> IF($H65="", "",Summary!$C$8)</f>
        <v/>
      </c>
    </row>
    <row r="66" spans="1:43">
      <c r="A66" s="821"/>
      <c r="B66" s="618" t="str">
        <f>IF('Combination Oven'!G14="","",'Combination Oven'!G14)</f>
        <v/>
      </c>
      <c r="C66" s="618" t="str">
        <f>IF($B66="","",Calculations!$F$541)</f>
        <v/>
      </c>
      <c r="D66" s="619" t="str">
        <f>IF($B66="","", Summary!$C$8)</f>
        <v/>
      </c>
      <c r="E66" s="618" t="str">
        <f>IF($B66="","", Summary!$G$2)</f>
        <v/>
      </c>
      <c r="F66" s="629" t="str">
        <f>IF($B66="","",'Combination Oven'!J14)</f>
        <v/>
      </c>
      <c r="G66" s="628" t="str">
        <f>IF($B66="","",'Combination Oven'!K14)</f>
        <v/>
      </c>
      <c r="H66" s="634" t="str">
        <f>IF($B66="","",'Combination Oven'!M14)</f>
        <v/>
      </c>
      <c r="I66" s="618" t="str">
        <f>IF($B66="","",'Combination Oven'!B14)</f>
        <v/>
      </c>
      <c r="X66" s="618" t="str">
        <f>IF(B66="","",'Combination Oven'!D14)</f>
        <v/>
      </c>
      <c r="Y66" s="618" t="str">
        <f t="shared" si="3"/>
        <v/>
      </c>
      <c r="Z66" s="618" t="str">
        <f>IF(B66="","",'Combination Oven'!F14)</f>
        <v/>
      </c>
      <c r="AC66" s="634">
        <f>IF(Calculations!R73="","", Calculations!R73)</f>
        <v>0.78</v>
      </c>
      <c r="AD66" s="634">
        <f>IF(Calculations!Q73="","", Calculations!Q73)</f>
        <v>350</v>
      </c>
      <c r="AE66" s="634">
        <f>IF(Calculations!S73="","", Calculations!S73)</f>
        <v>95.79</v>
      </c>
      <c r="AH66" s="618" t="str">
        <f>IF(B66="","",'Combination Oven'!I14)</f>
        <v/>
      </c>
      <c r="AI66" s="618" t="str">
        <f>IF(C66="","",'Combination Oven'!H14)</f>
        <v/>
      </c>
      <c r="AJ66" s="629">
        <f>IF(Calculations!$E$52="","", Calculations!$E$52)</f>
        <v>1.863E-4</v>
      </c>
      <c r="AK66" s="629">
        <f>IF(Calculations!$E$53="","", Calculations!$E$53)</f>
        <v>1.192E-4</v>
      </c>
      <c r="AN66" s="634">
        <f>IF(Calculations!V73="","", Calculations!V73)</f>
        <v>0.55000000000000004</v>
      </c>
      <c r="AO66" s="634">
        <f>IF(Calculations!U73="","", Calculations!U73)</f>
        <v>640</v>
      </c>
      <c r="AP66" s="642">
        <f>IF(Calculations!W73="","", Calculations!W73)</f>
        <v>128.11000000000001</v>
      </c>
      <c r="AQ66" s="619" t="str">
        <f xml:space="preserve"> IF($H66="", "",Summary!$C$8)</f>
        <v/>
      </c>
    </row>
  </sheetData>
  <mergeCells count="16">
    <mergeCell ref="A47:A50"/>
    <mergeCell ref="A51:A54"/>
    <mergeCell ref="A55:A58"/>
    <mergeCell ref="A59:A62"/>
    <mergeCell ref="A63:A66"/>
    <mergeCell ref="A43:A46"/>
    <mergeCell ref="A3:A6"/>
    <mergeCell ref="A7:A10"/>
    <mergeCell ref="A11:A14"/>
    <mergeCell ref="A15:A18"/>
    <mergeCell ref="A19:A22"/>
    <mergeCell ref="A23:A26"/>
    <mergeCell ref="A27:A30"/>
    <mergeCell ref="A31:A34"/>
    <mergeCell ref="A35:A38"/>
    <mergeCell ref="A39:A42"/>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rgb="FFFF0000"/>
  </sheetPr>
  <dimension ref="A2:J25"/>
  <sheetViews>
    <sheetView zoomScale="90" zoomScaleNormal="90" workbookViewId="0">
      <selection activeCell="E13" sqref="E13"/>
    </sheetView>
  </sheetViews>
  <sheetFormatPr defaultColWidth="8.625" defaultRowHeight="14.25"/>
  <cols>
    <col min="1" max="1" width="3.625" style="10" customWidth="1"/>
    <col min="2" max="2" width="18.125" style="10" bestFit="1" customWidth="1"/>
    <col min="3" max="3" width="11.375" style="10" bestFit="1" customWidth="1"/>
    <col min="4" max="4" width="19.125" style="10" customWidth="1"/>
    <col min="5" max="5" width="52.5" style="13" customWidth="1"/>
    <col min="6" max="6" width="26.625" style="10" customWidth="1"/>
    <col min="7" max="7" width="25.625" style="1" customWidth="1"/>
    <col min="8" max="9" width="8.625" style="1"/>
    <col min="10" max="10" width="11.5" style="1" customWidth="1"/>
    <col min="11" max="16384" width="8.625" style="1"/>
  </cols>
  <sheetData>
    <row r="2" spans="1:10" ht="20.25">
      <c r="B2" s="822" t="s">
        <v>67</v>
      </c>
      <c r="C2" s="822"/>
      <c r="D2" s="822"/>
      <c r="E2" s="822"/>
      <c r="F2" s="822"/>
    </row>
    <row r="4" spans="1:10" ht="15">
      <c r="B4" s="20" t="s">
        <v>351</v>
      </c>
      <c r="C4" s="824" t="s">
        <v>352</v>
      </c>
      <c r="D4" s="824"/>
      <c r="E4" s="21" t="s">
        <v>353</v>
      </c>
      <c r="F4" s="824" t="s">
        <v>354</v>
      </c>
      <c r="G4" s="824"/>
    </row>
    <row r="5" spans="1:10" ht="15">
      <c r="B5" s="20" t="s">
        <v>355</v>
      </c>
      <c r="C5" s="824" t="s">
        <v>356</v>
      </c>
      <c r="D5" s="824"/>
      <c r="E5" s="22" t="s">
        <v>357</v>
      </c>
      <c r="F5" s="823" t="s">
        <v>354</v>
      </c>
      <c r="G5" s="823"/>
      <c r="I5" s="1" t="s">
        <v>358</v>
      </c>
      <c r="J5" s="1" cm="1">
        <f t="array" ref="J5">LOOKUP(2,1/(C:C&lt;&gt;""),C:C)</f>
        <v>5.01</v>
      </c>
    </row>
    <row r="6" spans="1:10" ht="25.5" customHeight="1">
      <c r="I6" s="1" t="s">
        <v>359</v>
      </c>
      <c r="J6" s="133" cm="1">
        <f t="array" ref="J6">LOOKUP(2,1/(D:D&lt;&gt;""),D:D)</f>
        <v>46181</v>
      </c>
    </row>
    <row r="7" spans="1:10" s="15" customFormat="1" ht="15">
      <c r="A7" s="14"/>
      <c r="B7" s="27" t="s">
        <v>130</v>
      </c>
      <c r="C7" s="16" t="s">
        <v>360</v>
      </c>
      <c r="D7" s="17" t="s">
        <v>242</v>
      </c>
      <c r="E7" s="17" t="s">
        <v>361</v>
      </c>
      <c r="F7" s="18" t="s">
        <v>362</v>
      </c>
      <c r="G7" s="19" t="s">
        <v>363</v>
      </c>
    </row>
    <row r="8" spans="1:10" ht="28.5" customHeight="1">
      <c r="B8" s="152"/>
      <c r="C8" s="153">
        <v>5</v>
      </c>
      <c r="D8" s="228">
        <v>46174</v>
      </c>
      <c r="E8" s="228" t="s">
        <v>364</v>
      </c>
      <c r="F8" s="228" t="s">
        <v>364</v>
      </c>
      <c r="G8" s="154" t="s">
        <v>354</v>
      </c>
    </row>
    <row r="9" spans="1:10" ht="27" customHeight="1">
      <c r="B9" s="152"/>
      <c r="C9" s="153">
        <v>5.01</v>
      </c>
      <c r="D9" s="228">
        <v>46181</v>
      </c>
      <c r="E9" s="229" t="s">
        <v>1020</v>
      </c>
      <c r="F9" s="227" t="s">
        <v>1021</v>
      </c>
      <c r="G9" s="154" t="s">
        <v>1022</v>
      </c>
    </row>
    <row r="10" spans="1:10" ht="28.5" customHeight="1">
      <c r="B10" s="152"/>
      <c r="C10" s="153"/>
      <c r="D10" s="228"/>
      <c r="E10" s="229"/>
      <c r="F10" s="227"/>
      <c r="G10" s="154"/>
    </row>
    <row r="11" spans="1:10" ht="28.5" customHeight="1">
      <c r="B11" s="152"/>
      <c r="C11" s="153"/>
      <c r="D11" s="228"/>
      <c r="E11" s="229"/>
      <c r="F11" s="227"/>
      <c r="G11" s="154"/>
    </row>
    <row r="12" spans="1:10" ht="28.5" customHeight="1">
      <c r="B12" s="152"/>
      <c r="C12" s="153"/>
      <c r="D12" s="228"/>
      <c r="E12" s="229"/>
      <c r="F12" s="227"/>
      <c r="G12" s="154"/>
    </row>
    <row r="13" spans="1:10" ht="28.5" customHeight="1">
      <c r="B13" s="152"/>
      <c r="C13" s="153"/>
      <c r="D13" s="228"/>
      <c r="E13" s="229"/>
      <c r="F13" s="227"/>
      <c r="G13" s="154"/>
    </row>
    <row r="14" spans="1:10" ht="28.5" customHeight="1">
      <c r="B14" s="152"/>
      <c r="C14" s="153"/>
      <c r="D14" s="229"/>
      <c r="E14" s="229"/>
      <c r="F14" s="227"/>
      <c r="G14" s="154"/>
    </row>
    <row r="15" spans="1:10" ht="28.5" customHeight="1">
      <c r="B15" s="152"/>
      <c r="C15" s="153"/>
      <c r="D15" s="228"/>
      <c r="E15" s="229"/>
      <c r="F15" s="227"/>
      <c r="G15" s="154"/>
    </row>
    <row r="16" spans="1:10" ht="28.5" customHeight="1">
      <c r="B16" s="152"/>
      <c r="C16" s="153"/>
      <c r="D16" s="228"/>
      <c r="E16" s="229"/>
      <c r="F16" s="227"/>
      <c r="G16" s="154"/>
    </row>
    <row r="17" spans="2:7" ht="28.5" customHeight="1">
      <c r="B17" s="159"/>
      <c r="C17" s="153"/>
      <c r="D17" s="228"/>
      <c r="E17" s="229"/>
      <c r="F17" s="227"/>
      <c r="G17" s="154"/>
    </row>
    <row r="18" spans="2:7" ht="28.5" customHeight="1">
      <c r="B18" s="159"/>
      <c r="C18" s="153"/>
      <c r="D18" s="228"/>
      <c r="E18" s="229"/>
      <c r="F18" s="227"/>
      <c r="G18" s="154"/>
    </row>
    <row r="19" spans="2:7" ht="45" customHeight="1">
      <c r="B19" s="159"/>
      <c r="C19" s="153"/>
      <c r="D19" s="228"/>
      <c r="E19" s="227"/>
      <c r="F19" s="227"/>
      <c r="G19" s="156"/>
    </row>
    <row r="20" spans="2:7" ht="135" customHeight="1">
      <c r="B20" s="159"/>
      <c r="C20" s="153"/>
      <c r="D20" s="228"/>
      <c r="F20" s="227"/>
      <c r="G20" s="154"/>
    </row>
    <row r="21" spans="2:7" ht="28.5" customHeight="1">
      <c r="B21" s="155"/>
      <c r="C21" s="153"/>
      <c r="D21" s="228"/>
      <c r="E21" s="229"/>
      <c r="F21" s="227"/>
      <c r="G21" s="154"/>
    </row>
    <row r="22" spans="2:7" ht="28.5" customHeight="1">
      <c r="B22" s="155"/>
      <c r="C22" s="153"/>
      <c r="D22" s="228"/>
      <c r="E22" s="229"/>
      <c r="F22" s="227"/>
      <c r="G22" s="154"/>
    </row>
    <row r="23" spans="2:7" ht="28.5" customHeight="1">
      <c r="B23" s="155"/>
      <c r="C23" s="153"/>
      <c r="D23" s="228"/>
      <c r="E23" s="229"/>
      <c r="F23" s="227"/>
      <c r="G23" s="154"/>
    </row>
    <row r="24" spans="2:7" ht="28.5" customHeight="1">
      <c r="B24" s="134"/>
      <c r="C24" s="135"/>
      <c r="D24" s="168"/>
      <c r="E24" s="136"/>
      <c r="F24" s="137"/>
      <c r="G24" s="154"/>
    </row>
    <row r="25" spans="2:7">
      <c r="B25" s="11"/>
      <c r="C25" s="11"/>
      <c r="D25" s="11"/>
      <c r="E25" s="12"/>
      <c r="F25" s="11"/>
    </row>
  </sheetData>
  <mergeCells count="5">
    <mergeCell ref="B2:F2"/>
    <mergeCell ref="F5:G5"/>
    <mergeCell ref="F4:G4"/>
    <mergeCell ref="C5:D5"/>
    <mergeCell ref="C4: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0" tint="-0.14999847407452621"/>
  </sheetPr>
  <dimension ref="B1:CQ560"/>
  <sheetViews>
    <sheetView showGridLines="0" topLeftCell="J95" zoomScale="80" zoomScaleNormal="80" workbookViewId="0">
      <selection activeCell="M118" sqref="M118"/>
    </sheetView>
  </sheetViews>
  <sheetFormatPr defaultColWidth="8.625" defaultRowHeight="14.25"/>
  <cols>
    <col min="1" max="1" width="3.625" style="6" customWidth="1"/>
    <col min="2" max="2" width="59" style="1" customWidth="1"/>
    <col min="3" max="3" width="48" style="1" customWidth="1"/>
    <col min="4" max="4" width="79.625" style="1" customWidth="1"/>
    <col min="5" max="5" width="33.375" style="1" customWidth="1"/>
    <col min="6" max="6" width="42.375" style="1" customWidth="1"/>
    <col min="7" max="7" width="41.375" style="1" customWidth="1"/>
    <col min="8" max="8" width="32.875" style="1" customWidth="1"/>
    <col min="9" max="9" width="25.125" style="1" customWidth="1"/>
    <col min="10" max="10" width="33.625" style="1" customWidth="1"/>
    <col min="11" max="11" width="32" style="1" customWidth="1"/>
    <col min="12" max="12" width="33.625" style="1" customWidth="1"/>
    <col min="13" max="13" width="26.125" style="1" customWidth="1"/>
    <col min="14" max="14" width="36.875" style="1" customWidth="1"/>
    <col min="15" max="15" width="35.875" style="1" customWidth="1"/>
    <col min="16" max="16" width="25.375" style="1" customWidth="1"/>
    <col min="17" max="17" width="26.375" style="1" customWidth="1"/>
    <col min="18" max="18" width="22.125" style="1" customWidth="1"/>
    <col min="19" max="19" width="18.625" style="1" customWidth="1"/>
    <col min="20" max="20" width="27" style="1" customWidth="1"/>
    <col min="21" max="21" width="23.875" style="1" customWidth="1"/>
    <col min="22" max="22" width="22" style="1" customWidth="1"/>
    <col min="23" max="23" width="21.875" style="1" customWidth="1"/>
    <col min="24" max="24" width="21.125" style="143" customWidth="1"/>
    <col min="25" max="25" width="11.625" style="6" customWidth="1"/>
    <col min="26" max="26" width="10.5" style="6" bestFit="1" customWidth="1"/>
    <col min="27" max="27" width="10.375" style="6" bestFit="1" customWidth="1"/>
    <col min="28" max="16384" width="8.625" style="6"/>
  </cols>
  <sheetData>
    <row r="1" spans="2:25" ht="18.600000000000001" customHeight="1"/>
    <row r="2" spans="2:25" s="26" customFormat="1" ht="18.600000000000001" customHeight="1" thickBot="1">
      <c r="B2" s="832" t="s">
        <v>365</v>
      </c>
      <c r="C2" s="832"/>
      <c r="D2" s="832"/>
      <c r="E2" s="832"/>
      <c r="F2" s="832"/>
      <c r="G2" s="832"/>
      <c r="H2" s="832"/>
      <c r="I2" s="832"/>
      <c r="J2" s="832"/>
      <c r="K2" s="15"/>
      <c r="L2" s="15"/>
      <c r="M2" s="15"/>
      <c r="N2" s="15"/>
      <c r="O2" s="15"/>
      <c r="P2" s="15"/>
      <c r="Q2" s="15"/>
      <c r="R2" s="15"/>
      <c r="S2" s="15"/>
      <c r="T2" s="15"/>
      <c r="U2" s="15"/>
      <c r="V2" s="15"/>
      <c r="W2" s="15"/>
      <c r="X2" s="149"/>
    </row>
    <row r="3" spans="2:25" ht="18">
      <c r="B3" s="7" t="s">
        <v>366</v>
      </c>
      <c r="F3" s="7" t="s">
        <v>367</v>
      </c>
      <c r="S3" s="6"/>
      <c r="T3" s="6"/>
      <c r="U3" s="6"/>
      <c r="V3" s="6"/>
      <c r="W3" s="6"/>
      <c r="X3" s="6"/>
      <c r="Y3" s="143"/>
    </row>
    <row r="4" spans="2:25" ht="16.5">
      <c r="B4" s="224" t="s">
        <v>368</v>
      </c>
      <c r="C4" s="224">
        <v>0.16700000000000001</v>
      </c>
      <c r="D4" s="224" t="s">
        <v>369</v>
      </c>
      <c r="F4" s="230" t="s">
        <v>370</v>
      </c>
      <c r="G4" s="466" t="s">
        <v>371</v>
      </c>
      <c r="H4" s="466" t="s">
        <v>372</v>
      </c>
      <c r="I4" s="466" t="s">
        <v>373</v>
      </c>
      <c r="J4" s="466" t="s">
        <v>374</v>
      </c>
      <c r="S4" s="6"/>
      <c r="U4" s="6"/>
      <c r="V4" s="6"/>
      <c r="W4" s="6"/>
      <c r="X4" s="6"/>
      <c r="Y4" s="143"/>
    </row>
    <row r="5" spans="2:25" ht="15">
      <c r="B5" s="224" t="s">
        <v>375</v>
      </c>
      <c r="C5" s="224">
        <v>150</v>
      </c>
      <c r="D5" s="224" t="s">
        <v>376</v>
      </c>
      <c r="F5" s="230" t="s">
        <v>207</v>
      </c>
      <c r="G5" s="224">
        <v>16</v>
      </c>
      <c r="H5" s="224">
        <v>0.8</v>
      </c>
      <c r="I5" s="467">
        <v>0.83</v>
      </c>
      <c r="J5" s="224">
        <v>70</v>
      </c>
      <c r="S5" s="6"/>
      <c r="U5" s="6"/>
      <c r="V5" s="6"/>
      <c r="W5" s="6"/>
      <c r="X5" s="6"/>
      <c r="Y5" s="143"/>
    </row>
    <row r="6" spans="2:25" ht="15">
      <c r="B6" s="224" t="s">
        <v>377</v>
      </c>
      <c r="C6" s="224">
        <v>365</v>
      </c>
      <c r="D6" s="224" t="s">
        <v>378</v>
      </c>
      <c r="F6" s="230" t="s">
        <v>209</v>
      </c>
      <c r="G6" s="224">
        <v>12</v>
      </c>
      <c r="H6" s="224">
        <v>1.1000000000000001</v>
      </c>
      <c r="I6" s="467">
        <v>0.8</v>
      </c>
      <c r="J6" s="224">
        <v>110</v>
      </c>
      <c r="S6" s="6"/>
      <c r="U6" s="6"/>
      <c r="V6" s="6"/>
      <c r="W6" s="6"/>
      <c r="X6" s="6"/>
      <c r="Y6" s="143"/>
    </row>
    <row r="7" spans="2:25" ht="22.5" customHeight="1">
      <c r="B7" s="231" t="s">
        <v>379</v>
      </c>
      <c r="C7" s="224">
        <v>1.863E-4</v>
      </c>
      <c r="D7" s="224" t="s">
        <v>380</v>
      </c>
      <c r="S7" s="6"/>
      <c r="U7" s="6"/>
      <c r="V7" s="6"/>
      <c r="W7" s="6"/>
      <c r="X7" s="6"/>
      <c r="Y7" s="143"/>
    </row>
    <row r="8" spans="2:25" ht="19.5">
      <c r="B8" s="231" t="s">
        <v>381</v>
      </c>
      <c r="C8" s="224">
        <v>1.192E-4</v>
      </c>
      <c r="D8" s="224" t="s">
        <v>380</v>
      </c>
      <c r="S8" s="6"/>
      <c r="U8" s="6"/>
      <c r="V8" s="6"/>
      <c r="W8" s="6"/>
      <c r="X8" s="6"/>
      <c r="Y8" s="143"/>
    </row>
    <row r="9" spans="2:25">
      <c r="S9" s="6"/>
      <c r="U9" s="6"/>
      <c r="V9" s="6"/>
      <c r="W9" s="6"/>
      <c r="X9" s="6"/>
      <c r="Y9" s="143"/>
    </row>
    <row r="10" spans="2:25">
      <c r="S10" s="6"/>
      <c r="U10" s="6"/>
      <c r="V10" s="6"/>
      <c r="W10" s="6"/>
      <c r="X10" s="6"/>
      <c r="Y10" s="143"/>
    </row>
    <row r="12" spans="2:25" ht="18">
      <c r="B12" s="7" t="s">
        <v>382</v>
      </c>
    </row>
    <row r="13" spans="2:25" ht="15">
      <c r="B13" s="825" t="s">
        <v>383</v>
      </c>
      <c r="C13" s="825" t="s">
        <v>384</v>
      </c>
      <c r="D13" s="835" t="s">
        <v>385</v>
      </c>
      <c r="E13" s="835"/>
      <c r="F13" s="835"/>
      <c r="G13" s="835"/>
      <c r="H13" s="835"/>
      <c r="I13" s="835"/>
      <c r="J13" s="835" t="s">
        <v>386</v>
      </c>
      <c r="K13" s="835"/>
      <c r="L13" s="835"/>
      <c r="M13" s="835"/>
      <c r="N13" s="835"/>
      <c r="O13" s="835"/>
      <c r="P13" s="834" t="s">
        <v>387</v>
      </c>
      <c r="Q13" s="834" t="s">
        <v>388</v>
      </c>
      <c r="R13" s="834" t="s">
        <v>121</v>
      </c>
      <c r="S13" s="833" t="s">
        <v>123</v>
      </c>
    </row>
    <row r="14" spans="2:25">
      <c r="B14" s="825"/>
      <c r="C14" s="825"/>
      <c r="D14" s="232" t="s">
        <v>372</v>
      </c>
      <c r="E14" s="232" t="s">
        <v>373</v>
      </c>
      <c r="F14" s="232" t="s">
        <v>374</v>
      </c>
      <c r="G14" s="232" t="s">
        <v>389</v>
      </c>
      <c r="H14" s="232" t="s">
        <v>390</v>
      </c>
      <c r="I14" s="232" t="s">
        <v>391</v>
      </c>
      <c r="J14" s="232" t="s">
        <v>372</v>
      </c>
      <c r="K14" s="232" t="s">
        <v>373</v>
      </c>
      <c r="L14" s="232" t="s">
        <v>374</v>
      </c>
      <c r="M14" s="232" t="s">
        <v>389</v>
      </c>
      <c r="N14" s="232" t="s">
        <v>390</v>
      </c>
      <c r="O14" s="232" t="s">
        <v>391</v>
      </c>
      <c r="P14" s="834"/>
      <c r="Q14" s="834"/>
      <c r="R14" s="834"/>
      <c r="S14" s="833"/>
    </row>
    <row r="15" spans="2:25">
      <c r="B15" s="463" t="str">
        <f>IF('Commercial Fryer'!H7="","",'Commercial Fryer'!H7)</f>
        <v/>
      </c>
      <c r="C15" s="463" t="str">
        <f>IF('Commercial Fryer'!G7="","",'Commercial Fryer'!G7)</f>
        <v/>
      </c>
      <c r="D15" s="243" t="e">
        <f>VLOOKUP($C15,$F$5:$H$6,3,FALSE)</f>
        <v>#N/A</v>
      </c>
      <c r="E15" s="244" t="e">
        <f>VLOOKUP($C15,$F$5:$I$6,4,FALSE)</f>
        <v>#N/A</v>
      </c>
      <c r="F15" s="464" t="e">
        <f>VLOOKUP($C15,$F$5:$J$6,5,FALSE)</f>
        <v>#N/A</v>
      </c>
      <c r="G15" s="243" t="e">
        <f>D15*(VLOOKUP($C15,$F$5:$J$6,2,FALSE)-($C$5/F15))</f>
        <v>#N/A</v>
      </c>
      <c r="H15" s="243" t="e">
        <f>$C$5*($C$4/E15)</f>
        <v>#N/A</v>
      </c>
      <c r="I15" s="243" t="e">
        <f>(H15+G15)*$C$6</f>
        <v>#N/A</v>
      </c>
      <c r="J15" s="243" t="str">
        <f>IF('Commercial Fryer'!E7="","",'Commercial Fryer'!E7)</f>
        <v/>
      </c>
      <c r="K15" s="244" t="str">
        <f>IF(C15="Standard",IF('Commercial Fryer'!F7&lt;0.83," ",IF('Commercial Fryer'!F7="","",'Commercial Fryer'!F7)), IF('Commercial Fryer'!F7&lt;0.8," ",IF('Commercial Fryer'!F7="","",'Commercial Fryer'!F7)))</f>
        <v xml:space="preserve"> </v>
      </c>
      <c r="L15" s="464" t="e">
        <f>VLOOKUP($C15,$F$5:$J$6,5,FALSE)</f>
        <v>#N/A</v>
      </c>
      <c r="M15" s="243" t="e">
        <f>J15*(VLOOKUP($C15,$F$5:$J$6,2,FALSE)-($C$5/L15))</f>
        <v>#VALUE!</v>
      </c>
      <c r="N15" s="243" t="e">
        <f>$C$5*($C$4/K15)</f>
        <v>#VALUE!</v>
      </c>
      <c r="O15" s="243" t="e">
        <f>(N15+M15)*$C$6</f>
        <v>#VALUE!</v>
      </c>
      <c r="P15" s="465">
        <f>$C$7*S15</f>
        <v>0</v>
      </c>
      <c r="Q15" s="465">
        <f>$C$8*S15</f>
        <v>0</v>
      </c>
      <c r="R15" s="465">
        <f>IFERROR(ROUND(AVERAGE(P15,Q15),4),0)</f>
        <v>0</v>
      </c>
      <c r="S15" s="243">
        <f>IFERROR(IF(B15="",0,(I15-O15)*B15), 0)</f>
        <v>0</v>
      </c>
    </row>
    <row r="16" spans="2:25">
      <c r="B16" s="463" t="str">
        <f>IF('Commercial Fryer'!H8="","",'Commercial Fryer'!H8)</f>
        <v/>
      </c>
      <c r="C16" s="463" t="str">
        <f>IF('Commercial Fryer'!G8="","",'Commercial Fryer'!G8)</f>
        <v/>
      </c>
      <c r="D16" s="243" t="e">
        <f>VLOOKUP($C16,$F$5:$H$6,3,FALSE)</f>
        <v>#N/A</v>
      </c>
      <c r="E16" s="244" t="e">
        <f>VLOOKUP($C16,$F$5:$I$6,4,FALSE)</f>
        <v>#N/A</v>
      </c>
      <c r="F16" s="464" t="e">
        <f>VLOOKUP($C16,$F$5:$J$6,5,FALSE)</f>
        <v>#N/A</v>
      </c>
      <c r="G16" s="243" t="e">
        <f>D16*(VLOOKUP($C16,$F$5:$J$6,2,FALSE)-($C$5/F16))</f>
        <v>#N/A</v>
      </c>
      <c r="H16" s="243" t="e">
        <f>$C$5*($C$4/E16)</f>
        <v>#N/A</v>
      </c>
      <c r="I16" s="243" t="e">
        <f>(H16+G16)*$C$6</f>
        <v>#N/A</v>
      </c>
      <c r="J16" s="243" t="str">
        <f>IF('Commercial Fryer'!E8="","",'Commercial Fryer'!E8)</f>
        <v/>
      </c>
      <c r="K16" s="244" t="str">
        <f>IF(C16="Standard",IF('Commercial Fryer'!F8&lt;0.83," ",IF('Commercial Fryer'!F8="","",'Commercial Fryer'!F8)), IF('Commercial Fryer'!F8&lt;0.8," ",IF('Commercial Fryer'!F8="","",'Commercial Fryer'!F8)))</f>
        <v xml:space="preserve"> </v>
      </c>
      <c r="L16" s="464" t="e">
        <f>VLOOKUP($C16,$F$5:$J$6,5,FALSE)</f>
        <v>#N/A</v>
      </c>
      <c r="M16" s="243" t="e">
        <f>J16*(VLOOKUP($C16,$F$5:$J$6,2,FALSE)-($C$5/L16))</f>
        <v>#VALUE!</v>
      </c>
      <c r="N16" s="243" t="e">
        <f>$C$5*($C$4/K16)</f>
        <v>#VALUE!</v>
      </c>
      <c r="O16" s="243" t="e">
        <f>(N16+M16)*$C$6</f>
        <v>#VALUE!</v>
      </c>
      <c r="P16" s="465">
        <f>$C$7*S16</f>
        <v>0</v>
      </c>
      <c r="Q16" s="465">
        <f>$C$8*S16</f>
        <v>0</v>
      </c>
      <c r="R16" s="465">
        <f t="shared" ref="R16:R18" si="0">IFERROR(ROUND(AVERAGE(P16,Q16),4),0)</f>
        <v>0</v>
      </c>
      <c r="S16" s="243">
        <f>IFERROR(IF(B16="",0,(I16-O16)*B16), 0)</f>
        <v>0</v>
      </c>
    </row>
    <row r="17" spans="2:24">
      <c r="B17" s="463" t="str">
        <f>IF('Commercial Fryer'!H9="","",'Commercial Fryer'!H9)</f>
        <v/>
      </c>
      <c r="C17" s="463" t="str">
        <f>IF('Commercial Fryer'!G9="","",'Commercial Fryer'!G9)</f>
        <v/>
      </c>
      <c r="D17" s="243" t="e">
        <f>VLOOKUP($C17,$F$5:$H$6,3,FALSE)</f>
        <v>#N/A</v>
      </c>
      <c r="E17" s="244" t="e">
        <f>VLOOKUP($C17,$F$5:$I$6,4,FALSE)</f>
        <v>#N/A</v>
      </c>
      <c r="F17" s="464" t="e">
        <f>VLOOKUP($C17,$F$5:$J$6,5,FALSE)</f>
        <v>#N/A</v>
      </c>
      <c r="G17" s="243" t="e">
        <f>D17*(VLOOKUP($C17,$F$5:$J$6,2,FALSE)-($C$5/F17))</f>
        <v>#N/A</v>
      </c>
      <c r="H17" s="243" t="e">
        <f>$C$5*($C$4/E17)</f>
        <v>#N/A</v>
      </c>
      <c r="I17" s="243" t="e">
        <f>(H17+G17)*$C$6</f>
        <v>#N/A</v>
      </c>
      <c r="J17" s="243" t="str">
        <f>IF('Commercial Fryer'!E9="","",'Commercial Fryer'!E9)</f>
        <v/>
      </c>
      <c r="K17" s="244" t="str">
        <f>IF(C17="Standard",IF('Commercial Fryer'!F9&lt;0.83," ",IF('Commercial Fryer'!F9="","",'Commercial Fryer'!F9)), IF('Commercial Fryer'!F9&lt;0.8," ",IF('Commercial Fryer'!F9="","",'Commercial Fryer'!F9)))</f>
        <v xml:space="preserve"> </v>
      </c>
      <c r="L17" s="464" t="e">
        <f>VLOOKUP($C17,$F$5:$J$6,5,FALSE)</f>
        <v>#N/A</v>
      </c>
      <c r="M17" s="243" t="e">
        <f>J17*(VLOOKUP($C17,$F$5:$J$6,2,FALSE)-($C$5/L17))</f>
        <v>#VALUE!</v>
      </c>
      <c r="N17" s="243" t="e">
        <f>$C$5*($C$4/K17)</f>
        <v>#VALUE!</v>
      </c>
      <c r="O17" s="243" t="e">
        <f>(N17+M17)*$C$6</f>
        <v>#VALUE!</v>
      </c>
      <c r="P17" s="465">
        <f>$C$7*S17</f>
        <v>0</v>
      </c>
      <c r="Q17" s="465">
        <f>$C$8*S17</f>
        <v>0</v>
      </c>
      <c r="R17" s="465">
        <f t="shared" si="0"/>
        <v>0</v>
      </c>
      <c r="S17" s="243">
        <f>IFERROR(IF(B17="",0,(I17-O17)*B17), 0)</f>
        <v>0</v>
      </c>
    </row>
    <row r="18" spans="2:24">
      <c r="B18" s="463" t="str">
        <f>IF('Commercial Fryer'!H10="","",'Commercial Fryer'!H10)</f>
        <v/>
      </c>
      <c r="C18" s="463" t="str">
        <f>IF('Commercial Fryer'!G10="","",'Commercial Fryer'!G10)</f>
        <v/>
      </c>
      <c r="D18" s="243" t="e">
        <f>VLOOKUP($C18,$F$5:$H$6,3,FALSE)</f>
        <v>#N/A</v>
      </c>
      <c r="E18" s="244" t="e">
        <f>VLOOKUP($C18,$F$5:$I$6,4,FALSE)</f>
        <v>#N/A</v>
      </c>
      <c r="F18" s="464" t="e">
        <f>VLOOKUP($C18,$F$5:$J$6,5,FALSE)</f>
        <v>#N/A</v>
      </c>
      <c r="G18" s="243" t="e">
        <f>D18*(VLOOKUP($C18,$F$5:$J$6,2,FALSE)-($C$5/F18))</f>
        <v>#N/A</v>
      </c>
      <c r="H18" s="243" t="e">
        <f>$C$5*($C$4/E18)</f>
        <v>#N/A</v>
      </c>
      <c r="I18" s="243" t="e">
        <f>(H18+G18)*$C$6</f>
        <v>#N/A</v>
      </c>
      <c r="J18" s="243" t="str">
        <f>IF('Commercial Fryer'!E10="","",'Commercial Fryer'!E10)</f>
        <v/>
      </c>
      <c r="K18" s="244" t="str">
        <f>IF(C18="Standard",IF('Commercial Fryer'!F10&lt;0.83," ",IF('Commercial Fryer'!F10="","",'Commercial Fryer'!F10)), IF('Commercial Fryer'!F10&lt;0.8," ",IF('Commercial Fryer'!F10="","",'Commercial Fryer'!F10)))</f>
        <v xml:space="preserve"> </v>
      </c>
      <c r="L18" s="464" t="e">
        <f>VLOOKUP($C18,$F$5:$J$6,5,FALSE)</f>
        <v>#N/A</v>
      </c>
      <c r="M18" s="243" t="e">
        <f>J18*(VLOOKUP($C18,$F$5:$J$6,2,FALSE)-($C$5/L18))</f>
        <v>#VALUE!</v>
      </c>
      <c r="N18" s="243" t="e">
        <f>$C$5*($C$4/K18)</f>
        <v>#VALUE!</v>
      </c>
      <c r="O18" s="243" t="e">
        <f>(N18+M18)*$C$6</f>
        <v>#VALUE!</v>
      </c>
      <c r="P18" s="465">
        <f>$C$7*S18</f>
        <v>0</v>
      </c>
      <c r="Q18" s="465">
        <f>$C$8*S18</f>
        <v>0</v>
      </c>
      <c r="R18" s="465">
        <f t="shared" si="0"/>
        <v>0</v>
      </c>
      <c r="S18" s="243">
        <f>IFERROR(IF(B18="",0,(I18-O18)*B18), 0)</f>
        <v>0</v>
      </c>
    </row>
    <row r="20" spans="2:24">
      <c r="R20" s="6"/>
      <c r="S20" s="6"/>
      <c r="T20" s="6"/>
      <c r="U20" s="6"/>
      <c r="V20" s="6"/>
      <c r="W20" s="6"/>
    </row>
    <row r="21" spans="2:24">
      <c r="T21" s="6"/>
      <c r="V21" s="6"/>
      <c r="W21" s="6"/>
    </row>
    <row r="22" spans="2:24">
      <c r="R22" s="6"/>
      <c r="T22" s="6"/>
      <c r="U22" s="6"/>
      <c r="V22" s="6"/>
      <c r="W22" s="6"/>
    </row>
    <row r="23" spans="2:24" ht="18.75" thickBot="1">
      <c r="B23" s="832" t="s">
        <v>392</v>
      </c>
      <c r="C23" s="832"/>
      <c r="D23" s="832"/>
      <c r="E23" s="832"/>
      <c r="F23" s="832"/>
      <c r="G23" s="832"/>
      <c r="H23" s="832"/>
      <c r="I23" s="832"/>
      <c r="J23" s="832"/>
      <c r="K23" s="15"/>
      <c r="L23" s="15"/>
      <c r="R23" s="6"/>
      <c r="T23" s="6"/>
      <c r="U23" s="6"/>
      <c r="V23" s="6"/>
      <c r="W23" s="6"/>
    </row>
    <row r="24" spans="2:24" ht="18">
      <c r="B24" s="7" t="s">
        <v>393</v>
      </c>
      <c r="E24" s="7"/>
      <c r="G24" s="1" t="s">
        <v>366</v>
      </c>
    </row>
    <row r="25" spans="2:24">
      <c r="B25" s="233" t="s">
        <v>112</v>
      </c>
      <c r="C25" s="233" t="s">
        <v>123</v>
      </c>
      <c r="D25" s="157" t="s">
        <v>394</v>
      </c>
      <c r="E25" s="233" t="s">
        <v>395</v>
      </c>
      <c r="G25" s="234" t="s">
        <v>396</v>
      </c>
      <c r="H25" s="234">
        <v>12</v>
      </c>
      <c r="I25" s="234"/>
      <c r="P25" s="6"/>
      <c r="Q25" s="6"/>
      <c r="R25" s="6"/>
      <c r="S25" s="6"/>
      <c r="T25" s="6"/>
      <c r="U25" s="6"/>
      <c r="V25" s="6"/>
      <c r="W25" s="6"/>
    </row>
    <row r="26" spans="2:24" s="9" customFormat="1" ht="15.75" customHeight="1">
      <c r="B26" s="234" t="s">
        <v>397</v>
      </c>
      <c r="C26" s="233">
        <v>0</v>
      </c>
      <c r="D26" s="157">
        <v>0</v>
      </c>
      <c r="E26" s="233">
        <v>0</v>
      </c>
      <c r="F26" s="1"/>
      <c r="G26" s="233" t="s">
        <v>377</v>
      </c>
      <c r="H26" s="234">
        <v>365</v>
      </c>
      <c r="I26" s="233"/>
      <c r="X26" s="150"/>
    </row>
    <row r="27" spans="2:24" s="9" customFormat="1" ht="18.75" customHeight="1">
      <c r="B27" s="234" t="s">
        <v>398</v>
      </c>
      <c r="C27" s="233">
        <v>2632</v>
      </c>
      <c r="D27" s="157">
        <v>0.49</v>
      </c>
      <c r="E27" s="233">
        <v>0.314</v>
      </c>
      <c r="F27" s="143"/>
      <c r="G27" s="234" t="s">
        <v>368</v>
      </c>
      <c r="H27" s="234">
        <v>7.3200000000000001E-2</v>
      </c>
      <c r="I27" s="234" t="s">
        <v>369</v>
      </c>
      <c r="X27" s="150"/>
    </row>
    <row r="28" spans="2:24">
      <c r="B28" s="234" t="s">
        <v>399</v>
      </c>
      <c r="C28" s="233">
        <v>1042</v>
      </c>
      <c r="D28" s="157">
        <v>0.19400000000000001</v>
      </c>
      <c r="E28" s="233">
        <v>0.124</v>
      </c>
      <c r="G28" s="233" t="s">
        <v>376</v>
      </c>
      <c r="H28" s="234">
        <v>100</v>
      </c>
      <c r="I28" s="233" t="s">
        <v>400</v>
      </c>
      <c r="P28" s="6"/>
      <c r="Q28" s="6"/>
      <c r="R28" s="6"/>
      <c r="S28" s="6"/>
      <c r="T28" s="6"/>
      <c r="U28" s="6"/>
      <c r="V28" s="6"/>
      <c r="W28" s="6"/>
    </row>
    <row r="29" spans="2:24">
      <c r="B29" s="143"/>
      <c r="C29" s="143"/>
      <c r="D29" s="143"/>
      <c r="E29" s="143"/>
      <c r="F29" s="143"/>
      <c r="G29" s="234" t="s">
        <v>401</v>
      </c>
      <c r="H29" s="233">
        <v>1.863E-4</v>
      </c>
      <c r="I29" s="234" t="s">
        <v>380</v>
      </c>
      <c r="P29" s="6"/>
      <c r="Q29" s="6"/>
      <c r="R29" s="6"/>
      <c r="S29" s="6"/>
      <c r="T29" s="6"/>
      <c r="U29" s="6"/>
      <c r="V29" s="6"/>
      <c r="W29" s="6"/>
    </row>
    <row r="30" spans="2:24">
      <c r="B30" s="143"/>
      <c r="C30" s="143"/>
      <c r="D30" s="143"/>
      <c r="E30" s="143"/>
      <c r="F30" s="143"/>
      <c r="G30" s="234" t="s">
        <v>402</v>
      </c>
      <c r="H30" s="233">
        <v>1.192E-4</v>
      </c>
      <c r="I30" s="234" t="s">
        <v>380</v>
      </c>
      <c r="P30" s="6"/>
      <c r="Q30" s="6"/>
      <c r="R30" s="6"/>
      <c r="S30" s="6"/>
      <c r="T30" s="6"/>
      <c r="U30" s="6"/>
      <c r="V30" s="6"/>
      <c r="W30" s="6"/>
    </row>
    <row r="31" spans="2:24" ht="18">
      <c r="B31" s="7" t="s">
        <v>403</v>
      </c>
      <c r="F31" s="6"/>
      <c r="G31" s="7" t="s">
        <v>404</v>
      </c>
      <c r="J31" s="143"/>
      <c r="P31" s="6"/>
      <c r="Q31" s="6"/>
      <c r="R31" s="6"/>
      <c r="S31" s="6"/>
      <c r="T31" s="6"/>
      <c r="U31" s="6"/>
      <c r="V31" s="6"/>
      <c r="W31" s="6"/>
    </row>
    <row r="32" spans="2:24" ht="15">
      <c r="B32" s="235" t="s">
        <v>405</v>
      </c>
      <c r="C32" s="235" t="s">
        <v>372</v>
      </c>
      <c r="D32" s="236" t="s">
        <v>406</v>
      </c>
      <c r="E32" s="236" t="s">
        <v>407</v>
      </c>
      <c r="G32" s="235" t="s">
        <v>405</v>
      </c>
      <c r="H32" s="235" t="s">
        <v>372</v>
      </c>
      <c r="I32" s="236" t="s">
        <v>408</v>
      </c>
      <c r="J32" s="236" t="s">
        <v>409</v>
      </c>
      <c r="P32" s="6"/>
      <c r="Q32" s="6"/>
      <c r="R32" s="6"/>
      <c r="S32" s="6"/>
      <c r="T32" s="6"/>
      <c r="U32" s="6"/>
      <c r="V32" s="6"/>
      <c r="W32" s="6"/>
    </row>
    <row r="33" spans="2:38">
      <c r="B33" s="233" t="s">
        <v>397</v>
      </c>
      <c r="C33" s="468">
        <v>1</v>
      </c>
      <c r="D33" s="467">
        <v>0.71</v>
      </c>
      <c r="E33" s="224">
        <v>50</v>
      </c>
      <c r="G33" s="234" t="s">
        <v>397</v>
      </c>
      <c r="H33" s="237">
        <v>1</v>
      </c>
      <c r="I33" s="238">
        <v>0.71</v>
      </c>
      <c r="J33" s="239">
        <v>50</v>
      </c>
      <c r="P33" s="6"/>
      <c r="Q33" s="6"/>
      <c r="R33" s="6"/>
      <c r="S33" s="6"/>
      <c r="T33" s="6"/>
      <c r="U33" s="6"/>
      <c r="V33" s="6"/>
      <c r="W33" s="6"/>
    </row>
    <row r="34" spans="2:38">
      <c r="B34" s="240" t="s">
        <v>398</v>
      </c>
      <c r="C34" s="468">
        <v>1.6</v>
      </c>
      <c r="D34" s="467">
        <v>0.71</v>
      </c>
      <c r="E34" s="224">
        <v>90</v>
      </c>
      <c r="G34" s="241" t="s">
        <v>398</v>
      </c>
      <c r="H34" s="237">
        <v>1</v>
      </c>
      <c r="I34" s="238">
        <v>0.76</v>
      </c>
      <c r="J34" s="239">
        <v>90</v>
      </c>
      <c r="P34" s="6"/>
      <c r="Q34" s="6"/>
      <c r="R34" s="6"/>
      <c r="S34" s="6"/>
      <c r="T34" s="6"/>
      <c r="U34" s="6"/>
      <c r="V34" s="6"/>
      <c r="W34" s="6"/>
    </row>
    <row r="35" spans="2:38">
      <c r="B35" s="233" t="s">
        <v>399</v>
      </c>
      <c r="C35" s="468">
        <v>1.6</v>
      </c>
      <c r="D35" s="467">
        <v>0.71</v>
      </c>
      <c r="E35" s="224">
        <v>90</v>
      </c>
      <c r="G35" s="234" t="s">
        <v>399</v>
      </c>
      <c r="H35" s="237">
        <v>1.4</v>
      </c>
      <c r="I35" s="238">
        <v>0.76</v>
      </c>
      <c r="J35" s="239">
        <v>90</v>
      </c>
      <c r="P35" s="6"/>
      <c r="Q35" s="6"/>
      <c r="R35" s="6"/>
      <c r="S35" s="6"/>
      <c r="T35" s="6"/>
      <c r="U35" s="6"/>
      <c r="V35" s="6"/>
      <c r="W35" s="6"/>
    </row>
    <row r="36" spans="2:38">
      <c r="B36" s="141"/>
      <c r="C36"/>
      <c r="D36" s="140"/>
      <c r="E36" s="142"/>
      <c r="G36" s="141"/>
      <c r="H36"/>
      <c r="I36"/>
      <c r="J36" s="140"/>
      <c r="P36" s="6"/>
      <c r="Q36" s="6"/>
      <c r="R36" s="6"/>
      <c r="S36" s="6"/>
      <c r="T36" s="6"/>
      <c r="U36" s="6"/>
      <c r="V36" s="6"/>
      <c r="W36" s="6"/>
    </row>
    <row r="37" spans="2:38" ht="18">
      <c r="B37" s="7" t="s">
        <v>382</v>
      </c>
      <c r="K37"/>
      <c r="L37"/>
      <c r="Y37" s="1"/>
      <c r="Z37" s="1"/>
      <c r="AA37" s="1"/>
      <c r="AB37" s="1"/>
      <c r="AC37" s="1"/>
      <c r="AD37" s="1"/>
      <c r="AE37" s="1"/>
      <c r="AF37" s="1"/>
      <c r="AG37" s="1"/>
      <c r="AH37" s="1"/>
    </row>
    <row r="38" spans="2:38" ht="14.25" customHeight="1">
      <c r="B38" s="825" t="s">
        <v>410</v>
      </c>
      <c r="C38" s="825" t="s">
        <v>411</v>
      </c>
      <c r="D38" s="835" t="s">
        <v>385</v>
      </c>
      <c r="E38" s="835"/>
      <c r="F38" s="835"/>
      <c r="G38" s="835"/>
      <c r="H38" s="835"/>
      <c r="I38" s="835"/>
      <c r="J38" s="835" t="s">
        <v>386</v>
      </c>
      <c r="K38" s="835"/>
      <c r="L38" s="835"/>
      <c r="M38" s="835"/>
      <c r="N38" s="835"/>
      <c r="O38" s="835"/>
      <c r="P38" s="834" t="s">
        <v>387</v>
      </c>
      <c r="Q38" s="834" t="s">
        <v>388</v>
      </c>
      <c r="R38" s="834" t="s">
        <v>121</v>
      </c>
      <c r="S38" s="833" t="s">
        <v>123</v>
      </c>
      <c r="X38" s="1"/>
      <c r="Y38" s="1"/>
      <c r="Z38" s="143"/>
    </row>
    <row r="39" spans="2:38" ht="15" customHeight="1">
      <c r="B39" s="825"/>
      <c r="C39" s="825"/>
      <c r="D39" s="232" t="s">
        <v>372</v>
      </c>
      <c r="E39" s="232" t="s">
        <v>373</v>
      </c>
      <c r="F39" s="232" t="s">
        <v>374</v>
      </c>
      <c r="G39" s="232" t="s">
        <v>412</v>
      </c>
      <c r="H39" s="232" t="s">
        <v>413</v>
      </c>
      <c r="I39" s="232" t="s">
        <v>391</v>
      </c>
      <c r="J39" s="232" t="s">
        <v>372</v>
      </c>
      <c r="K39" s="232" t="s">
        <v>373</v>
      </c>
      <c r="L39" s="232" t="s">
        <v>374</v>
      </c>
      <c r="M39" s="232" t="s">
        <v>389</v>
      </c>
      <c r="N39" s="232" t="s">
        <v>390</v>
      </c>
      <c r="O39" s="232" t="s">
        <v>414</v>
      </c>
      <c r="P39" s="834"/>
      <c r="Q39" s="834"/>
      <c r="R39" s="834"/>
      <c r="S39" s="833"/>
      <c r="V39" s="6"/>
      <c r="X39" s="1"/>
      <c r="Y39" s="1"/>
      <c r="Z39" s="143"/>
      <c r="AD39" s="9"/>
      <c r="AE39" s="9"/>
      <c r="AF39" s="9"/>
      <c r="AG39" s="9"/>
      <c r="AH39" s="9"/>
      <c r="AI39" s="9"/>
      <c r="AJ39" s="9"/>
      <c r="AK39" s="9"/>
      <c r="AL39" s="9"/>
    </row>
    <row r="40" spans="2:38" ht="15">
      <c r="B40" s="242" t="str">
        <f>IF('Convection Oven'!E7="","",'Convection Oven'!E7)</f>
        <v/>
      </c>
      <c r="C40" s="224" t="str">
        <f>IF('Convection Oven'!F7="","",'Convection Oven'!F7)</f>
        <v/>
      </c>
      <c r="D40" s="243" t="e">
        <f>VLOOKUP(C40,$B$33:$C$35,2,FALSE)</f>
        <v>#N/A</v>
      </c>
      <c r="E40" s="244" t="e">
        <f>VLOOKUP(C40,$B$33:$D$35,3,FALSE)</f>
        <v>#N/A</v>
      </c>
      <c r="F40" s="243" t="e">
        <f>VLOOKUP(C40,$B$33:$E$35,4,FALSE)</f>
        <v>#N/A</v>
      </c>
      <c r="G40" s="243" t="e">
        <f>D40*($H$25-($H$28/F40))</f>
        <v>#N/A</v>
      </c>
      <c r="H40" s="243" t="e">
        <f>$H$28*($H$27/E40)</f>
        <v>#N/A</v>
      </c>
      <c r="I40" s="243" t="e">
        <f>(H40+G40)*$H$26</f>
        <v>#N/A</v>
      </c>
      <c r="J40" s="243" t="e">
        <f>VLOOKUP(C40,$G$33:$J$35,2,FALSE)</f>
        <v>#N/A</v>
      </c>
      <c r="K40" s="243" t="e">
        <f>VLOOKUP(C40,$G$33:$J$35,3,FALSE)</f>
        <v>#N/A</v>
      </c>
      <c r="L40" s="243" t="e">
        <f>VLOOKUP(C40,$G$33:$J$35,4,FALSE)</f>
        <v>#N/A</v>
      </c>
      <c r="M40" s="243" t="e">
        <f>J40*($H$25-($H$28/L40))</f>
        <v>#N/A</v>
      </c>
      <c r="N40" s="243" t="e">
        <f>$H$28*($H$27/K40)</f>
        <v>#N/A</v>
      </c>
      <c r="O40" s="243" t="e">
        <f>(M40+N40)*$H$26</f>
        <v>#N/A</v>
      </c>
      <c r="P40" s="465" t="e">
        <f>$H$29*S40</f>
        <v>#N/A</v>
      </c>
      <c r="Q40" s="465" t="e">
        <f>$H$30*S40</f>
        <v>#N/A</v>
      </c>
      <c r="R40" s="465">
        <f>IFERROR(ROUND(AVERAGE(P40,Q40),4),0)</f>
        <v>0</v>
      </c>
      <c r="S40" s="243" t="e">
        <f>(I40-O40)*B40</f>
        <v>#N/A</v>
      </c>
      <c r="V40" s="6"/>
      <c r="X40" s="1"/>
      <c r="Y40" s="1"/>
      <c r="Z40" s="143"/>
      <c r="AD40" s="9"/>
      <c r="AE40" s="9"/>
      <c r="AF40" s="9"/>
      <c r="AG40" s="9"/>
      <c r="AH40" s="9"/>
      <c r="AI40" s="9"/>
      <c r="AJ40" s="9"/>
      <c r="AK40" s="9"/>
      <c r="AL40" s="9"/>
    </row>
    <row r="41" spans="2:38" ht="15">
      <c r="B41" s="242" t="str">
        <f>IF('Convection Oven'!E8="","",'Convection Oven'!E8)</f>
        <v/>
      </c>
      <c r="C41" s="224" t="str">
        <f>IF('Convection Oven'!F8="","",'Convection Oven'!F8)</f>
        <v/>
      </c>
      <c r="D41" s="243" t="e">
        <f>VLOOKUP(C41,$B$33:$C$35,2,FALSE)</f>
        <v>#N/A</v>
      </c>
      <c r="E41" s="244" t="e">
        <f t="shared" ref="E41:E43" si="1">VLOOKUP(C41,$B$33:$D$35,3,FALSE)</f>
        <v>#N/A</v>
      </c>
      <c r="F41" s="243" t="e">
        <f t="shared" ref="F41:F43" si="2">VLOOKUP(C41,$B$33:$E$35,4,FALSE)</f>
        <v>#N/A</v>
      </c>
      <c r="G41" s="243" t="e">
        <f t="shared" ref="G41:G43" si="3">D41*($H$25-($H$28/F41))</f>
        <v>#N/A</v>
      </c>
      <c r="H41" s="243" t="e">
        <f t="shared" ref="H41:H43" si="4">$H$28*($H$27/E41)</f>
        <v>#N/A</v>
      </c>
      <c r="I41" s="243" t="e">
        <f t="shared" ref="I41:I43" si="5">(H41+G41)*$H$26</f>
        <v>#N/A</v>
      </c>
      <c r="J41" s="243" t="e">
        <f t="shared" ref="J41:J43" si="6">VLOOKUP(C41,$G$33:$J$35,2,FALSE)</f>
        <v>#N/A</v>
      </c>
      <c r="K41" s="243" t="e">
        <f t="shared" ref="K41:K43" si="7">VLOOKUP(C41,$G$33:$J$35,3,FALSE)</f>
        <v>#N/A</v>
      </c>
      <c r="L41" s="243" t="e">
        <f t="shared" ref="L41:L43" si="8">VLOOKUP(C41,$G$33:$J$35,4,FALSE)</f>
        <v>#N/A</v>
      </c>
      <c r="M41" s="243" t="e">
        <f t="shared" ref="M41:M43" si="9">J41*($H$25-($H$28/L41))</f>
        <v>#N/A</v>
      </c>
      <c r="N41" s="243" t="e">
        <f t="shared" ref="N41:N43" si="10">$H$28*($H$27/K41)</f>
        <v>#N/A</v>
      </c>
      <c r="O41" s="243" t="e">
        <f>(M41+N41)*$H$26</f>
        <v>#N/A</v>
      </c>
      <c r="P41" s="465" t="e">
        <f>$H$29*S41</f>
        <v>#N/A</v>
      </c>
      <c r="Q41" s="465" t="e">
        <f>$H$30*S41</f>
        <v>#N/A</v>
      </c>
      <c r="R41" s="465">
        <f>IFERROR(ROUND(AVERAGE(P41,Q41),4),0)</f>
        <v>0</v>
      </c>
      <c r="S41" s="243" t="e">
        <f t="shared" ref="S41:S42" si="11">(I41-O41)*B41</f>
        <v>#N/A</v>
      </c>
      <c r="V41" s="6"/>
      <c r="X41" s="1"/>
      <c r="Y41" s="1"/>
      <c r="Z41" s="143"/>
      <c r="AD41" s="9"/>
      <c r="AE41" s="9"/>
      <c r="AF41" s="9"/>
      <c r="AG41" s="9"/>
      <c r="AH41" s="9"/>
      <c r="AI41" s="9"/>
      <c r="AJ41" s="9"/>
      <c r="AK41" s="9"/>
      <c r="AL41" s="9"/>
    </row>
    <row r="42" spans="2:38" ht="15">
      <c r="B42" s="242" t="str">
        <f>IF('Convection Oven'!E9="","",'Convection Oven'!E9)</f>
        <v/>
      </c>
      <c r="C42" s="224" t="str">
        <f>IF('Convection Oven'!F9="","",'Convection Oven'!F9)</f>
        <v/>
      </c>
      <c r="D42" s="243" t="e">
        <f t="shared" ref="D42:D43" si="12">VLOOKUP(C42,$B$33:$C$35,2,FALSE)</f>
        <v>#N/A</v>
      </c>
      <c r="E42" s="244" t="e">
        <f t="shared" si="1"/>
        <v>#N/A</v>
      </c>
      <c r="F42" s="243" t="e">
        <f t="shared" si="2"/>
        <v>#N/A</v>
      </c>
      <c r="G42" s="243" t="e">
        <f t="shared" si="3"/>
        <v>#N/A</v>
      </c>
      <c r="H42" s="243" t="e">
        <f t="shared" si="4"/>
        <v>#N/A</v>
      </c>
      <c r="I42" s="243" t="e">
        <f t="shared" si="5"/>
        <v>#N/A</v>
      </c>
      <c r="J42" s="243" t="e">
        <f t="shared" si="6"/>
        <v>#N/A</v>
      </c>
      <c r="K42" s="243" t="e">
        <f t="shared" si="7"/>
        <v>#N/A</v>
      </c>
      <c r="L42" s="243" t="e">
        <f t="shared" si="8"/>
        <v>#N/A</v>
      </c>
      <c r="M42" s="243" t="e">
        <f t="shared" si="9"/>
        <v>#N/A</v>
      </c>
      <c r="N42" s="243" t="e">
        <f t="shared" si="10"/>
        <v>#N/A</v>
      </c>
      <c r="O42" s="243" t="e">
        <f t="shared" ref="O42:O43" si="13">(M42+N42)*$H$26</f>
        <v>#N/A</v>
      </c>
      <c r="P42" s="465" t="e">
        <f>$H$29*S42</f>
        <v>#N/A</v>
      </c>
      <c r="Q42" s="465" t="e">
        <f>$H$30*S42</f>
        <v>#N/A</v>
      </c>
      <c r="R42" s="465">
        <f>IFERROR(ROUND(AVERAGE(P42,Q42),4),0)</f>
        <v>0</v>
      </c>
      <c r="S42" s="243" t="e">
        <f t="shared" si="11"/>
        <v>#N/A</v>
      </c>
      <c r="V42" s="6"/>
      <c r="X42" s="1"/>
      <c r="Y42" s="1"/>
      <c r="Z42" s="143"/>
      <c r="AD42" s="9"/>
      <c r="AE42" s="9"/>
      <c r="AF42" s="9"/>
      <c r="AG42" s="9"/>
      <c r="AH42" s="9"/>
      <c r="AI42" s="9"/>
      <c r="AJ42" s="9"/>
      <c r="AK42" s="9"/>
      <c r="AL42" s="9"/>
    </row>
    <row r="43" spans="2:38">
      <c r="B43" s="242" t="str">
        <f>IF('Convection Oven'!E10="","",'Convection Oven'!E10)</f>
        <v/>
      </c>
      <c r="C43" s="224" t="str">
        <f>IF('Convection Oven'!F10="","",'Convection Oven'!F10)</f>
        <v/>
      </c>
      <c r="D43" s="243" t="e">
        <f t="shared" si="12"/>
        <v>#N/A</v>
      </c>
      <c r="E43" s="244" t="e">
        <f t="shared" si="1"/>
        <v>#N/A</v>
      </c>
      <c r="F43" s="243" t="e">
        <f t="shared" si="2"/>
        <v>#N/A</v>
      </c>
      <c r="G43" s="243" t="e">
        <f t="shared" si="3"/>
        <v>#N/A</v>
      </c>
      <c r="H43" s="243" t="e">
        <f t="shared" si="4"/>
        <v>#N/A</v>
      </c>
      <c r="I43" s="243" t="e">
        <f t="shared" si="5"/>
        <v>#N/A</v>
      </c>
      <c r="J43" s="243" t="e">
        <f t="shared" si="6"/>
        <v>#N/A</v>
      </c>
      <c r="K43" s="243" t="e">
        <f t="shared" si="7"/>
        <v>#N/A</v>
      </c>
      <c r="L43" s="243" t="e">
        <f t="shared" si="8"/>
        <v>#N/A</v>
      </c>
      <c r="M43" s="243" t="e">
        <f t="shared" si="9"/>
        <v>#N/A</v>
      </c>
      <c r="N43" s="243" t="e">
        <f t="shared" si="10"/>
        <v>#N/A</v>
      </c>
      <c r="O43" s="243" t="e">
        <f t="shared" si="13"/>
        <v>#N/A</v>
      </c>
      <c r="P43" s="465" t="e">
        <f>$H$29*S43</f>
        <v>#N/A</v>
      </c>
      <c r="Q43" s="465" t="e">
        <f>$H$30*S43</f>
        <v>#N/A</v>
      </c>
      <c r="R43" s="465">
        <f>IFERROR(ROUND(AVERAGE(P43,Q43),4),0)</f>
        <v>0</v>
      </c>
      <c r="S43" s="243" t="e">
        <f>(I43-O43)*B43</f>
        <v>#N/A</v>
      </c>
      <c r="V43" s="6"/>
      <c r="X43" s="1"/>
      <c r="Y43" s="1"/>
      <c r="Z43" s="143"/>
    </row>
    <row r="44" spans="2:38">
      <c r="M44" s="6"/>
      <c r="N44" s="6"/>
      <c r="O44" s="6"/>
      <c r="P44" s="6"/>
      <c r="Q44" s="6"/>
      <c r="R44" s="6"/>
      <c r="S44" s="6"/>
      <c r="T44" s="6"/>
      <c r="U44" s="6"/>
      <c r="V44" s="6"/>
      <c r="W44" s="6"/>
    </row>
    <row r="45" spans="2:38" ht="18.75" thickBot="1">
      <c r="B45" s="832" t="s">
        <v>415</v>
      </c>
      <c r="C45" s="832"/>
      <c r="D45" s="832"/>
      <c r="E45" s="832"/>
      <c r="F45" s="832"/>
      <c r="G45" s="832"/>
      <c r="H45" s="832"/>
      <c r="I45" s="832"/>
      <c r="J45" s="832"/>
      <c r="K45" s="15"/>
      <c r="L45" s="15"/>
      <c r="R45" s="6"/>
      <c r="T45" s="6"/>
      <c r="U45" s="6"/>
      <c r="V45" s="6"/>
      <c r="W45" s="6"/>
    </row>
    <row r="46" spans="2:38" ht="30">
      <c r="B46" s="7" t="s">
        <v>416</v>
      </c>
      <c r="D46" s="7" t="s">
        <v>366</v>
      </c>
      <c r="Z46" s="9"/>
      <c r="AA46" s="9"/>
      <c r="AB46" s="9"/>
      <c r="AD46" s="480" t="s">
        <v>417</v>
      </c>
      <c r="AE46" s="9"/>
      <c r="AF46" s="9"/>
      <c r="AG46" s="9"/>
    </row>
    <row r="47" spans="2:38" ht="15">
      <c r="B47" s="318" t="s">
        <v>72</v>
      </c>
      <c r="D47" s="247" t="s">
        <v>377</v>
      </c>
      <c r="E47" s="247">
        <v>365</v>
      </c>
      <c r="F47" s="247" t="s">
        <v>418</v>
      </c>
      <c r="H47"/>
      <c r="I47"/>
      <c r="J47"/>
      <c r="K47"/>
      <c r="P47" s="6"/>
      <c r="Q47" s="6"/>
      <c r="R47" s="6"/>
      <c r="S47" s="6"/>
      <c r="T47" s="6"/>
      <c r="U47" s="6"/>
      <c r="V47" s="6"/>
      <c r="W47" s="6"/>
      <c r="X47" s="423"/>
      <c r="Y47" s="423"/>
      <c r="AD47" s="478">
        <v>5</v>
      </c>
    </row>
    <row r="48" spans="2:38" s="9" customFormat="1" ht="17.45" customHeight="1">
      <c r="B48" s="233" t="s">
        <v>419</v>
      </c>
      <c r="C48" s="1"/>
      <c r="D48" s="247" t="s">
        <v>420</v>
      </c>
      <c r="E48" s="247">
        <v>73.2</v>
      </c>
      <c r="F48" s="247" t="s">
        <v>421</v>
      </c>
      <c r="G48" s="1"/>
      <c r="H48" s="421"/>
      <c r="I48" s="421"/>
      <c r="J48" s="421"/>
      <c r="K48" s="421"/>
      <c r="L48" s="1"/>
      <c r="M48" s="114"/>
      <c r="N48" s="6"/>
      <c r="X48" s="188"/>
      <c r="Y48" s="188"/>
      <c r="AD48" s="481">
        <v>6</v>
      </c>
    </row>
    <row r="49" spans="2:40">
      <c r="B49" s="233" t="s">
        <v>422</v>
      </c>
      <c r="D49" s="247" t="s">
        <v>423</v>
      </c>
      <c r="E49" s="469">
        <v>0.5</v>
      </c>
      <c r="F49" s="247" t="s">
        <v>424</v>
      </c>
      <c r="H49" s="421"/>
      <c r="I49" s="421"/>
      <c r="J49" s="421"/>
      <c r="K49" s="421"/>
      <c r="M49" s="28"/>
      <c r="N49" s="6"/>
      <c r="O49" s="6"/>
      <c r="P49" s="6"/>
      <c r="Q49" s="6"/>
      <c r="R49" s="6"/>
      <c r="S49" s="6"/>
      <c r="T49" s="6"/>
      <c r="U49" s="6"/>
      <c r="V49" s="6"/>
      <c r="W49" s="6"/>
      <c r="X49" s="421"/>
      <c r="Y49" s="421"/>
      <c r="AD49" s="478">
        <v>7</v>
      </c>
    </row>
    <row r="50" spans="2:40">
      <c r="B50" s="233" t="s">
        <v>425</v>
      </c>
      <c r="D50" s="247" t="s">
        <v>426</v>
      </c>
      <c r="E50" s="247">
        <v>30.8</v>
      </c>
      <c r="F50" s="247" t="s">
        <v>421</v>
      </c>
      <c r="H50" s="422"/>
      <c r="I50"/>
      <c r="J50"/>
      <c r="K50"/>
      <c r="M50" s="28"/>
      <c r="N50" s="6"/>
      <c r="O50" s="6"/>
      <c r="P50" s="6"/>
      <c r="Q50" s="6"/>
      <c r="R50" s="6"/>
      <c r="S50" s="6"/>
      <c r="T50" s="6"/>
      <c r="U50" s="6"/>
      <c r="V50" s="6"/>
      <c r="W50" s="6"/>
      <c r="X50" s="188"/>
      <c r="Y50" s="188"/>
      <c r="AD50" s="478">
        <v>8</v>
      </c>
    </row>
    <row r="51" spans="2:40" ht="15">
      <c r="B51" s="428"/>
      <c r="D51" s="247" t="s">
        <v>427</v>
      </c>
      <c r="E51" s="470">
        <v>1E-3</v>
      </c>
      <c r="F51" s="247"/>
      <c r="M51" s="28"/>
      <c r="N51" s="6"/>
      <c r="O51" s="6"/>
      <c r="P51" s="6"/>
      <c r="Q51" s="6"/>
      <c r="R51" s="6"/>
      <c r="S51" s="6"/>
      <c r="T51" s="6"/>
      <c r="U51" s="6"/>
      <c r="V51" s="6"/>
      <c r="W51" s="6"/>
      <c r="X51" s="421"/>
      <c r="Y51" s="421"/>
      <c r="AD51" s="478">
        <v>9</v>
      </c>
    </row>
    <row r="52" spans="2:40">
      <c r="B52"/>
      <c r="D52" s="247" t="s">
        <v>428</v>
      </c>
      <c r="E52" s="247">
        <v>1.863E-4</v>
      </c>
      <c r="F52" s="247" t="s">
        <v>380</v>
      </c>
      <c r="G52" s="170"/>
      <c r="M52" s="28"/>
      <c r="N52" s="6"/>
      <c r="O52" s="6"/>
      <c r="P52" s="6"/>
      <c r="Q52" s="6"/>
      <c r="R52" s="6"/>
      <c r="S52" s="6"/>
      <c r="T52" s="6"/>
      <c r="U52" s="6"/>
      <c r="V52" s="6"/>
      <c r="W52" s="6"/>
      <c r="X52" s="188"/>
      <c r="Y52" s="188"/>
      <c r="AD52" s="478">
        <v>10</v>
      </c>
    </row>
    <row r="53" spans="2:40">
      <c r="B53"/>
      <c r="D53" s="298" t="s">
        <v>429</v>
      </c>
      <c r="E53" s="298">
        <v>1.192E-4</v>
      </c>
      <c r="F53" s="298" t="s">
        <v>380</v>
      </c>
      <c r="M53" s="28"/>
      <c r="N53" s="6"/>
      <c r="O53" s="6"/>
      <c r="P53" s="6"/>
      <c r="Q53" s="6"/>
      <c r="R53" s="6"/>
      <c r="S53" s="6"/>
      <c r="T53" s="6"/>
      <c r="U53" s="6"/>
      <c r="V53" s="6"/>
      <c r="W53" s="6"/>
      <c r="X53" s="421"/>
      <c r="Y53" s="421"/>
      <c r="AD53" s="478">
        <v>11</v>
      </c>
    </row>
    <row r="54" spans="2:40">
      <c r="D54" s="247" t="s">
        <v>430</v>
      </c>
      <c r="E54" s="469">
        <v>0.5</v>
      </c>
      <c r="F54" s="247" t="s">
        <v>424</v>
      </c>
      <c r="M54" s="28"/>
      <c r="N54" s="6"/>
      <c r="O54" s="6"/>
      <c r="P54" s="6"/>
      <c r="Q54" s="6"/>
      <c r="R54" s="6"/>
      <c r="S54" s="6"/>
      <c r="T54" s="6"/>
      <c r="U54" s="6"/>
      <c r="V54" s="6"/>
      <c r="W54" s="6"/>
      <c r="X54" s="421"/>
      <c r="Y54" s="421"/>
      <c r="AD54" s="478">
        <v>12</v>
      </c>
    </row>
    <row r="55" spans="2:40">
      <c r="D55" s="418"/>
      <c r="E55" s="419"/>
      <c r="F55" s="418"/>
      <c r="M55" s="28"/>
      <c r="N55" s="6"/>
      <c r="O55" s="6"/>
      <c r="P55" s="6"/>
      <c r="Q55" s="6"/>
      <c r="R55" s="6"/>
      <c r="S55" s="6"/>
      <c r="T55" s="6"/>
      <c r="U55" s="6"/>
      <c r="V55" s="6"/>
      <c r="W55" s="6"/>
      <c r="X55" s="421"/>
      <c r="Y55" s="421"/>
      <c r="AD55" s="478">
        <v>13</v>
      </c>
    </row>
    <row r="56" spans="2:40">
      <c r="M56" s="28"/>
      <c r="N56" s="6"/>
      <c r="O56" s="6"/>
      <c r="P56" s="6"/>
      <c r="Q56" s="6"/>
      <c r="R56" s="6"/>
      <c r="S56" s="6"/>
      <c r="T56" s="6"/>
      <c r="U56" s="6"/>
      <c r="V56" s="6"/>
      <c r="W56" s="6"/>
      <c r="X56" s="188"/>
      <c r="Y56" s="188"/>
      <c r="AD56" s="478">
        <v>14</v>
      </c>
    </row>
    <row r="57" spans="2:40" ht="18">
      <c r="B57" s="7" t="s">
        <v>431</v>
      </c>
      <c r="F57" s="6"/>
      <c r="G57" s="7" t="s">
        <v>404</v>
      </c>
      <c r="I57"/>
      <c r="L57" s="6"/>
      <c r="X57" s="421"/>
      <c r="Y57" s="421"/>
      <c r="AD57" s="478">
        <v>15</v>
      </c>
    </row>
    <row r="58" spans="2:40" ht="15">
      <c r="B58" s="235" t="s">
        <v>432</v>
      </c>
      <c r="C58" s="425" t="s">
        <v>433</v>
      </c>
      <c r="D58" s="236" t="s">
        <v>406</v>
      </c>
      <c r="E58" s="236" t="s">
        <v>407</v>
      </c>
      <c r="G58" s="235" t="s">
        <v>432</v>
      </c>
      <c r="H58" s="425" t="s">
        <v>433</v>
      </c>
      <c r="I58" s="236" t="s">
        <v>408</v>
      </c>
      <c r="J58" s="236" t="s">
        <v>434</v>
      </c>
      <c r="X58" s="188"/>
      <c r="Y58" s="188"/>
      <c r="AD58" s="478">
        <v>16</v>
      </c>
    </row>
    <row r="59" spans="2:40" s="9" customFormat="1" ht="15">
      <c r="B59" s="471" t="s">
        <v>419</v>
      </c>
      <c r="C59" s="157" t="s">
        <v>435</v>
      </c>
      <c r="D59" s="472">
        <v>0.76</v>
      </c>
      <c r="E59" s="473">
        <v>76.290000000000006</v>
      </c>
      <c r="G59" s="471" t="s">
        <v>419</v>
      </c>
      <c r="H59" s="157" t="s">
        <v>435</v>
      </c>
      <c r="I59" s="472">
        <v>0.78</v>
      </c>
      <c r="J59" s="473">
        <v>95.79</v>
      </c>
      <c r="W59" s="1"/>
      <c r="X59" s="421"/>
      <c r="Y59" s="421"/>
      <c r="AA59" s="1"/>
      <c r="AB59" s="1"/>
      <c r="AD59" s="478">
        <v>17</v>
      </c>
      <c r="AE59" s="1"/>
      <c r="AF59" s="1"/>
      <c r="AG59" s="1"/>
      <c r="AH59" s="1"/>
      <c r="AI59" s="6"/>
      <c r="AJ59" s="6"/>
      <c r="AK59" s="6"/>
      <c r="AL59" s="6"/>
      <c r="AM59" s="6"/>
      <c r="AN59" s="6"/>
    </row>
    <row r="60" spans="2:40" s="9" customFormat="1" ht="15">
      <c r="B60" s="471" t="s">
        <v>422</v>
      </c>
      <c r="C60" s="157" t="s">
        <v>435</v>
      </c>
      <c r="D60" s="472">
        <v>0.76</v>
      </c>
      <c r="E60" s="473">
        <v>181.6</v>
      </c>
      <c r="G60" s="471" t="s">
        <v>422</v>
      </c>
      <c r="H60" s="157" t="s">
        <v>435</v>
      </c>
      <c r="I60" s="472">
        <v>0.78</v>
      </c>
      <c r="J60" s="473">
        <v>200</v>
      </c>
      <c r="W60" s="1"/>
      <c r="X60" s="188"/>
      <c r="Y60" s="188"/>
      <c r="AA60" s="1"/>
      <c r="AB60" s="1"/>
      <c r="AD60" s="478">
        <v>18</v>
      </c>
      <c r="AE60" s="1"/>
      <c r="AF60" s="1"/>
      <c r="AG60" s="1"/>
      <c r="AH60" s="1"/>
      <c r="AI60" s="6"/>
      <c r="AJ60" s="6"/>
      <c r="AK60" s="6"/>
      <c r="AL60" s="6"/>
      <c r="AM60" s="6"/>
      <c r="AN60" s="6"/>
    </row>
    <row r="61" spans="2:40" s="9" customFormat="1" ht="15">
      <c r="B61" s="471" t="s">
        <v>425</v>
      </c>
      <c r="C61" s="157" t="s">
        <v>435</v>
      </c>
      <c r="D61" s="472">
        <v>0.76</v>
      </c>
      <c r="E61" s="473">
        <v>314</v>
      </c>
      <c r="G61" s="471" t="s">
        <v>425</v>
      </c>
      <c r="H61" s="157" t="s">
        <v>435</v>
      </c>
      <c r="I61" s="472">
        <v>0.78</v>
      </c>
      <c r="J61" s="473">
        <v>387.67</v>
      </c>
      <c r="W61" s="1"/>
      <c r="X61" s="421"/>
      <c r="Y61" s="421"/>
      <c r="AA61" s="1"/>
      <c r="AB61" s="1"/>
      <c r="AD61" s="478">
        <v>19</v>
      </c>
      <c r="AE61" s="1"/>
      <c r="AF61" s="1"/>
      <c r="AG61" s="1"/>
      <c r="AH61" s="1"/>
      <c r="AI61" s="6"/>
      <c r="AJ61" s="6"/>
      <c r="AK61" s="6"/>
      <c r="AL61" s="6"/>
      <c r="AM61" s="6"/>
      <c r="AN61" s="6"/>
    </row>
    <row r="62" spans="2:40">
      <c r="B62" s="471" t="s">
        <v>419</v>
      </c>
      <c r="C62" s="157" t="s">
        <v>436</v>
      </c>
      <c r="D62" s="472">
        <v>0.55000000000000004</v>
      </c>
      <c r="E62" s="473">
        <v>108.47</v>
      </c>
      <c r="G62" s="471" t="s">
        <v>419</v>
      </c>
      <c r="H62" s="157" t="s">
        <v>436</v>
      </c>
      <c r="I62" s="472">
        <v>0.55000000000000004</v>
      </c>
      <c r="J62" s="473">
        <v>128.11000000000001</v>
      </c>
      <c r="X62" s="188"/>
      <c r="Y62" s="188"/>
      <c r="AA62" s="1"/>
      <c r="AB62" s="1"/>
      <c r="AD62" s="478">
        <v>20</v>
      </c>
      <c r="AE62" s="1"/>
      <c r="AF62" s="1"/>
      <c r="AG62" s="1"/>
      <c r="AH62" s="1"/>
    </row>
    <row r="63" spans="2:40">
      <c r="B63" s="471" t="s">
        <v>422</v>
      </c>
      <c r="C63" s="157" t="s">
        <v>436</v>
      </c>
      <c r="D63" s="472">
        <v>0.55000000000000004</v>
      </c>
      <c r="E63" s="473">
        <v>298.8</v>
      </c>
      <c r="G63" s="471" t="s">
        <v>422</v>
      </c>
      <c r="H63" s="157" t="s">
        <v>436</v>
      </c>
      <c r="I63" s="472">
        <v>0.55000000000000004</v>
      </c>
      <c r="J63" s="473">
        <v>276.33</v>
      </c>
      <c r="X63" s="421"/>
      <c r="Y63" s="421"/>
      <c r="AA63" s="1"/>
      <c r="AB63" s="1"/>
      <c r="AD63" s="478">
        <v>21</v>
      </c>
      <c r="AE63" s="1"/>
      <c r="AF63" s="1"/>
      <c r="AG63" s="1"/>
      <c r="AH63" s="1"/>
    </row>
    <row r="64" spans="2:40">
      <c r="B64" s="471" t="s">
        <v>425</v>
      </c>
      <c r="C64" s="157" t="s">
        <v>436</v>
      </c>
      <c r="D64" s="472">
        <v>0.55000000000000004</v>
      </c>
      <c r="E64" s="473">
        <v>478</v>
      </c>
      <c r="G64" s="471" t="s">
        <v>425</v>
      </c>
      <c r="H64" s="157" t="s">
        <v>436</v>
      </c>
      <c r="I64" s="472">
        <v>0.55000000000000004</v>
      </c>
      <c r="J64" s="473">
        <v>462</v>
      </c>
      <c r="X64" s="188"/>
      <c r="Y64" s="188"/>
      <c r="AA64" s="1"/>
      <c r="AB64" s="1"/>
      <c r="AD64" s="478">
        <v>22</v>
      </c>
      <c r="AE64" s="1"/>
      <c r="AF64" s="1"/>
      <c r="AG64" s="1"/>
      <c r="AH64" s="1"/>
    </row>
    <row r="65" spans="2:41">
      <c r="X65" s="421"/>
      <c r="Y65" s="421"/>
      <c r="AA65" s="1"/>
      <c r="AB65" s="1"/>
      <c r="AD65" s="478">
        <v>23</v>
      </c>
      <c r="AE65" s="1"/>
      <c r="AF65" s="1"/>
      <c r="AG65" s="1"/>
      <c r="AH65" s="1"/>
    </row>
    <row r="66" spans="2:41" ht="18">
      <c r="B66" s="7" t="s">
        <v>382</v>
      </c>
      <c r="X66" s="188"/>
      <c r="Y66" s="188"/>
      <c r="AA66" s="1"/>
      <c r="AB66" s="1"/>
      <c r="AD66" s="478">
        <v>24</v>
      </c>
      <c r="AE66" s="1"/>
      <c r="AF66" s="1"/>
      <c r="AG66" s="1"/>
      <c r="AH66" s="1"/>
    </row>
    <row r="67" spans="2:41" ht="15.75" thickBot="1">
      <c r="B67" s="825" t="s">
        <v>437</v>
      </c>
      <c r="C67" s="825" t="s">
        <v>432</v>
      </c>
      <c r="D67" s="825" t="s">
        <v>438</v>
      </c>
      <c r="E67" s="835" t="s">
        <v>396</v>
      </c>
      <c r="F67" s="837" t="s">
        <v>439</v>
      </c>
      <c r="G67" s="826" t="s">
        <v>385</v>
      </c>
      <c r="H67" s="826"/>
      <c r="I67" s="826"/>
      <c r="J67" s="826"/>
      <c r="K67" s="826"/>
      <c r="L67" s="826"/>
      <c r="M67" s="826"/>
      <c r="N67" s="826"/>
      <c r="O67" s="826"/>
      <c r="P67" s="826"/>
      <c r="Q67" s="830" t="s">
        <v>386</v>
      </c>
      <c r="R67" s="830"/>
      <c r="S67" s="830"/>
      <c r="T67" s="830"/>
      <c r="U67" s="830"/>
      <c r="V67" s="830"/>
      <c r="W67" s="830"/>
      <c r="X67" s="830"/>
      <c r="Y67" s="825" t="s">
        <v>440</v>
      </c>
      <c r="Z67" s="825" t="s">
        <v>441</v>
      </c>
      <c r="AA67" s="825" t="s">
        <v>121</v>
      </c>
      <c r="AB67" s="825" t="s">
        <v>123</v>
      </c>
      <c r="AD67" s="478">
        <v>25</v>
      </c>
      <c r="AE67" s="421"/>
      <c r="AF67" s="421"/>
      <c r="AG67" s="1"/>
      <c r="AH67" s="1"/>
      <c r="AI67" s="1"/>
      <c r="AJ67" s="1"/>
      <c r="AK67" s="1"/>
      <c r="AL67" s="1"/>
      <c r="AM67" s="1"/>
      <c r="AN67" s="1"/>
      <c r="AO67" s="1"/>
    </row>
    <row r="68" spans="2:41" ht="14.25" customHeight="1" thickBot="1">
      <c r="B68" s="825"/>
      <c r="C68" s="825"/>
      <c r="D68" s="825"/>
      <c r="E68" s="835"/>
      <c r="F68" s="837"/>
      <c r="G68" s="827" t="s">
        <v>435</v>
      </c>
      <c r="H68" s="827"/>
      <c r="I68" s="827"/>
      <c r="J68" s="827"/>
      <c r="K68" s="827"/>
      <c r="L68" s="828" t="s">
        <v>436</v>
      </c>
      <c r="M68" s="828"/>
      <c r="N68" s="828"/>
      <c r="O68" s="828"/>
      <c r="P68" s="828"/>
      <c r="Q68" s="831" t="s">
        <v>435</v>
      </c>
      <c r="R68" s="831"/>
      <c r="S68" s="831"/>
      <c r="T68" s="831"/>
      <c r="U68" s="828" t="s">
        <v>436</v>
      </c>
      <c r="V68" s="828"/>
      <c r="W68" s="828"/>
      <c r="X68" s="828"/>
      <c r="Y68" s="825"/>
      <c r="Z68" s="825"/>
      <c r="AA68" s="825"/>
      <c r="AB68" s="825"/>
      <c r="AD68" s="478">
        <v>26</v>
      </c>
      <c r="AE68" s="188"/>
      <c r="AF68" s="188"/>
    </row>
    <row r="69" spans="2:41" s="26" customFormat="1" ht="21" customHeight="1">
      <c r="B69" s="825"/>
      <c r="C69" s="825"/>
      <c r="D69" s="825"/>
      <c r="E69" s="835"/>
      <c r="F69" s="837"/>
      <c r="G69" s="475" t="s">
        <v>442</v>
      </c>
      <c r="H69" s="476" t="s">
        <v>443</v>
      </c>
      <c r="I69" s="476" t="s">
        <v>444</v>
      </c>
      <c r="J69" s="476" t="s">
        <v>445</v>
      </c>
      <c r="K69" s="476" t="s">
        <v>446</v>
      </c>
      <c r="L69" s="475" t="s">
        <v>447</v>
      </c>
      <c r="M69" s="476" t="s">
        <v>448</v>
      </c>
      <c r="N69" s="476" t="s">
        <v>449</v>
      </c>
      <c r="O69" s="476" t="s">
        <v>450</v>
      </c>
      <c r="P69" s="476" t="s">
        <v>451</v>
      </c>
      <c r="Q69" s="476" t="s">
        <v>452</v>
      </c>
      <c r="R69" s="476" t="s">
        <v>453</v>
      </c>
      <c r="S69" s="476" t="s">
        <v>454</v>
      </c>
      <c r="T69" s="476" t="s">
        <v>455</v>
      </c>
      <c r="U69" s="476" t="s">
        <v>456</v>
      </c>
      <c r="V69" s="476" t="s">
        <v>457</v>
      </c>
      <c r="W69" s="476" t="s">
        <v>458</v>
      </c>
      <c r="X69" s="476" t="s">
        <v>459</v>
      </c>
      <c r="Y69" s="825"/>
      <c r="Z69" s="825"/>
      <c r="AA69" s="825"/>
      <c r="AB69" s="825"/>
      <c r="AD69" s="478">
        <v>27</v>
      </c>
      <c r="AE69" s="421"/>
      <c r="AF69" s="421"/>
    </row>
    <row r="70" spans="2:41" ht="14.25" customHeight="1">
      <c r="B70" s="477">
        <f>'Combination Oven'!F11</f>
        <v>0</v>
      </c>
      <c r="C70" s="463" t="str" cm="1">
        <f t="array" ref="C70">_xlfn.IFS(B70&lt;15,"&lt; 15",AND(B70&gt;=15,B70&lt;=28),"15-28",B70&gt;28,"&gt; 28")</f>
        <v>&lt; 15</v>
      </c>
      <c r="D70" s="478">
        <f>IF(B70&lt;15,200,250)</f>
        <v>200</v>
      </c>
      <c r="E70" s="319">
        <f>'Combination Oven'!E11</f>
        <v>0</v>
      </c>
      <c r="F70" s="233">
        <f>'Combination Oven'!G11</f>
        <v>0</v>
      </c>
      <c r="G70" s="319">
        <f>(0.083*B70+0.35)*1000</f>
        <v>350</v>
      </c>
      <c r="H70" s="319">
        <f>(0.08*B70+0.4989)*1000</f>
        <v>498.90000000000003</v>
      </c>
      <c r="I70" s="319">
        <f>VLOOKUP(C70,$B$59:$E$61,3,FALSE)</f>
        <v>0.76</v>
      </c>
      <c r="J70" s="319">
        <f>VLOOKUP(C70,$B$59:$E$61,4,FALSE)</f>
        <v>76.290000000000006</v>
      </c>
      <c r="K70" s="319">
        <f>D70*($E$48/I70-$E$48/R70)*$E$49</f>
        <v>246.96356275303799</v>
      </c>
      <c r="L70" s="319">
        <f>(0.133*B70+0.64)*1000</f>
        <v>640</v>
      </c>
      <c r="M70" s="319">
        <f>(0.133*B70+0.64)*1000</f>
        <v>640</v>
      </c>
      <c r="N70" s="319">
        <f>VLOOKUP(C70,$B$62:$E$64,3,FALSE)</f>
        <v>0.55000000000000004</v>
      </c>
      <c r="O70" s="319">
        <f>VLOOKUP(C70,$B$62:$E$64,4,FALSE)</f>
        <v>108.47</v>
      </c>
      <c r="P70" s="319">
        <f>D70*($E$50/N70 - $E$50/V70)*$E$54</f>
        <v>0</v>
      </c>
      <c r="Q70" s="319">
        <f>IF(((0.083*B70+0.35)*1000)&gt;G70,0,(0.083*B70+0.35)*1000)</f>
        <v>350</v>
      </c>
      <c r="R70" s="319">
        <f>VLOOKUP(C70,$G$59:$J$61,3,FALSE)</f>
        <v>0.78</v>
      </c>
      <c r="S70" s="319">
        <f>VLOOKUP(C70,$G$59:$J$61,4,FALSE)</f>
        <v>95.79</v>
      </c>
      <c r="T70" s="319">
        <f>((H70*(E70-(D70/J70))*$E$49)-(Q70*(E70-(D70/S70))*$E$49))</f>
        <v>-288.56941737925615</v>
      </c>
      <c r="U70" s="319">
        <f>IF(((0.133*B70+0.64)*1000)&gt;L70,0,(0.133*B70+0.64)*1000)</f>
        <v>640</v>
      </c>
      <c r="V70" s="319">
        <f>VLOOKUP(C70,$G$62:$J$64,3,FALSE)</f>
        <v>0.55000000000000004</v>
      </c>
      <c r="W70" s="319">
        <f>VLOOKUP(C70,$G$62:$J$64,4,FALSE)</f>
        <v>128.11000000000001</v>
      </c>
      <c r="X70" s="319">
        <f>((M70*(E70-(D70/O70))*$E$54)-(U70*(E70-(D70/W70))*$E$54))</f>
        <v>-90.454210229484886</v>
      </c>
      <c r="Y70" s="479">
        <f>AB70*$E$52</f>
        <v>0</v>
      </c>
      <c r="Z70" s="479">
        <f>AB70*$E$53</f>
        <v>0</v>
      </c>
      <c r="AA70" s="479">
        <f>AVERAGE(Y70:Z70)</f>
        <v>0</v>
      </c>
      <c r="AB70" s="243">
        <f>((K70+P70+T70+X70)*$E$47*$E$51)*F70</f>
        <v>0</v>
      </c>
      <c r="AD70" s="478">
        <v>28</v>
      </c>
      <c r="AE70" s="188"/>
      <c r="AF70" s="188"/>
    </row>
    <row r="71" spans="2:41">
      <c r="B71" s="477">
        <f>'Combination Oven'!F12</f>
        <v>0</v>
      </c>
      <c r="C71" s="463" t="str" cm="1">
        <f t="array" ref="C71">_xlfn.IFS(B71&lt;15,"&lt; 15",AND(B71&gt;=15,B71&lt;=28),"15-28",B71&gt;28,"&gt; 28")</f>
        <v>&lt; 15</v>
      </c>
      <c r="D71" s="478">
        <f>IF(B71&lt;15,200,250)</f>
        <v>200</v>
      </c>
      <c r="E71" s="319">
        <f>'Combination Oven'!E12</f>
        <v>0</v>
      </c>
      <c r="F71" s="233">
        <f>'Combination Oven'!G12</f>
        <v>0</v>
      </c>
      <c r="G71" s="319">
        <f>(0.083*B71+0.35)*1000</f>
        <v>350</v>
      </c>
      <c r="H71" s="319">
        <f>(0.08*B71+0.4989)*1000</f>
        <v>498.90000000000003</v>
      </c>
      <c r="I71" s="319">
        <f>VLOOKUP(C71,$B$59:$E$61,3,FALSE)</f>
        <v>0.76</v>
      </c>
      <c r="J71" s="319">
        <f>VLOOKUP(C71,$B$59:$E$61,4,FALSE)</f>
        <v>76.290000000000006</v>
      </c>
      <c r="K71" s="319">
        <f>D71*($E$48/I71-$E$48/R71)*$E$49</f>
        <v>246.96356275303799</v>
      </c>
      <c r="L71" s="319">
        <f>(0.133*B71+0.64)*1000</f>
        <v>640</v>
      </c>
      <c r="M71" s="319">
        <f>(0.133*B71+0.64)*1000</f>
        <v>640</v>
      </c>
      <c r="N71" s="319">
        <f>VLOOKUP(C71,$B$62:$E$64,3,FALSE)</f>
        <v>0.55000000000000004</v>
      </c>
      <c r="O71" s="319">
        <f>VLOOKUP(C71,$B$62:$E$64,4,FALSE)</f>
        <v>108.47</v>
      </c>
      <c r="P71" s="319">
        <f>D71*($E$50/N71 - $E$50/V71)*$E$54</f>
        <v>0</v>
      </c>
      <c r="Q71" s="319">
        <f>IF(((0.083*B71+0.35)*1000)&gt;G71,0,(0.083*B71+0.35)*1000)</f>
        <v>350</v>
      </c>
      <c r="R71" s="319">
        <f>VLOOKUP(C71,$G$59:$J$61,3,FALSE)</f>
        <v>0.78</v>
      </c>
      <c r="S71" s="319">
        <f>VLOOKUP(C71,$G$59:$J$61,4,FALSE)</f>
        <v>95.79</v>
      </c>
      <c r="T71" s="319">
        <f>((H71*(E71-(D71/J71))*$E$49)-(Q71*(E71-(D71/S71))*$E$49))</f>
        <v>-288.56941737925615</v>
      </c>
      <c r="U71" s="319">
        <f>IF(((0.133*B71+0.64)*1000)&gt;L71,0,(0.133*B71+0.64)*1000)</f>
        <v>640</v>
      </c>
      <c r="V71" s="319">
        <f>VLOOKUP(C71,$G$62:$J$64,3,FALSE)</f>
        <v>0.55000000000000004</v>
      </c>
      <c r="W71" s="319">
        <f>VLOOKUP(C71,$G$62:$J$64,4,FALSE)</f>
        <v>128.11000000000001</v>
      </c>
      <c r="X71" s="319">
        <f>((M71*(E71-(D71/O71))*$E$54)-(U71*(E71-(D71/W71))*$E$54))</f>
        <v>-90.454210229484886</v>
      </c>
      <c r="Y71" s="479">
        <f>AB71*$E$52</f>
        <v>0</v>
      </c>
      <c r="Z71" s="479">
        <f>AB71*$E$53</f>
        <v>0</v>
      </c>
      <c r="AA71" s="479">
        <f t="shared" ref="AA71:AA73" si="14">AVERAGE(Y71:Z71)</f>
        <v>0</v>
      </c>
      <c r="AB71" s="243">
        <f>((K71+P71+T71+X71)*$E$47*$E$51)*F71</f>
        <v>0</v>
      </c>
      <c r="AD71" s="478">
        <v>29</v>
      </c>
      <c r="AE71" s="421"/>
      <c r="AF71" s="421"/>
    </row>
    <row r="72" spans="2:41">
      <c r="B72" s="477">
        <f>'Combination Oven'!F13</f>
        <v>0</v>
      </c>
      <c r="C72" s="463" t="str" cm="1">
        <f t="array" ref="C72">_xlfn.IFS(B72&lt;15,"&lt; 15",AND(B72&gt;=15,B72&lt;=28),"15-28",B72&gt;28,"&gt; 28")</f>
        <v>&lt; 15</v>
      </c>
      <c r="D72" s="478">
        <f>IF(B72&lt;15,200,250)</f>
        <v>200</v>
      </c>
      <c r="E72" s="319">
        <f>'Combination Oven'!E13</f>
        <v>0</v>
      </c>
      <c r="F72" s="233">
        <f>'Combination Oven'!G13</f>
        <v>0</v>
      </c>
      <c r="G72" s="319">
        <f>(0.083*B72+0.35)*1000</f>
        <v>350</v>
      </c>
      <c r="H72" s="319">
        <f>(0.08*B72+0.4989)*1000</f>
        <v>498.90000000000003</v>
      </c>
      <c r="I72" s="319">
        <f>VLOOKUP(C72,$B$59:$E$61,3,FALSE)</f>
        <v>0.76</v>
      </c>
      <c r="J72" s="319">
        <f>VLOOKUP(C72,$B$59:$E$61,4,FALSE)</f>
        <v>76.290000000000006</v>
      </c>
      <c r="K72" s="319">
        <f>D72*($E$48/I72-$E$48/R72)*$E$49</f>
        <v>246.96356275303799</v>
      </c>
      <c r="L72" s="319">
        <f>(0.133*B72+0.64)*1000</f>
        <v>640</v>
      </c>
      <c r="M72" s="319">
        <f>(0.133*B72+0.64)*1000</f>
        <v>640</v>
      </c>
      <c r="N72" s="319">
        <f>VLOOKUP(C72,$B$62:$E$64,3,FALSE)</f>
        <v>0.55000000000000004</v>
      </c>
      <c r="O72" s="319">
        <f>VLOOKUP(C72,$B$62:$E$64,4,FALSE)</f>
        <v>108.47</v>
      </c>
      <c r="P72" s="319">
        <f>D72*($E$50/N72 - $E$50/V72)*$E$54</f>
        <v>0</v>
      </c>
      <c r="Q72" s="319">
        <f>IF(((0.083*B72+0.35)*1000)&gt;G72,0,(0.083*B72+0.35)*1000)</f>
        <v>350</v>
      </c>
      <c r="R72" s="319">
        <f>VLOOKUP(C72,$G$59:$J$61,3,FALSE)</f>
        <v>0.78</v>
      </c>
      <c r="S72" s="319">
        <f>VLOOKUP(C72,$G$59:$J$61,4,FALSE)</f>
        <v>95.79</v>
      </c>
      <c r="T72" s="319">
        <f>((H72*(E72-(D72/J72))*$E$49)-(Q72*(E72-(D72/S72))*$E$49))</f>
        <v>-288.56941737925615</v>
      </c>
      <c r="U72" s="319">
        <f>IF(((0.133*B72+0.64)*1000)&gt;L72,0,(0.133*B72+0.64)*1000)</f>
        <v>640</v>
      </c>
      <c r="V72" s="319">
        <f>VLOOKUP(C72,$G$62:$J$64,3,FALSE)</f>
        <v>0.55000000000000004</v>
      </c>
      <c r="W72" s="319">
        <f>VLOOKUP(C72,$G$62:$J$64,4,FALSE)</f>
        <v>128.11000000000001</v>
      </c>
      <c r="X72" s="319">
        <f>((M72*(E72-(D72/O72))*$E$54)-(U72*(E72-(D72/W72))*$E$54))</f>
        <v>-90.454210229484886</v>
      </c>
      <c r="Y72" s="479">
        <f>AB72*$E$52</f>
        <v>0</v>
      </c>
      <c r="Z72" s="479">
        <f>AB72*$E$53</f>
        <v>0</v>
      </c>
      <c r="AA72" s="479">
        <f t="shared" si="14"/>
        <v>0</v>
      </c>
      <c r="AB72" s="243">
        <f>((K72+P72+T72+X72)*$E$47*$E$51)*F72</f>
        <v>0</v>
      </c>
      <c r="AD72" s="478">
        <v>30</v>
      </c>
      <c r="AE72" s="188"/>
      <c r="AF72" s="188"/>
    </row>
    <row r="73" spans="2:41">
      <c r="B73" s="477">
        <f>'Combination Oven'!F14</f>
        <v>0</v>
      </c>
      <c r="C73" s="463" t="str" cm="1">
        <f t="array" ref="C73">_xlfn.IFS(B73&lt;15,"&lt; 15",AND(B73&gt;=15,B73&lt;=28),"15-28",B73&gt;28,"&gt; 28")</f>
        <v>&lt; 15</v>
      </c>
      <c r="D73" s="478">
        <f>IF(B73&lt;15,200,250)</f>
        <v>200</v>
      </c>
      <c r="E73" s="319">
        <f>'Combination Oven'!E14</f>
        <v>0</v>
      </c>
      <c r="F73" s="233">
        <f>'Combination Oven'!G14</f>
        <v>0</v>
      </c>
      <c r="G73" s="319">
        <f>(0.083*B73+0.35)*1000</f>
        <v>350</v>
      </c>
      <c r="H73" s="319">
        <f>(0.08*B73+0.4989)*1000</f>
        <v>498.90000000000003</v>
      </c>
      <c r="I73" s="319">
        <f>VLOOKUP(C73,$B$59:$E$61,3,FALSE)</f>
        <v>0.76</v>
      </c>
      <c r="J73" s="319">
        <f>VLOOKUP(C73,$B$59:$E$61,4,FALSE)</f>
        <v>76.290000000000006</v>
      </c>
      <c r="K73" s="319">
        <f>D73*($E$48/I73-$E$48/R73)*$E$49</f>
        <v>246.96356275303799</v>
      </c>
      <c r="L73" s="319">
        <f>(0.133*B73+0.64)*1000</f>
        <v>640</v>
      </c>
      <c r="M73" s="319">
        <f>(0.133*B73+0.64)*1000</f>
        <v>640</v>
      </c>
      <c r="N73" s="319">
        <f>VLOOKUP(C73,$B$62:$E$64,3,FALSE)</f>
        <v>0.55000000000000004</v>
      </c>
      <c r="O73" s="319">
        <f>VLOOKUP(C73,$B$62:$E$64,4,FALSE)</f>
        <v>108.47</v>
      </c>
      <c r="P73" s="319">
        <f>D73*($E$50/N73 - $E$50/V73)*$E$54</f>
        <v>0</v>
      </c>
      <c r="Q73" s="319">
        <f>IF(((0.083*B73+0.35)*1000)&gt;G73,0,(0.083*B73+0.35)*1000)</f>
        <v>350</v>
      </c>
      <c r="R73" s="319">
        <f>VLOOKUP(C73,$G$59:$J$61,3,FALSE)</f>
        <v>0.78</v>
      </c>
      <c r="S73" s="319">
        <f>VLOOKUP(C73,$G$59:$J$61,4,FALSE)</f>
        <v>95.79</v>
      </c>
      <c r="T73" s="319">
        <f>((H73*(E73-(D73/J73))*$E$49)-(Q73*(E73-(D73/S73))*$E$49))</f>
        <v>-288.56941737925615</v>
      </c>
      <c r="U73" s="319">
        <f>IF(((0.133*B73+0.64)*1000)&gt;L73,0,(0.133*B73+0.64)*1000)</f>
        <v>640</v>
      </c>
      <c r="V73" s="319">
        <f>VLOOKUP(C73,$G$62:$J$64,3,FALSE)</f>
        <v>0.55000000000000004</v>
      </c>
      <c r="W73" s="319">
        <f>VLOOKUP(C73,$G$62:$J$64,4,FALSE)</f>
        <v>128.11000000000001</v>
      </c>
      <c r="X73" s="319">
        <f>((M73*(E73-(D73/O73))*$E$54)-(U73*(E73-(D73/W73))*$E$54))</f>
        <v>-90.454210229484886</v>
      </c>
      <c r="Y73" s="479">
        <f>AB73*$E$52</f>
        <v>0</v>
      </c>
      <c r="Z73" s="479">
        <f>AB73*$E$53</f>
        <v>0</v>
      </c>
      <c r="AA73" s="479">
        <f t="shared" si="14"/>
        <v>0</v>
      </c>
      <c r="AB73" s="243">
        <f>((K73+P73+T73+X73)*$E$47*$E$51)*F73</f>
        <v>0</v>
      </c>
      <c r="AD73" s="478">
        <v>31</v>
      </c>
      <c r="AE73" s="421"/>
      <c r="AF73" s="421"/>
    </row>
    <row r="74" spans="2:41">
      <c r="R74" s="6"/>
      <c r="T74" s="6"/>
      <c r="U74" s="6"/>
      <c r="V74" s="6"/>
      <c r="W74" s="6"/>
      <c r="X74" s="188"/>
      <c r="Y74" s="188"/>
      <c r="AD74" s="478">
        <v>32</v>
      </c>
    </row>
    <row r="75" spans="2:41" ht="18.75" thickBot="1">
      <c r="B75" s="832" t="s">
        <v>460</v>
      </c>
      <c r="C75" s="832"/>
      <c r="D75" s="832"/>
      <c r="E75" s="832"/>
      <c r="F75" s="832"/>
      <c r="G75" s="832"/>
      <c r="H75" s="832"/>
      <c r="I75" s="832"/>
      <c r="J75" s="832"/>
      <c r="K75" s="15"/>
      <c r="L75" s="15"/>
      <c r="R75" s="6"/>
      <c r="T75" s="6"/>
      <c r="U75" s="6"/>
      <c r="V75" s="6"/>
      <c r="W75" s="6"/>
      <c r="X75" s="421"/>
      <c r="Y75" s="421"/>
      <c r="AD75" s="478">
        <v>33</v>
      </c>
    </row>
    <row r="76" spans="2:41">
      <c r="M76" s="6"/>
      <c r="O76" s="6"/>
      <c r="P76" s="6"/>
      <c r="Q76" s="6"/>
      <c r="R76" s="6"/>
      <c r="S76" s="6"/>
      <c r="T76" s="6"/>
      <c r="U76" s="6"/>
      <c r="V76" s="6"/>
      <c r="W76" s="6"/>
      <c r="X76" s="188"/>
      <c r="Y76" s="188"/>
      <c r="AD76" s="478">
        <v>34</v>
      </c>
    </row>
    <row r="77" spans="2:41">
      <c r="M77" s="6"/>
      <c r="O77" s="6"/>
      <c r="P77" s="6"/>
      <c r="Q77" s="6"/>
      <c r="R77" s="6"/>
      <c r="S77" s="6"/>
      <c r="T77" s="6"/>
      <c r="U77" s="6"/>
      <c r="V77" s="6"/>
      <c r="W77" s="6"/>
      <c r="X77" s="421"/>
      <c r="Y77" s="421"/>
      <c r="AD77" s="478">
        <v>35</v>
      </c>
    </row>
    <row r="78" spans="2:41" ht="15">
      <c r="B78" s="413" t="s">
        <v>461</v>
      </c>
      <c r="D78" s="171"/>
      <c r="E78" s="413" t="s">
        <v>366</v>
      </c>
      <c r="O78" s="6"/>
      <c r="P78" s="6"/>
      <c r="Q78" s="6"/>
      <c r="R78" s="6"/>
      <c r="S78" s="6"/>
      <c r="T78" s="6"/>
      <c r="U78" s="6"/>
      <c r="V78" s="6"/>
      <c r="W78" s="6"/>
      <c r="X78" s="188"/>
      <c r="Y78" s="188"/>
      <c r="AD78" s="478">
        <v>36</v>
      </c>
    </row>
    <row r="79" spans="2:41" ht="14.25" customHeight="1">
      <c r="B79" s="318" t="s">
        <v>72</v>
      </c>
      <c r="C79" s="318" t="s">
        <v>462</v>
      </c>
      <c r="D79" s="411"/>
      <c r="E79" s="318" t="s">
        <v>463</v>
      </c>
      <c r="F79" s="318" t="s">
        <v>464</v>
      </c>
      <c r="G79" s="318" t="s">
        <v>465</v>
      </c>
      <c r="N79" s="6"/>
      <c r="O79" s="6"/>
      <c r="P79" s="6"/>
      <c r="Q79" s="6"/>
      <c r="R79" s="6"/>
      <c r="S79" s="6"/>
      <c r="T79" s="6"/>
      <c r="W79" s="6"/>
      <c r="X79" s="421"/>
      <c r="Y79" s="421"/>
      <c r="AD79" s="478">
        <v>37</v>
      </c>
    </row>
    <row r="80" spans="2:41" ht="14.25" customHeight="1">
      <c r="B80" s="478">
        <v>3</v>
      </c>
      <c r="C80" s="478">
        <v>0.4</v>
      </c>
      <c r="D80" s="414"/>
      <c r="E80" s="356" t="s">
        <v>466</v>
      </c>
      <c r="F80" s="356">
        <v>100</v>
      </c>
      <c r="G80" s="356" t="s">
        <v>467</v>
      </c>
      <c r="J80" s="6"/>
      <c r="N80" s="6"/>
      <c r="O80" s="6"/>
      <c r="P80" s="6"/>
      <c r="Q80" s="6"/>
      <c r="R80" s="6"/>
      <c r="S80" s="6"/>
      <c r="T80" s="6"/>
      <c r="W80" s="6"/>
      <c r="X80" s="188"/>
      <c r="Y80" s="188"/>
      <c r="AD80" s="478">
        <v>38</v>
      </c>
    </row>
    <row r="81" spans="2:75" s="9" customFormat="1" ht="14.1" customHeight="1">
      <c r="B81" s="481">
        <v>4</v>
      </c>
      <c r="C81" s="478">
        <v>0.53</v>
      </c>
      <c r="D81" s="415"/>
      <c r="E81" s="356" t="s">
        <v>468</v>
      </c>
      <c r="F81" s="356">
        <v>3.0800000000000001E-2</v>
      </c>
      <c r="G81" s="356" t="s">
        <v>469</v>
      </c>
      <c r="X81" s="421"/>
      <c r="Y81" s="421"/>
      <c r="AD81" s="481">
        <v>39</v>
      </c>
    </row>
    <row r="82" spans="2:75" ht="14.25" customHeight="1">
      <c r="B82" s="478">
        <v>5</v>
      </c>
      <c r="C82" s="478">
        <v>0.67</v>
      </c>
      <c r="D82" s="414"/>
      <c r="E82" s="247" t="s">
        <v>470</v>
      </c>
      <c r="F82" s="469">
        <v>0.5</v>
      </c>
      <c r="G82" s="247" t="s">
        <v>424</v>
      </c>
      <c r="J82" s="6"/>
      <c r="N82" s="6"/>
      <c r="O82" s="6"/>
      <c r="P82" s="6"/>
      <c r="Q82" s="6"/>
      <c r="R82" s="6"/>
      <c r="S82" s="6"/>
      <c r="T82" s="6"/>
      <c r="W82" s="6"/>
      <c r="X82" s="188"/>
      <c r="Y82" s="188"/>
      <c r="AD82" s="478">
        <v>40</v>
      </c>
    </row>
    <row r="83" spans="2:75">
      <c r="B83" s="478">
        <v>6</v>
      </c>
      <c r="C83" s="478">
        <v>0.8</v>
      </c>
      <c r="D83" s="414"/>
      <c r="E83" s="356" t="s">
        <v>471</v>
      </c>
      <c r="F83" s="482">
        <v>0.4</v>
      </c>
      <c r="G83" s="356" t="s">
        <v>424</v>
      </c>
      <c r="J83" s="6"/>
      <c r="N83" s="6"/>
      <c r="O83" s="6"/>
      <c r="P83" s="6"/>
      <c r="Q83" s="6"/>
      <c r="R83" s="6"/>
      <c r="S83" s="6"/>
      <c r="T83" s="6"/>
      <c r="W83" s="6"/>
      <c r="X83" s="188"/>
      <c r="Y83" s="188"/>
      <c r="AC83" s="171"/>
    </row>
    <row r="84" spans="2:75">
      <c r="B84" s="414"/>
      <c r="C84" s="414"/>
      <c r="D84" s="414"/>
      <c r="E84" s="356" t="s">
        <v>472</v>
      </c>
      <c r="F84" s="356">
        <v>23.3</v>
      </c>
      <c r="G84" s="356" t="s">
        <v>473</v>
      </c>
      <c r="J84" s="6"/>
      <c r="N84" s="6"/>
      <c r="O84" s="6"/>
      <c r="P84" s="6"/>
      <c r="Q84" s="6"/>
      <c r="R84" s="6"/>
      <c r="S84" s="6"/>
      <c r="T84" s="6"/>
      <c r="W84" s="6"/>
      <c r="X84" s="421"/>
      <c r="Y84" s="421"/>
    </row>
    <row r="85" spans="2:75">
      <c r="B85" s="171"/>
      <c r="C85" s="171"/>
      <c r="D85" s="171"/>
      <c r="E85" s="356" t="s">
        <v>474</v>
      </c>
      <c r="F85" s="483">
        <v>16.7</v>
      </c>
      <c r="G85" s="356" t="s">
        <v>473</v>
      </c>
      <c r="I85" s="6"/>
      <c r="J85" s="6"/>
      <c r="Q85" s="6"/>
      <c r="R85" s="6"/>
      <c r="S85" s="6"/>
      <c r="T85" s="6"/>
      <c r="U85" s="6"/>
      <c r="V85" s="6"/>
      <c r="W85" s="6"/>
      <c r="X85" s="188"/>
      <c r="Y85" s="188"/>
    </row>
    <row r="86" spans="2:75">
      <c r="B86" s="171"/>
      <c r="C86" s="171"/>
      <c r="D86" s="171"/>
      <c r="E86" s="356" t="s">
        <v>377</v>
      </c>
      <c r="F86" s="356">
        <v>311</v>
      </c>
      <c r="G86" s="356" t="s">
        <v>475</v>
      </c>
      <c r="I86" s="6"/>
      <c r="J86" s="6"/>
      <c r="Q86" s="6"/>
      <c r="R86" s="6"/>
      <c r="S86" s="6"/>
      <c r="T86" s="6"/>
      <c r="U86" s="6"/>
      <c r="V86" s="6"/>
      <c r="W86" s="6"/>
      <c r="X86" s="188"/>
      <c r="Y86" s="188"/>
    </row>
    <row r="87" spans="2:75">
      <c r="B87" s="171"/>
      <c r="C87" s="171"/>
      <c r="D87" s="171"/>
      <c r="E87" s="484" t="s">
        <v>428</v>
      </c>
      <c r="F87" s="484">
        <v>1.863E-4</v>
      </c>
      <c r="G87" s="484" t="s">
        <v>380</v>
      </c>
      <c r="I87" s="6"/>
      <c r="J87" s="6"/>
      <c r="Q87" s="6"/>
      <c r="R87" s="6"/>
      <c r="S87" s="6"/>
      <c r="T87" s="6"/>
      <c r="U87" s="6"/>
      <c r="V87" s="6"/>
      <c r="W87" s="6"/>
      <c r="X87" s="188"/>
      <c r="Y87" s="188"/>
    </row>
    <row r="88" spans="2:75">
      <c r="B88" s="171"/>
      <c r="C88" s="171"/>
      <c r="D88" s="171"/>
      <c r="E88" s="484" t="s">
        <v>429</v>
      </c>
      <c r="F88" s="484">
        <v>1.192E-4</v>
      </c>
      <c r="G88" s="484" t="s">
        <v>380</v>
      </c>
      <c r="I88" s="6"/>
      <c r="J88" s="6"/>
      <c r="Q88" s="6"/>
      <c r="R88" s="6"/>
      <c r="T88" s="6"/>
      <c r="U88" s="6"/>
      <c r="V88" s="6"/>
      <c r="W88" s="6"/>
      <c r="X88" s="188"/>
      <c r="Y88" s="188"/>
    </row>
    <row r="89" spans="2:75" s="9" customFormat="1" ht="15">
      <c r="B89" s="171"/>
      <c r="C89" s="171"/>
      <c r="D89" s="171"/>
      <c r="H89" s="1"/>
      <c r="I89" s="6"/>
      <c r="J89" s="6"/>
      <c r="N89" s="6"/>
      <c r="O89" s="6"/>
      <c r="P89" s="6"/>
      <c r="Q89" s="6"/>
      <c r="R89" s="6"/>
      <c r="S89" s="6"/>
      <c r="T89" s="6"/>
      <c r="U89" s="6"/>
      <c r="V89" s="6"/>
      <c r="W89" s="6"/>
      <c r="X89" s="188"/>
      <c r="Y89" s="188"/>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row>
    <row r="90" spans="2:75" ht="14.25" customHeight="1">
      <c r="B90" s="171"/>
      <c r="C90" s="171"/>
      <c r="D90" s="171"/>
      <c r="I90" s="6"/>
      <c r="J90" s="6"/>
      <c r="K90" s="6"/>
      <c r="L90" s="6"/>
      <c r="M90" s="6"/>
      <c r="N90" s="6"/>
      <c r="O90" s="6"/>
      <c r="P90" s="6"/>
      <c r="Q90" s="6"/>
      <c r="R90" s="6"/>
      <c r="S90" s="6"/>
      <c r="T90" s="6"/>
      <c r="U90" s="6"/>
      <c r="V90" s="6"/>
      <c r="W90" s="6"/>
      <c r="X90" s="188"/>
      <c r="Y90" s="188"/>
    </row>
    <row r="91" spans="2:75">
      <c r="I91" s="6"/>
      <c r="J91" s="6"/>
      <c r="K91" s="6"/>
      <c r="L91" s="6"/>
      <c r="M91" s="6"/>
      <c r="N91" s="6"/>
      <c r="O91" s="6"/>
      <c r="P91" s="6"/>
      <c r="Q91" s="6"/>
      <c r="R91" s="6"/>
      <c r="S91" s="6"/>
      <c r="T91" s="6"/>
      <c r="U91" s="6"/>
      <c r="V91" s="6"/>
      <c r="W91" s="6"/>
      <c r="X91" s="188"/>
      <c r="Y91" s="188"/>
    </row>
    <row r="92" spans="2:75" ht="15">
      <c r="B92" s="413" t="s">
        <v>382</v>
      </c>
      <c r="P92" s="6"/>
      <c r="Q92" s="6"/>
      <c r="R92" s="6"/>
      <c r="S92" s="6"/>
      <c r="T92" s="6"/>
      <c r="U92" s="6"/>
      <c r="V92" s="6"/>
      <c r="W92" s="6"/>
      <c r="X92" s="188"/>
      <c r="Y92" s="188"/>
    </row>
    <row r="93" spans="2:75" ht="15">
      <c r="B93" s="825" t="s">
        <v>476</v>
      </c>
      <c r="C93" s="825" t="s">
        <v>477</v>
      </c>
      <c r="D93" s="825" t="s">
        <v>478</v>
      </c>
      <c r="E93" s="825" t="s">
        <v>479</v>
      </c>
      <c r="F93" s="829" t="s">
        <v>480</v>
      </c>
      <c r="G93" s="829" t="s">
        <v>481</v>
      </c>
      <c r="H93" s="825" t="s">
        <v>482</v>
      </c>
      <c r="I93" s="825" t="s">
        <v>483</v>
      </c>
      <c r="J93" s="829" t="s">
        <v>484</v>
      </c>
      <c r="K93" s="829" t="s">
        <v>485</v>
      </c>
      <c r="L93" s="829" t="s">
        <v>123</v>
      </c>
      <c r="M93" s="829" t="s">
        <v>486</v>
      </c>
      <c r="N93" s="829" t="s">
        <v>441</v>
      </c>
      <c r="O93" s="829" t="s">
        <v>121</v>
      </c>
      <c r="P93" s="9"/>
      <c r="Q93" s="6"/>
      <c r="R93" s="6"/>
      <c r="S93" s="6"/>
      <c r="T93" s="6"/>
      <c r="U93" s="6"/>
      <c r="V93" s="6"/>
      <c r="W93" s="6"/>
      <c r="X93" s="6"/>
      <c r="Z93" s="188"/>
      <c r="AA93" s="188"/>
    </row>
    <row r="94" spans="2:75" s="9" customFormat="1" ht="15">
      <c r="B94" s="825"/>
      <c r="C94" s="825"/>
      <c r="D94" s="825"/>
      <c r="E94" s="825"/>
      <c r="F94" s="829"/>
      <c r="G94" s="829"/>
      <c r="H94" s="825"/>
      <c r="I94" s="825"/>
      <c r="J94" s="829"/>
      <c r="K94" s="829"/>
      <c r="L94" s="829"/>
      <c r="M94" s="829"/>
      <c r="N94" s="829"/>
      <c r="O94" s="829"/>
      <c r="P94" s="1"/>
      <c r="Q94" s="6"/>
      <c r="R94" s="6"/>
      <c r="S94" s="6"/>
      <c r="T94" s="6"/>
      <c r="U94" s="6"/>
      <c r="V94" s="6"/>
      <c r="W94" s="6"/>
      <c r="X94" s="6"/>
      <c r="Y94" s="6"/>
      <c r="Z94" s="188"/>
      <c r="AA94" s="188"/>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row>
    <row r="95" spans="2:75" ht="14.25" customHeight="1">
      <c r="B95" s="486">
        <f>('ENERGY STAR Steam Cooker'!D7)</f>
        <v>0</v>
      </c>
      <c r="C95" s="487" t="e">
        <f>VLOOKUP('ENERGY STAR Steam Cooker'!H7,Calculations!$B$80:$C$83,2,FALSE)</f>
        <v>#N/A</v>
      </c>
      <c r="D95" s="487" t="e">
        <f>IF('ENERGY STAR Steam Cooker'!E7&lt;C95,'ENERGY STAR Steam Cooker'!E7,0)</f>
        <v>#N/A</v>
      </c>
      <c r="E95" s="487">
        <f>'ENERGY STAR Steam Cooker'!F7</f>
        <v>0</v>
      </c>
      <c r="F95" s="487">
        <f>'ENERGY STAR Steam Cooker'!H7</f>
        <v>0</v>
      </c>
      <c r="G95" s="487">
        <f>'ENERGY STAR Steam Cooker'!I7</f>
        <v>0</v>
      </c>
      <c r="H95" s="488" t="e">
        <f>(C95*(1-$F$83)+$F$83*$F$84*F95*($F$81/$F$82))*(E95-($F$80/($F$84*F95)))</f>
        <v>#N/A</v>
      </c>
      <c r="I95" s="488" t="e">
        <f>IF(D95&lt;0,0,(D95*(1-$F$83)+$F$83*$F$85*F95*($F$81/B95))*(E95-($F$80/($F$85*F95))))</f>
        <v>#N/A</v>
      </c>
      <c r="J95" s="488" t="e">
        <f>$F$80*$F$81*((1/$F$82)-(1/B95))</f>
        <v>#DIV/0!</v>
      </c>
      <c r="K95" s="489" t="e">
        <f>H95-I95</f>
        <v>#N/A</v>
      </c>
      <c r="L95" s="489" t="e">
        <f>IF('ENERGY STAR Steam Cooker'!E7&lt;C95,IFERROR((J95+K95)*$F$86*$G95, 0),0)</f>
        <v>#N/A</v>
      </c>
      <c r="M95" s="489" t="e">
        <f>L95*$F$87</f>
        <v>#N/A</v>
      </c>
      <c r="N95" s="489" t="e">
        <f>L95*$F$88</f>
        <v>#N/A</v>
      </c>
      <c r="O95" s="489" t="e">
        <f>AVERAGE(M95:N95)</f>
        <v>#N/A</v>
      </c>
      <c r="Q95" s="6"/>
      <c r="R95" s="6"/>
      <c r="S95" s="6"/>
      <c r="T95" s="6"/>
      <c r="U95" s="6"/>
      <c r="V95" s="6"/>
      <c r="W95" s="6"/>
      <c r="X95" s="6"/>
      <c r="Z95" s="188"/>
      <c r="AA95" s="188"/>
    </row>
    <row r="96" spans="2:75" ht="14.25" customHeight="1">
      <c r="B96" s="486">
        <f>('ENERGY STAR Steam Cooker'!D8)</f>
        <v>0</v>
      </c>
      <c r="C96" s="487" t="e">
        <f>VLOOKUP('ENERGY STAR Steam Cooker'!H8,Calculations!$B$80:$C$83,2,FALSE)</f>
        <v>#N/A</v>
      </c>
      <c r="D96" s="487" t="e">
        <f>IF('ENERGY STAR Steam Cooker'!E8&lt;C96,'ENERGY STAR Steam Cooker'!E8,0)</f>
        <v>#N/A</v>
      </c>
      <c r="E96" s="487">
        <f>'ENERGY STAR Steam Cooker'!F8</f>
        <v>0</v>
      </c>
      <c r="F96" s="487">
        <f>'ENERGY STAR Steam Cooker'!H8</f>
        <v>0</v>
      </c>
      <c r="G96" s="487">
        <f>'ENERGY STAR Steam Cooker'!I8</f>
        <v>0</v>
      </c>
      <c r="H96" s="488" t="e">
        <f>(C96*(1-$F$83)+$F$83*$F$84*F96*($F$81/$F$82))*(E96-($F$80/($F$84*F96)))</f>
        <v>#N/A</v>
      </c>
      <c r="I96" s="488" t="e">
        <f>IF(D96&lt;0,0,(D96*(1-$F$83)+$F$83*$F$85*F96*($F$81/B96))*(E96-($F$80/($F$85*F96))))</f>
        <v>#N/A</v>
      </c>
      <c r="J96" s="488" t="e">
        <f>$F$80*$F$81*((1/$F$82)-(1/B96))</f>
        <v>#DIV/0!</v>
      </c>
      <c r="K96" s="489" t="e">
        <f t="shared" ref="K96:K98" si="15">H96-I96</f>
        <v>#N/A</v>
      </c>
      <c r="L96" s="489" t="e">
        <f>IF('ENERGY STAR Steam Cooker'!E8&lt;C96,IFERROR((J96+K96)*$F$86*$G96, 0),0)</f>
        <v>#N/A</v>
      </c>
      <c r="M96" s="489" t="e">
        <f>L96*$F$87</f>
        <v>#N/A</v>
      </c>
      <c r="N96" s="489" t="e">
        <f t="shared" ref="N96:N98" si="16">L96*$F$88</f>
        <v>#N/A</v>
      </c>
      <c r="O96" s="489" t="e">
        <f t="shared" ref="O96:O98" si="17">AVERAGE(M96:N96)</f>
        <v>#N/A</v>
      </c>
      <c r="Q96" s="6"/>
      <c r="R96" s="6"/>
      <c r="S96" s="6"/>
      <c r="T96" s="6"/>
      <c r="U96" s="6"/>
      <c r="V96" s="6"/>
      <c r="W96" s="6"/>
      <c r="X96" s="6"/>
      <c r="Z96" s="188"/>
      <c r="AA96" s="188"/>
    </row>
    <row r="97" spans="2:80" ht="15">
      <c r="B97" s="486">
        <f>('ENERGY STAR Steam Cooker'!D9)</f>
        <v>0</v>
      </c>
      <c r="C97" s="487" t="e">
        <f>VLOOKUP('ENERGY STAR Steam Cooker'!H9,Calculations!$B$80:$C$83,2,FALSE)</f>
        <v>#N/A</v>
      </c>
      <c r="D97" s="487" t="e">
        <f>IF('ENERGY STAR Steam Cooker'!E9&lt;C97,'ENERGY STAR Steam Cooker'!E9,0)</f>
        <v>#N/A</v>
      </c>
      <c r="E97" s="487">
        <f>'ENERGY STAR Steam Cooker'!F9</f>
        <v>0</v>
      </c>
      <c r="F97" s="487">
        <f>'ENERGY STAR Steam Cooker'!H9</f>
        <v>0</v>
      </c>
      <c r="G97" s="487">
        <f>'ENERGY STAR Steam Cooker'!I9</f>
        <v>0</v>
      </c>
      <c r="H97" s="488" t="e">
        <f>(C97*(1-$F$83)+$F$83*$F$84*F97*($F$81/$F$82))*(E97-($F$80/($F$84*F97)))</f>
        <v>#N/A</v>
      </c>
      <c r="I97" s="488" t="e">
        <f>IF(D97&lt;0,0,(D97*(1-$F$83)+$F$83*$F$85*F97*($F$81/B97))*(E97-($F$80/($F$85*F97))))</f>
        <v>#N/A</v>
      </c>
      <c r="J97" s="488" t="e">
        <f>$F$80*$F$81*((1/$F$82)-(1/B97))</f>
        <v>#DIV/0!</v>
      </c>
      <c r="K97" s="489" t="e">
        <f t="shared" si="15"/>
        <v>#N/A</v>
      </c>
      <c r="L97" s="489" t="e">
        <f>IF('ENERGY STAR Steam Cooker'!E9&lt;C97,IFERROR((J97+K97)*$F$86*$G97, 0),0)</f>
        <v>#N/A</v>
      </c>
      <c r="M97" s="489" t="e">
        <f t="shared" ref="M97:M98" si="18">L97*$F$87</f>
        <v>#N/A</v>
      </c>
      <c r="N97" s="489" t="e">
        <f t="shared" si="16"/>
        <v>#N/A</v>
      </c>
      <c r="O97" s="489" t="e">
        <f t="shared" si="17"/>
        <v>#N/A</v>
      </c>
      <c r="P97" s="26"/>
      <c r="Q97" s="6"/>
      <c r="R97" s="6"/>
      <c r="S97" s="6"/>
      <c r="T97" s="6"/>
      <c r="U97" s="6"/>
      <c r="V97" s="6"/>
      <c r="W97" s="6"/>
      <c r="X97" s="6"/>
      <c r="Z97" s="188"/>
      <c r="AA97" s="188"/>
    </row>
    <row r="98" spans="2:80" s="26" customFormat="1" ht="13.5" customHeight="1">
      <c r="B98" s="486">
        <f>('ENERGY STAR Steam Cooker'!D10)</f>
        <v>0</v>
      </c>
      <c r="C98" s="487" t="e">
        <f>VLOOKUP('ENERGY STAR Steam Cooker'!H10,Calculations!$B$80:$C$83,2,FALSE)</f>
        <v>#N/A</v>
      </c>
      <c r="D98" s="487" t="e">
        <f>IF('ENERGY STAR Steam Cooker'!E10&lt;C98,'ENERGY STAR Steam Cooker'!E10,0)</f>
        <v>#N/A</v>
      </c>
      <c r="E98" s="487">
        <f>'ENERGY STAR Steam Cooker'!F10</f>
        <v>0</v>
      </c>
      <c r="F98" s="487">
        <f>'ENERGY STAR Steam Cooker'!H10</f>
        <v>0</v>
      </c>
      <c r="G98" s="487">
        <f>'ENERGY STAR Steam Cooker'!I10</f>
        <v>0</v>
      </c>
      <c r="H98" s="488" t="e">
        <f>(C98*(1-$F$83)+$F$83*$F$84*F98*($F$81/$F$82))*(E98-($F$80/($F$84*F98)))</f>
        <v>#N/A</v>
      </c>
      <c r="I98" s="488" t="e">
        <f>IF(D98&lt;0,0,(D98*(1-$F$83)+$F$83*$F$85*F98*($F$81/B98))*(E98-($F$80/($F$85*F98))))</f>
        <v>#N/A</v>
      </c>
      <c r="J98" s="488" t="e">
        <f>$F$80*$F$81*((1/$F$82)-(1/B98))</f>
        <v>#DIV/0!</v>
      </c>
      <c r="K98" s="489" t="e">
        <f t="shared" si="15"/>
        <v>#N/A</v>
      </c>
      <c r="L98" s="489" t="e">
        <f>IF('ENERGY STAR Steam Cooker'!E10&lt;C98,IFERROR((J98+K98)*$F$86*$G98, 0),0)</f>
        <v>#N/A</v>
      </c>
      <c r="M98" s="489" t="e">
        <f t="shared" si="18"/>
        <v>#N/A</v>
      </c>
      <c r="N98" s="489" t="e">
        <f t="shared" si="16"/>
        <v>#N/A</v>
      </c>
      <c r="O98" s="489" t="e">
        <f t="shared" si="17"/>
        <v>#N/A</v>
      </c>
      <c r="P98" s="1"/>
      <c r="Q98" s="6"/>
      <c r="R98" s="6"/>
      <c r="S98" s="6"/>
      <c r="T98" s="6"/>
      <c r="U98" s="6"/>
      <c r="V98" s="6"/>
      <c r="W98" s="6"/>
      <c r="X98" s="6"/>
      <c r="Y98" s="6"/>
      <c r="Z98" s="188"/>
      <c r="AA98" s="188"/>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row>
    <row r="99" spans="2:80">
      <c r="I99" s="6"/>
      <c r="J99" s="6"/>
      <c r="K99" s="6"/>
      <c r="L99" s="6"/>
      <c r="M99" s="6"/>
      <c r="N99" s="6"/>
      <c r="O99" s="6"/>
      <c r="P99" s="6" t="s">
        <v>487</v>
      </c>
      <c r="Q99" s="6"/>
      <c r="R99" s="6"/>
      <c r="S99" s="6"/>
      <c r="T99" s="6"/>
      <c r="U99" s="6"/>
      <c r="V99" s="6"/>
      <c r="W99" s="6"/>
      <c r="X99" s="188"/>
      <c r="Y99" s="188"/>
    </row>
    <row r="100" spans="2:80">
      <c r="I100" s="6"/>
      <c r="J100" s="6"/>
      <c r="K100" s="6"/>
      <c r="L100" s="6"/>
      <c r="M100" s="6"/>
      <c r="N100" s="6"/>
      <c r="O100" s="6"/>
      <c r="P100" s="6"/>
      <c r="Q100" s="6"/>
      <c r="R100" s="6"/>
      <c r="S100" s="6"/>
      <c r="T100" s="6"/>
      <c r="U100" s="6"/>
      <c r="V100" s="6"/>
      <c r="W100" s="6"/>
      <c r="X100" s="188"/>
      <c r="Y100" s="188"/>
    </row>
    <row r="101" spans="2:80" ht="18.75" thickBot="1">
      <c r="B101" s="832" t="s">
        <v>488</v>
      </c>
      <c r="C101" s="832"/>
      <c r="D101" s="832"/>
      <c r="E101" s="832"/>
      <c r="F101" s="832"/>
      <c r="G101" s="832"/>
      <c r="H101" s="832"/>
      <c r="I101" s="832"/>
      <c r="J101" s="832"/>
      <c r="K101" s="85"/>
      <c r="L101" s="15"/>
      <c r="M101" s="6"/>
      <c r="N101" s="6"/>
      <c r="O101" s="6"/>
      <c r="P101" s="6"/>
      <c r="Q101" s="6"/>
      <c r="R101" s="6"/>
      <c r="S101" s="6"/>
      <c r="T101" s="6"/>
      <c r="U101" s="6"/>
      <c r="V101" s="6"/>
      <c r="W101" s="6"/>
      <c r="Y101" s="143"/>
    </row>
    <row r="102" spans="2:80" ht="15.75">
      <c r="B102" s="412" t="s">
        <v>416</v>
      </c>
      <c r="C102" s="413"/>
      <c r="D102" s="413" t="s">
        <v>489</v>
      </c>
      <c r="H102" s="498" t="s">
        <v>366</v>
      </c>
      <c r="I102" s="499"/>
      <c r="J102" s="499"/>
      <c r="L102" s="413" t="s">
        <v>490</v>
      </c>
      <c r="P102" s="443"/>
      <c r="Q102" s="9"/>
      <c r="R102" s="9"/>
      <c r="S102" s="9"/>
      <c r="T102" s="9"/>
      <c r="U102" s="9"/>
      <c r="V102" s="9"/>
      <c r="W102" s="9"/>
      <c r="X102" s="150"/>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row>
    <row r="103" spans="2:80" ht="15">
      <c r="B103" s="175" t="s">
        <v>84</v>
      </c>
      <c r="D103" s="245" t="s">
        <v>491</v>
      </c>
      <c r="E103" s="245" t="s">
        <v>492</v>
      </c>
      <c r="F103" s="245" t="s">
        <v>493</v>
      </c>
      <c r="G103" s="26"/>
      <c r="H103" s="500" t="s">
        <v>463</v>
      </c>
      <c r="I103" s="500" t="s">
        <v>464</v>
      </c>
      <c r="J103" s="500" t="s">
        <v>465</v>
      </c>
      <c r="K103" s="26"/>
      <c r="L103" s="318" t="s">
        <v>494</v>
      </c>
      <c r="M103" s="501" t="s">
        <v>495</v>
      </c>
      <c r="N103" s="318" t="s">
        <v>487</v>
      </c>
      <c r="O103" s="318" t="s">
        <v>496</v>
      </c>
      <c r="Q103" s="6"/>
      <c r="R103" s="6"/>
      <c r="S103" s="6"/>
      <c r="T103" s="6"/>
      <c r="U103" s="6"/>
      <c r="V103" s="6"/>
      <c r="W103" s="6"/>
      <c r="BI103" s="26"/>
    </row>
    <row r="104" spans="2:80" ht="15">
      <c r="B104" s="233" t="s">
        <v>497</v>
      </c>
      <c r="D104" s="491" t="s">
        <v>495</v>
      </c>
      <c r="E104" s="492" t="s">
        <v>497</v>
      </c>
      <c r="F104" s="356">
        <v>0</v>
      </c>
      <c r="H104" s="356" t="s">
        <v>498</v>
      </c>
      <c r="I104" s="356">
        <v>29.5</v>
      </c>
      <c r="J104" s="356" t="s">
        <v>499</v>
      </c>
      <c r="L104" s="233" t="s">
        <v>495</v>
      </c>
      <c r="M104" s="233" t="s">
        <v>500</v>
      </c>
      <c r="N104" s="233" t="s">
        <v>497</v>
      </c>
      <c r="O104" s="233" t="s">
        <v>497</v>
      </c>
      <c r="P104" s="6"/>
      <c r="Q104" s="6"/>
      <c r="R104" s="6"/>
      <c r="S104" s="6"/>
      <c r="T104" s="6"/>
      <c r="U104" s="6"/>
      <c r="V104" s="6"/>
      <c r="W104" s="6"/>
      <c r="BJ104" s="26"/>
      <c r="BK104" s="26"/>
      <c r="BL104" s="26"/>
      <c r="BM104" s="26"/>
      <c r="BN104" s="26"/>
      <c r="BO104" s="26"/>
      <c r="BP104" s="26"/>
      <c r="BQ104" s="26"/>
      <c r="BR104" s="26"/>
      <c r="BS104" s="26"/>
      <c r="BT104" s="26"/>
      <c r="BU104" s="26"/>
    </row>
    <row r="105" spans="2:80">
      <c r="B105" s="233" t="s">
        <v>501</v>
      </c>
      <c r="D105" s="493"/>
      <c r="E105" s="247" t="s">
        <v>501</v>
      </c>
      <c r="F105" s="247">
        <v>0</v>
      </c>
      <c r="H105" s="356" t="s">
        <v>502</v>
      </c>
      <c r="I105" s="356">
        <v>21</v>
      </c>
      <c r="J105" s="356" t="s">
        <v>503</v>
      </c>
      <c r="L105" s="233" t="s">
        <v>487</v>
      </c>
      <c r="M105" s="233"/>
      <c r="N105" s="233" t="s">
        <v>501</v>
      </c>
      <c r="O105" s="233" t="s">
        <v>501</v>
      </c>
    </row>
    <row r="106" spans="2:80" ht="15">
      <c r="B106" s="233" t="s">
        <v>504</v>
      </c>
      <c r="D106" s="493"/>
      <c r="E106" s="247" t="s">
        <v>504</v>
      </c>
      <c r="F106" s="247">
        <v>0</v>
      </c>
      <c r="H106" s="356" t="s">
        <v>505</v>
      </c>
      <c r="I106" s="356">
        <v>8760</v>
      </c>
      <c r="J106" s="356" t="s">
        <v>506</v>
      </c>
      <c r="L106" s="233" t="s">
        <v>496</v>
      </c>
      <c r="M106" s="233"/>
      <c r="N106" s="233"/>
      <c r="O106" s="233" t="s">
        <v>504</v>
      </c>
      <c r="BV106" s="9"/>
      <c r="BW106" s="9"/>
      <c r="BX106" s="9"/>
    </row>
    <row r="107" spans="2:80" ht="14.25" customHeight="1">
      <c r="B107" s="233" t="s">
        <v>507</v>
      </c>
      <c r="D107" s="476"/>
      <c r="E107" s="247" t="s">
        <v>507</v>
      </c>
      <c r="F107" s="247">
        <v>0</v>
      </c>
      <c r="H107" s="356" t="s">
        <v>508</v>
      </c>
      <c r="I107" s="356" t="e">
        <f>VLOOKUP(Summary!C14,Incentives!B77:C94,2,FALSE)</f>
        <v>#N/A</v>
      </c>
      <c r="J107" s="356" t="s">
        <v>506</v>
      </c>
      <c r="L107" s="233"/>
      <c r="M107" s="233"/>
      <c r="N107" s="233"/>
      <c r="O107" s="233" t="s">
        <v>507</v>
      </c>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row>
    <row r="108" spans="2:80" ht="14.25" customHeight="1">
      <c r="B108" s="318" t="s">
        <v>509</v>
      </c>
      <c r="D108" s="491" t="s">
        <v>487</v>
      </c>
      <c r="E108" s="492" t="s">
        <v>497</v>
      </c>
      <c r="F108" s="247">
        <v>3.72</v>
      </c>
      <c r="H108" s="356" t="s">
        <v>510</v>
      </c>
      <c r="I108" s="483">
        <v>4</v>
      </c>
      <c r="J108" s="483" t="s">
        <v>511</v>
      </c>
      <c r="P108" s="6"/>
      <c r="Q108" s="6"/>
      <c r="R108" s="6"/>
      <c r="S108" s="6"/>
      <c r="T108" s="6"/>
      <c r="U108" s="6"/>
      <c r="V108" s="9"/>
      <c r="W108" s="9"/>
      <c r="X108" s="150"/>
      <c r="Y108" s="9"/>
      <c r="Z108" s="9"/>
      <c r="AA108" s="9"/>
      <c r="AB108" s="9"/>
      <c r="AC108" s="9"/>
      <c r="AD108" s="9"/>
      <c r="AE108" s="9"/>
    </row>
    <row r="109" spans="2:80" ht="15">
      <c r="B109" s="490" t="s">
        <v>512</v>
      </c>
      <c r="D109" s="493"/>
      <c r="E109" s="492" t="s">
        <v>501</v>
      </c>
      <c r="F109" s="247">
        <v>4.6900000000000004</v>
      </c>
      <c r="H109" s="356" t="s">
        <v>377</v>
      </c>
      <c r="I109" s="356">
        <v>365</v>
      </c>
      <c r="J109" s="356" t="s">
        <v>475</v>
      </c>
      <c r="P109" s="6"/>
      <c r="Q109" s="6"/>
      <c r="R109" s="6"/>
      <c r="S109" s="6"/>
      <c r="T109" s="6"/>
      <c r="U109" s="6"/>
      <c r="V109" s="6"/>
      <c r="W109" s="6"/>
      <c r="BV109" s="26"/>
      <c r="BW109" s="26"/>
      <c r="BX109" s="26"/>
      <c r="BY109" s="26"/>
      <c r="BZ109" s="26"/>
      <c r="CA109" s="26"/>
      <c r="CB109" s="26"/>
    </row>
    <row r="110" spans="2:80" s="26" customFormat="1" ht="15" customHeight="1">
      <c r="B110" s="233" t="s">
        <v>513</v>
      </c>
      <c r="C110" s="410"/>
      <c r="D110" s="493"/>
      <c r="E110" s="247" t="s">
        <v>504</v>
      </c>
      <c r="F110" s="247">
        <v>0</v>
      </c>
      <c r="G110" s="1"/>
      <c r="H110" s="1"/>
      <c r="I110" s="6"/>
      <c r="J110" s="6"/>
      <c r="K110" s="6"/>
      <c r="L110" s="1"/>
      <c r="M110" s="1"/>
      <c r="N110" s="1"/>
      <c r="O110" s="1"/>
      <c r="P110" s="6"/>
      <c r="Q110" s="6"/>
      <c r="R110" s="6"/>
      <c r="S110" s="6"/>
      <c r="T110" s="6"/>
      <c r="U110" s="6"/>
      <c r="V110" s="6"/>
      <c r="W110" s="6"/>
      <c r="X110" s="143"/>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row>
    <row r="111" spans="2:80" ht="15">
      <c r="B111" s="411"/>
      <c r="C111"/>
      <c r="D111" s="476"/>
      <c r="E111" s="247" t="s">
        <v>507</v>
      </c>
      <c r="F111" s="247">
        <v>0</v>
      </c>
      <c r="I111" s="6"/>
      <c r="J111" s="6"/>
      <c r="K111" s="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row>
    <row r="112" spans="2:80" ht="15">
      <c r="B112"/>
      <c r="C112"/>
      <c r="D112" s="494" t="s">
        <v>496</v>
      </c>
      <c r="E112" s="492" t="s">
        <v>497</v>
      </c>
      <c r="F112" s="247">
        <v>3.52</v>
      </c>
      <c r="I112" s="6"/>
      <c r="J112" s="6"/>
      <c r="K112" s="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row>
    <row r="113" spans="2:81" s="9" customFormat="1" ht="15">
      <c r="B113"/>
      <c r="C113"/>
      <c r="D113" s="495"/>
      <c r="E113" s="492" t="s">
        <v>501</v>
      </c>
      <c r="F113" s="247">
        <v>3.29</v>
      </c>
      <c r="G113" s="1"/>
      <c r="H113" s="1"/>
      <c r="I113" s="6"/>
      <c r="J113" s="6"/>
      <c r="K113" s="6"/>
      <c r="L113" s="1"/>
      <c r="M113" s="1"/>
      <c r="N113" s="1"/>
      <c r="O113" s="1"/>
      <c r="P113" s="1"/>
      <c r="Q113" s="1"/>
      <c r="R113" s="1"/>
      <c r="S113" s="1"/>
      <c r="T113" s="1"/>
      <c r="U113" s="1"/>
      <c r="V113" s="1"/>
      <c r="W113" s="1"/>
      <c r="X113" s="143"/>
      <c r="Y113" s="6"/>
      <c r="Z113" s="6"/>
      <c r="AA113" s="6"/>
      <c r="AB113" s="6"/>
      <c r="AC113" s="6"/>
      <c r="AD113" s="6"/>
      <c r="AE113" s="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6"/>
      <c r="BE113" s="6"/>
      <c r="BF113" s="6"/>
      <c r="BG113" s="6"/>
      <c r="BH113" s="6"/>
      <c r="BI113" s="6"/>
      <c r="BJ113" s="6"/>
      <c r="BK113" s="6"/>
      <c r="BL113" s="6"/>
      <c r="BM113" s="6"/>
      <c r="BN113" s="6"/>
      <c r="BO113" s="6"/>
      <c r="BP113" s="6"/>
      <c r="BQ113" s="6"/>
      <c r="BR113" s="6"/>
      <c r="BS113" s="6"/>
      <c r="BT113" s="6"/>
      <c r="BU113" s="6"/>
      <c r="BV113" s="6"/>
      <c r="BW113" s="6"/>
      <c r="BX113" s="26"/>
      <c r="BY113" s="26"/>
      <c r="BZ113" s="26"/>
      <c r="CA113" s="26"/>
      <c r="CB113" s="26"/>
      <c r="CC113" s="6"/>
    </row>
    <row r="114" spans="2:81" ht="14.25" customHeight="1">
      <c r="B114"/>
      <c r="C114"/>
      <c r="D114" s="495"/>
      <c r="E114" s="492" t="s">
        <v>504</v>
      </c>
      <c r="F114" s="247">
        <v>4.47</v>
      </c>
      <c r="I114" s="6"/>
      <c r="J114" s="6"/>
      <c r="K114" s="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row>
    <row r="115" spans="2:81" ht="15">
      <c r="B115"/>
      <c r="C115"/>
      <c r="D115" s="496"/>
      <c r="E115" s="497" t="s">
        <v>507</v>
      </c>
      <c r="F115" s="297">
        <v>4.37</v>
      </c>
      <c r="I115" s="6"/>
      <c r="J115" s="6"/>
      <c r="K115" s="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J115" s="9"/>
      <c r="BK115" s="9"/>
      <c r="BL115" s="9"/>
      <c r="BM115" s="9"/>
      <c r="BN115" s="9"/>
      <c r="BO115" s="9"/>
      <c r="BP115" s="9"/>
      <c r="BQ115" s="9"/>
      <c r="BR115" s="9"/>
      <c r="BS115" s="9"/>
      <c r="BT115" s="9"/>
      <c r="BU115" s="9"/>
    </row>
    <row r="116" spans="2:81" s="26" customFormat="1" ht="18.600000000000001" customHeight="1">
      <c r="B116"/>
      <c r="C116"/>
      <c r="D116" s="1"/>
      <c r="E116" s="1"/>
      <c r="F116" s="1"/>
      <c r="G116" s="1"/>
      <c r="H116" s="1"/>
      <c r="I116" s="6"/>
      <c r="J116" s="6"/>
      <c r="K116" s="6"/>
      <c r="L116" s="1"/>
      <c r="M116" s="1"/>
      <c r="N116" s="1"/>
      <c r="O116" s="1"/>
      <c r="P116" s="1"/>
      <c r="Q116" s="1"/>
      <c r="R116" s="1"/>
      <c r="S116" s="1"/>
      <c r="T116" s="1"/>
      <c r="U116" s="1"/>
      <c r="V116" s="1"/>
      <c r="W116" s="1"/>
      <c r="X116" s="143"/>
      <c r="Y116" s="6"/>
      <c r="Z116" s="6"/>
      <c r="AA116" s="6"/>
      <c r="AB116" s="6"/>
      <c r="AC116" s="6"/>
      <c r="AD116" s="6"/>
      <c r="AE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row>
    <row r="117" spans="2:81" ht="15">
      <c r="B117"/>
      <c r="C117"/>
      <c r="I117" s="6"/>
      <c r="J117" s="6"/>
      <c r="K117" s="6"/>
      <c r="L117" s="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row>
    <row r="118" spans="2:81" ht="15.75">
      <c r="B118" s="412" t="s">
        <v>382</v>
      </c>
      <c r="G118"/>
      <c r="M118" s="15"/>
      <c r="N118" s="15"/>
      <c r="O118" s="15"/>
      <c r="P118" s="15"/>
      <c r="Q118" s="15"/>
      <c r="R118" s="15"/>
      <c r="S118" s="15"/>
      <c r="T118" s="15"/>
      <c r="U118" s="15"/>
      <c r="V118" s="15"/>
      <c r="W118" s="15"/>
      <c r="X118" s="149"/>
      <c r="Y118" s="26"/>
      <c r="Z118" s="26"/>
      <c r="AA118" s="26"/>
      <c r="AB118" s="26"/>
      <c r="AC118" s="26"/>
      <c r="AD118" s="26"/>
      <c r="AE118" s="26"/>
      <c r="BL118" s="26"/>
      <c r="BM118" s="26"/>
      <c r="BN118" s="26"/>
      <c r="BO118" s="26"/>
      <c r="BP118" s="26"/>
      <c r="BQ118" s="26"/>
      <c r="BR118" s="26"/>
      <c r="BS118" s="26"/>
      <c r="BT118" s="26"/>
      <c r="BU118" s="26"/>
    </row>
    <row r="119" spans="2:81" ht="15">
      <c r="B119" s="502" t="s">
        <v>514</v>
      </c>
      <c r="C119" s="502" t="s">
        <v>84</v>
      </c>
      <c r="D119" s="502" t="s">
        <v>494</v>
      </c>
      <c r="E119" s="232" t="s">
        <v>439</v>
      </c>
      <c r="F119" s="502" t="s">
        <v>515</v>
      </c>
      <c r="G119" s="502" t="s">
        <v>516</v>
      </c>
      <c r="H119" s="502" t="s">
        <v>517</v>
      </c>
      <c r="I119" s="235" t="s">
        <v>518</v>
      </c>
      <c r="J119" s="503" t="s">
        <v>440</v>
      </c>
      <c r="K119" s="503" t="s">
        <v>441</v>
      </c>
      <c r="L119" s="232" t="s">
        <v>519</v>
      </c>
      <c r="N119" s="6"/>
      <c r="O119" s="6"/>
      <c r="P119" s="6"/>
      <c r="Q119" s="6"/>
      <c r="R119" s="6"/>
      <c r="S119" s="6"/>
      <c r="T119" s="6"/>
      <c r="U119" s="6"/>
      <c r="V119" s="6"/>
      <c r="W119" s="143"/>
      <c r="X119" s="6"/>
      <c r="BV119" s="9"/>
      <c r="BW119" s="9"/>
    </row>
    <row r="120" spans="2:81" ht="15" customHeight="1">
      <c r="B120" s="247">
        <f>'Beverage and Snack Controls'!E7</f>
        <v>0</v>
      </c>
      <c r="C120" s="477">
        <f>'Beverage and Snack Controls'!G7</f>
        <v>0</v>
      </c>
      <c r="D120" s="477">
        <f>'Beverage and Snack Controls'!F7</f>
        <v>0</v>
      </c>
      <c r="E120" s="233">
        <f>'Beverage and Snack Controls'!H7</f>
        <v>0</v>
      </c>
      <c r="F120" s="504" t="e" cm="1">
        <f t="array" ref="F120">_xlfn.IFS('Beverage and Snack Controls'!F7=Calculations!$D$104,INDEX(Calculations!$F$104:$F$107,MATCH('Beverage and Snack Controls'!G7,Calculations!$E$104:$E$107,0),0),'Beverage and Snack Controls'!F7=Calculations!$D$108,INDEX(Calculations!$F$108:$F$111,MATCH('Beverage and Snack Controls'!G7,Calculations!$E$108:$E$111,0),0),'Beverage and Snack Controls'!F7=Calculations!$D$112,INDEX(Calculations!$F$112:$F$115,MATCH('Beverage and Snack Controls'!G7,Calculations!$E$112:$E$115,0),0))</f>
        <v>#N/A</v>
      </c>
      <c r="G120" s="504" t="e">
        <f>($I$106-$I$107)*$I$104/1000</f>
        <v>#N/A</v>
      </c>
      <c r="H120" s="504" t="e">
        <f>IF(B120=$B$110,0,F120*($I$108/24)*$I$109)</f>
        <v>#N/A</v>
      </c>
      <c r="I120" s="504">
        <f>(IF('Beverage and Snack Controls'!E7=" ",0,(IF('Beverage and Snack Controls'!E7="Refrigerated Machine",SUM(G120:H120),IF('Beverage and Snack Controls'!E7="Non-refrigerated Machine",G120,0)))))*E120</f>
        <v>0</v>
      </c>
      <c r="J120" s="504">
        <v>0</v>
      </c>
      <c r="K120" s="504">
        <v>0</v>
      </c>
      <c r="L120" s="504">
        <v>0</v>
      </c>
      <c r="S120" s="6"/>
      <c r="U120" s="6"/>
      <c r="V120" s="6"/>
      <c r="W120" s="6"/>
      <c r="X120" s="6"/>
      <c r="AB120" s="143"/>
    </row>
    <row r="121" spans="2:81" ht="15" customHeight="1">
      <c r="B121" s="247">
        <f>'Beverage and Snack Controls'!E8</f>
        <v>0</v>
      </c>
      <c r="C121" s="477">
        <f>'Beverage and Snack Controls'!G8</f>
        <v>0</v>
      </c>
      <c r="D121" s="477">
        <f>'Beverage and Snack Controls'!F8</f>
        <v>0</v>
      </c>
      <c r="E121" s="233">
        <f>'Beverage and Snack Controls'!H8</f>
        <v>0</v>
      </c>
      <c r="F121" s="504" t="e" cm="1">
        <f t="array" ref="F121">_xlfn.IFS('Beverage and Snack Controls'!F8=Calculations!$D$104,INDEX(Calculations!$F$104:$F$107,MATCH('Beverage and Snack Controls'!G8,Calculations!$E$104:$E$107,0),0),'Beverage and Snack Controls'!F8=Calculations!$D$108,INDEX(Calculations!$F$108:$F$111,MATCH('Beverage and Snack Controls'!G8,Calculations!$E$108:$E$111,0),0),'Beverage and Snack Controls'!F8=Calculations!$D$112,INDEX(Calculations!$F$112:$F$115,MATCH('Beverage and Snack Controls'!G8,Calculations!$E$112:$E$115,0),0))</f>
        <v>#N/A</v>
      </c>
      <c r="G121" s="504" t="e">
        <f>($I$106-$I$107)*$I$104/1000</f>
        <v>#N/A</v>
      </c>
      <c r="H121" s="504" t="e">
        <f>IF(B121=$B$110,0,F121*($I$108/24)*$I$109)</f>
        <v>#N/A</v>
      </c>
      <c r="I121" s="504">
        <f>(IF('Beverage and Snack Controls'!E8=" ",0,(IF('Beverage and Snack Controls'!E8="Refrigerated Machine",SUM(G121:H121),IF('Beverage and Snack Controls'!E8="Non-refrigerated Machine",G121,0)))))*E121</f>
        <v>0</v>
      </c>
      <c r="J121" s="504">
        <v>0</v>
      </c>
      <c r="K121" s="504">
        <v>0</v>
      </c>
      <c r="L121" s="504">
        <v>0</v>
      </c>
      <c r="U121" s="6"/>
      <c r="W121" s="6"/>
      <c r="X121" s="6"/>
      <c r="AD121" s="143"/>
    </row>
    <row r="122" spans="2:81" ht="15" customHeight="1">
      <c r="B122" s="247">
        <f>'Beverage and Snack Controls'!E9</f>
        <v>0</v>
      </c>
      <c r="C122" s="477">
        <f>'Beverage and Snack Controls'!G9</f>
        <v>0</v>
      </c>
      <c r="D122" s="477">
        <f>'Beverage and Snack Controls'!F9</f>
        <v>0</v>
      </c>
      <c r="E122" s="233">
        <f>'Beverage and Snack Controls'!H9</f>
        <v>0</v>
      </c>
      <c r="F122" s="504" t="e" cm="1">
        <f t="array" ref="F122">_xlfn.IFS('Beverage and Snack Controls'!F9=Calculations!$D$104,INDEX(Calculations!$F$104:$F$107,MATCH('Beverage and Snack Controls'!G9,Calculations!$E$104:$E$107,0),0),'Beverage and Snack Controls'!F9=Calculations!$D$108,INDEX(Calculations!$F$108:$F$111,MATCH('Beverage and Snack Controls'!G9,Calculations!$E$108:$E$111,0),0),'Beverage and Snack Controls'!F9=Calculations!$D$112,INDEX(Calculations!$F$112:$F$115,MATCH('Beverage and Snack Controls'!G9,Calculations!$E$112:$E$115,0),0))</f>
        <v>#N/A</v>
      </c>
      <c r="G122" s="504" t="e">
        <f>($I$106-$I$107)*$I$104/1000</f>
        <v>#N/A</v>
      </c>
      <c r="H122" s="504" t="e">
        <f>IF(B122=$B$110,0,F122*($I$108/24)*$I$109)</f>
        <v>#N/A</v>
      </c>
      <c r="I122" s="504">
        <f>(IF('Beverage and Snack Controls'!E9=" ",0,(IF('Beverage and Snack Controls'!E9="Refrigerated Machine",SUM(G122:H122),IF('Beverage and Snack Controls'!E9="Non-refrigerated Machine",G122,0)))))*E122</f>
        <v>0</v>
      </c>
      <c r="J122" s="504">
        <v>0</v>
      </c>
      <c r="K122" s="504">
        <v>0</v>
      </c>
      <c r="L122" s="504">
        <v>0</v>
      </c>
      <c r="U122" s="6"/>
      <c r="W122" s="6"/>
      <c r="X122" s="6"/>
      <c r="AD122" s="143"/>
      <c r="BD122" s="9"/>
      <c r="BE122" s="9"/>
      <c r="BF122" s="9"/>
      <c r="BG122" s="9"/>
      <c r="BH122" s="9"/>
    </row>
    <row r="123" spans="2:81" ht="15">
      <c r="B123" s="247">
        <f>'Beverage and Snack Controls'!E10</f>
        <v>0</v>
      </c>
      <c r="C123" s="477">
        <f>'Beverage and Snack Controls'!G10</f>
        <v>0</v>
      </c>
      <c r="D123" s="477">
        <f>'Beverage and Snack Controls'!F10</f>
        <v>0</v>
      </c>
      <c r="E123" s="233">
        <f>'Beverage and Snack Controls'!H10</f>
        <v>0</v>
      </c>
      <c r="F123" s="504" t="e" cm="1">
        <f t="array" ref="F123">_xlfn.IFS('Beverage and Snack Controls'!F10=Calculations!$D$104,INDEX(Calculations!$F$104:$F$107,MATCH('Beverage and Snack Controls'!G10,Calculations!$E$104:$E$107,0),0),'Beverage and Snack Controls'!F10=Calculations!$D$108,INDEX(Calculations!$F$108:$F$111,MATCH('Beverage and Snack Controls'!G10,Calculations!$E$108:$E$111,0),0),'Beverage and Snack Controls'!F10=Calculations!$D$112,INDEX(Calculations!$F$112:$F$115,MATCH('Beverage and Snack Controls'!G10,Calculations!$E$112:$E$115,0),0))</f>
        <v>#N/A</v>
      </c>
      <c r="G123" s="504" t="e">
        <f>($I$106-$I$107)*$I$104/1000</f>
        <v>#N/A</v>
      </c>
      <c r="H123" s="504" t="e">
        <f>IF(B123=$B$110,0,F123*($I$108/24)*$I$109)</f>
        <v>#N/A</v>
      </c>
      <c r="I123" s="504">
        <f>(IF('Beverage and Snack Controls'!E10=" ",0,(IF('Beverage and Snack Controls'!E10="Refrigerated Machine",SUM(G123:H123),IF('Beverage and Snack Controls'!E10="Non-refrigerated Machine",G123,0)))))*E123</f>
        <v>0</v>
      </c>
      <c r="J123" s="504">
        <v>0</v>
      </c>
      <c r="K123" s="504">
        <v>0</v>
      </c>
      <c r="L123" s="504">
        <v>0</v>
      </c>
      <c r="U123" s="6"/>
      <c r="W123" s="6"/>
      <c r="X123" s="6"/>
      <c r="AD123" s="143"/>
      <c r="BX123" s="9"/>
      <c r="BY123" s="9"/>
      <c r="BZ123" s="9"/>
      <c r="CA123" s="9"/>
      <c r="CB123" s="9"/>
    </row>
    <row r="124" spans="2:81" ht="15">
      <c r="B124" s="9"/>
      <c r="C124" s="9"/>
      <c r="D124" s="9"/>
      <c r="E124" s="9"/>
      <c r="F124" s="9"/>
      <c r="G124" s="9"/>
      <c r="H124" s="9"/>
      <c r="I124" s="9"/>
      <c r="J124" s="9"/>
      <c r="K124" s="9"/>
      <c r="L124" s="9"/>
      <c r="V124" s="6"/>
      <c r="X124" s="6"/>
      <c r="AE124" s="143"/>
    </row>
    <row r="125" spans="2:81" ht="15">
      <c r="Q125" s="6"/>
      <c r="S125" s="6"/>
      <c r="T125" s="6"/>
      <c r="U125" s="6"/>
      <c r="V125" s="6"/>
      <c r="W125" s="6"/>
      <c r="X125" s="6"/>
      <c r="Z125" s="143"/>
      <c r="BD125" s="26"/>
      <c r="BE125" s="26"/>
      <c r="BF125" s="26"/>
      <c r="BG125" s="26"/>
      <c r="BH125" s="26"/>
    </row>
    <row r="126" spans="2:81" s="9" customFormat="1" ht="15.6" customHeight="1" thickBot="1">
      <c r="B126" s="505" t="s">
        <v>520</v>
      </c>
      <c r="C126" s="81"/>
      <c r="D126" s="81"/>
      <c r="E126" s="81"/>
      <c r="F126" s="81"/>
      <c r="G126" s="81"/>
      <c r="H126" s="81"/>
      <c r="I126" s="81"/>
      <c r="J126" s="81"/>
      <c r="K126" s="15" t="s">
        <v>521</v>
      </c>
      <c r="L126" s="15"/>
      <c r="M126" s="1"/>
      <c r="N126" s="1"/>
      <c r="O126" s="1"/>
      <c r="P126" s="6"/>
      <c r="Q126" s="6"/>
      <c r="R126" s="6"/>
      <c r="S126" s="6"/>
      <c r="T126" s="6"/>
      <c r="U126" s="6"/>
      <c r="V126" s="6"/>
      <c r="W126" s="6"/>
      <c r="X126" s="143"/>
      <c r="Y126" s="6"/>
      <c r="Z126" s="6"/>
      <c r="AA126" s="6"/>
      <c r="AB126" s="6"/>
      <c r="AC126" s="6"/>
      <c r="AD126" s="6"/>
      <c r="AE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row>
    <row r="127" spans="2:81" ht="18.75" thickBot="1">
      <c r="B127" s="7" t="s">
        <v>416</v>
      </c>
      <c r="C127" s="7"/>
      <c r="D127" s="7"/>
      <c r="F127" s="7" t="s">
        <v>366</v>
      </c>
      <c r="G127" s="173" t="s">
        <v>522</v>
      </c>
      <c r="H127" s="174" t="s">
        <v>523</v>
      </c>
      <c r="M127" s="9"/>
      <c r="N127" s="9"/>
      <c r="O127" s="9"/>
      <c r="P127" s="9"/>
      <c r="Q127" s="9"/>
      <c r="R127" s="9"/>
      <c r="S127" s="9"/>
      <c r="T127" s="9"/>
      <c r="U127" s="9"/>
      <c r="V127" s="9"/>
      <c r="W127" s="9"/>
      <c r="X127" s="150"/>
      <c r="Y127" s="9"/>
      <c r="Z127" s="9"/>
      <c r="AA127" s="9"/>
      <c r="AB127" s="9"/>
      <c r="AC127" s="9"/>
      <c r="AD127" s="9"/>
      <c r="AE127" s="9"/>
      <c r="BI127" s="9"/>
    </row>
    <row r="128" spans="2:81" ht="15">
      <c r="B128" s="79" t="s">
        <v>524</v>
      </c>
      <c r="C128" s="79" t="s">
        <v>525</v>
      </c>
      <c r="D128" s="450" t="s">
        <v>526</v>
      </c>
      <c r="F128" s="506" t="s">
        <v>377</v>
      </c>
      <c r="G128" s="247">
        <v>365</v>
      </c>
      <c r="H128" s="247" t="s">
        <v>527</v>
      </c>
      <c r="M128" s="6" t="s">
        <v>528</v>
      </c>
      <c r="N128" s="6" t="s">
        <v>529</v>
      </c>
      <c r="O128" s="6"/>
      <c r="P128" s="6"/>
      <c r="Q128" s="6"/>
      <c r="R128" s="6"/>
      <c r="S128" s="6"/>
      <c r="T128" s="6"/>
      <c r="U128" s="6"/>
      <c r="V128" s="6"/>
      <c r="W128" s="6"/>
      <c r="AI128" s="9"/>
      <c r="AL128" s="9"/>
      <c r="AM128" s="9"/>
      <c r="AN128" s="9"/>
      <c r="AO128" s="9"/>
      <c r="AP128" s="9"/>
      <c r="AQ128" s="9"/>
      <c r="AR128" s="9"/>
      <c r="AS128" s="9"/>
      <c r="AT128" s="9"/>
      <c r="AU128" s="9"/>
      <c r="AV128" s="9"/>
      <c r="AW128" s="9"/>
      <c r="AX128" s="9"/>
      <c r="AY128" s="9"/>
      <c r="AZ128" s="9"/>
      <c r="BA128" s="9"/>
      <c r="BB128" s="9"/>
      <c r="BC128" s="9"/>
      <c r="BJ128" s="9"/>
      <c r="BK128" s="9"/>
      <c r="BL128" s="9"/>
      <c r="BM128" s="9"/>
      <c r="BN128" s="9"/>
      <c r="BO128" s="9"/>
      <c r="BP128" s="9"/>
      <c r="BQ128" s="9"/>
      <c r="BR128" s="9"/>
      <c r="BS128" s="9"/>
      <c r="BT128" s="9"/>
      <c r="BU128" s="9"/>
    </row>
    <row r="129" spans="2:55">
      <c r="B129" s="233" t="s">
        <v>530</v>
      </c>
      <c r="C129" s="233" t="s">
        <v>531</v>
      </c>
      <c r="D129" s="233" t="s">
        <v>531</v>
      </c>
      <c r="F129" s="233" t="s">
        <v>532</v>
      </c>
      <c r="G129" s="356">
        <v>1.863E-4</v>
      </c>
      <c r="H129" s="247" t="s">
        <v>380</v>
      </c>
      <c r="M129" s="6"/>
      <c r="N129" s="6"/>
      <c r="O129" s="6"/>
      <c r="P129" s="6"/>
      <c r="Q129" s="6"/>
      <c r="R129" s="6"/>
      <c r="S129" s="6"/>
      <c r="T129" s="6"/>
      <c r="U129" s="6"/>
      <c r="V129" s="6"/>
      <c r="W129" s="6"/>
    </row>
    <row r="130" spans="2:55">
      <c r="B130" s="233" t="s">
        <v>533</v>
      </c>
      <c r="C130" s="233" t="s">
        <v>534</v>
      </c>
      <c r="D130" s="233" t="s">
        <v>534</v>
      </c>
      <c r="F130" s="233" t="s">
        <v>535</v>
      </c>
      <c r="G130" s="356">
        <v>1.192E-4</v>
      </c>
      <c r="H130" s="356" t="s">
        <v>380</v>
      </c>
      <c r="M130" s="6" t="s">
        <v>531</v>
      </c>
      <c r="N130" s="6">
        <v>230</v>
      </c>
      <c r="O130" s="6"/>
      <c r="P130" s="6"/>
      <c r="Q130" s="6"/>
      <c r="R130" s="6"/>
      <c r="S130" s="6"/>
      <c r="T130" s="6"/>
      <c r="U130" s="6"/>
      <c r="V130" s="6"/>
      <c r="W130" s="6"/>
    </row>
    <row r="131" spans="2:55" ht="15">
      <c r="B131"/>
      <c r="C131" s="233" t="s">
        <v>536</v>
      </c>
      <c r="D131" s="449" t="s">
        <v>536</v>
      </c>
      <c r="M131" s="6" t="s">
        <v>531</v>
      </c>
      <c r="N131" s="6">
        <v>1175</v>
      </c>
      <c r="O131" s="6"/>
      <c r="P131" s="6"/>
      <c r="Q131" s="6"/>
      <c r="R131" s="6"/>
      <c r="S131" s="6"/>
      <c r="T131" s="6"/>
      <c r="U131" s="6"/>
      <c r="V131" s="6"/>
      <c r="W131" s="6"/>
      <c r="AN131" s="26"/>
      <c r="AO131" s="26"/>
      <c r="AP131" s="26"/>
      <c r="AQ131" s="26"/>
      <c r="AR131" s="26"/>
      <c r="AS131" s="26"/>
      <c r="AT131" s="26"/>
      <c r="AU131" s="26"/>
      <c r="AV131" s="26"/>
      <c r="AW131" s="26"/>
      <c r="AX131" s="26"/>
      <c r="AY131" s="26"/>
      <c r="AZ131" s="26"/>
      <c r="BA131" s="26"/>
      <c r="BB131" s="26"/>
      <c r="BC131" s="26"/>
    </row>
    <row r="132" spans="2:55">
      <c r="C132" s="233" t="s">
        <v>537</v>
      </c>
      <c r="D132" s="233" t="s">
        <v>537</v>
      </c>
      <c r="M132" s="6" t="s">
        <v>534</v>
      </c>
      <c r="N132" s="6">
        <v>1702</v>
      </c>
      <c r="O132" s="6"/>
      <c r="P132" s="6"/>
      <c r="Q132" s="6"/>
      <c r="R132" s="6"/>
      <c r="S132" s="6"/>
      <c r="T132" s="6"/>
      <c r="U132" s="6"/>
      <c r="V132" s="6"/>
      <c r="W132" s="6"/>
    </row>
    <row r="133" spans="2:55">
      <c r="C133" s="6"/>
      <c r="D133" s="6"/>
      <c r="M133" s="6" t="s">
        <v>536</v>
      </c>
      <c r="N133" s="6">
        <v>460</v>
      </c>
      <c r="O133" s="6"/>
      <c r="P133" s="6"/>
      <c r="Q133" s="6"/>
      <c r="R133" s="6"/>
      <c r="S133" s="6"/>
      <c r="T133" s="6"/>
      <c r="U133" s="6"/>
      <c r="V133" s="6"/>
      <c r="W133" s="6"/>
    </row>
    <row r="134" spans="2:55" ht="18">
      <c r="B134" s="7" t="s">
        <v>538</v>
      </c>
      <c r="C134" s="605" t="s">
        <v>539</v>
      </c>
      <c r="D134" s="605" t="s">
        <v>540</v>
      </c>
      <c r="M134" s="6"/>
      <c r="N134" s="6"/>
      <c r="O134" s="6"/>
      <c r="P134" s="6"/>
      <c r="Q134" s="6"/>
      <c r="R134" s="6"/>
      <c r="S134" s="6"/>
      <c r="T134" s="6"/>
      <c r="U134" s="6"/>
      <c r="V134" s="6"/>
      <c r="W134" s="6"/>
    </row>
    <row r="135" spans="2:55">
      <c r="B135" s="595" t="s">
        <v>541</v>
      </c>
      <c r="C135" s="595" t="s">
        <v>529</v>
      </c>
      <c r="D135" s="595" t="s">
        <v>529</v>
      </c>
      <c r="E135" s="595" t="s">
        <v>542</v>
      </c>
      <c r="F135" s="595" t="s">
        <v>543</v>
      </c>
      <c r="G135" s="595" t="s">
        <v>544</v>
      </c>
      <c r="H135" s="595" t="s">
        <v>545</v>
      </c>
      <c r="I135" s="595" t="s">
        <v>546</v>
      </c>
      <c r="M135" s="6"/>
      <c r="N135" s="6"/>
      <c r="O135" s="6"/>
      <c r="P135" s="6"/>
      <c r="Q135" s="6"/>
      <c r="R135" s="6"/>
      <c r="S135" s="6"/>
      <c r="T135" s="6"/>
      <c r="U135" s="6"/>
      <c r="V135" s="6"/>
      <c r="W135" s="6"/>
    </row>
    <row r="136" spans="2:55">
      <c r="B136" s="596" t="s">
        <v>547</v>
      </c>
      <c r="C136" s="596">
        <v>51</v>
      </c>
      <c r="D136" s="596">
        <v>300</v>
      </c>
      <c r="E136" s="606" t="s">
        <v>548</v>
      </c>
      <c r="F136" s="606" t="s">
        <v>531</v>
      </c>
      <c r="G136" s="597" t="s">
        <v>549</v>
      </c>
      <c r="H136" s="597">
        <v>10</v>
      </c>
      <c r="I136" s="597">
        <v>1.2330000000000001E-2</v>
      </c>
      <c r="M136" s="6"/>
      <c r="N136" s="6"/>
      <c r="O136" s="6"/>
      <c r="P136" s="6"/>
      <c r="Q136" s="6"/>
      <c r="R136" s="6"/>
      <c r="S136" s="6"/>
      <c r="T136" s="6"/>
      <c r="U136" s="6"/>
      <c r="V136" s="6"/>
      <c r="W136" s="6"/>
    </row>
    <row r="137" spans="2:55">
      <c r="B137" s="596" t="s">
        <v>550</v>
      </c>
      <c r="C137" s="596">
        <v>300</v>
      </c>
      <c r="D137" s="596">
        <v>800</v>
      </c>
      <c r="E137" s="606" t="s">
        <v>548</v>
      </c>
      <c r="F137" s="606" t="s">
        <v>531</v>
      </c>
      <c r="G137" s="597" t="s">
        <v>551</v>
      </c>
      <c r="H137" s="597">
        <v>7.05</v>
      </c>
      <c r="I137" s="597">
        <v>2.5000000000000001E-3</v>
      </c>
      <c r="M137" s="6"/>
      <c r="N137" s="6"/>
      <c r="O137" s="6"/>
      <c r="P137" s="6"/>
      <c r="Q137" s="6"/>
      <c r="R137" s="6"/>
      <c r="S137" s="6"/>
      <c r="T137" s="6"/>
      <c r="U137" s="6"/>
      <c r="V137" s="6"/>
      <c r="W137" s="6"/>
    </row>
    <row r="138" spans="2:55">
      <c r="B138" s="596" t="s">
        <v>552</v>
      </c>
      <c r="C138" s="596">
        <v>800</v>
      </c>
      <c r="D138" s="596">
        <v>1500</v>
      </c>
      <c r="E138" s="606" t="s">
        <v>548</v>
      </c>
      <c r="F138" s="606" t="s">
        <v>531</v>
      </c>
      <c r="G138" s="597" t="s">
        <v>553</v>
      </c>
      <c r="H138" s="597">
        <v>5.55</v>
      </c>
      <c r="I138" s="597">
        <v>6.3000000000000003E-4</v>
      </c>
      <c r="M138" s="6"/>
      <c r="N138" s="6"/>
      <c r="O138" s="6"/>
      <c r="P138" s="6"/>
      <c r="Q138" s="6"/>
      <c r="R138" s="6"/>
      <c r="S138" s="6"/>
      <c r="T138" s="6"/>
      <c r="U138" s="6"/>
      <c r="V138" s="6"/>
      <c r="W138" s="6"/>
    </row>
    <row r="139" spans="2:55" ht="15" thickBot="1">
      <c r="B139" s="598" t="s">
        <v>554</v>
      </c>
      <c r="C139" s="598">
        <v>1500</v>
      </c>
      <c r="D139" s="598">
        <v>4000</v>
      </c>
      <c r="E139" s="607" t="s">
        <v>548</v>
      </c>
      <c r="F139" s="607" t="s">
        <v>531</v>
      </c>
      <c r="G139" s="599">
        <v>4.6100000000000003</v>
      </c>
      <c r="H139" s="599">
        <v>4.6100000000000003</v>
      </c>
      <c r="I139" s="599">
        <v>0</v>
      </c>
      <c r="M139" s="6"/>
      <c r="N139" s="6"/>
      <c r="O139" s="6"/>
      <c r="P139" s="6"/>
      <c r="Q139" s="6"/>
      <c r="R139" s="6"/>
      <c r="S139" s="6"/>
      <c r="T139" s="6"/>
      <c r="U139" s="6"/>
      <c r="V139" s="6"/>
      <c r="W139" s="6"/>
    </row>
    <row r="140" spans="2:55" ht="15" thickTop="1">
      <c r="B140" s="600" t="s">
        <v>555</v>
      </c>
      <c r="C140" s="600">
        <v>51</v>
      </c>
      <c r="D140" s="600">
        <v>988</v>
      </c>
      <c r="E140" s="608" t="s">
        <v>548</v>
      </c>
      <c r="F140" s="608" t="s">
        <v>534</v>
      </c>
      <c r="G140" s="601" t="s">
        <v>556</v>
      </c>
      <c r="H140" s="601">
        <v>7.9</v>
      </c>
      <c r="I140" s="601">
        <v>3.4199999999999999E-3</v>
      </c>
      <c r="M140" s="6"/>
      <c r="N140" s="6"/>
      <c r="O140" s="6"/>
      <c r="P140" s="6"/>
      <c r="Q140" s="6"/>
      <c r="R140" s="6"/>
      <c r="S140" s="6"/>
      <c r="T140" s="6"/>
      <c r="U140" s="6"/>
      <c r="V140" s="6"/>
      <c r="W140" s="6"/>
    </row>
    <row r="141" spans="2:55" ht="15" thickBot="1">
      <c r="B141" s="602" t="s">
        <v>557</v>
      </c>
      <c r="C141" s="602">
        <v>988</v>
      </c>
      <c r="D141" s="602">
        <v>4000</v>
      </c>
      <c r="E141" s="607" t="s">
        <v>548</v>
      </c>
      <c r="F141" s="607" t="s">
        <v>534</v>
      </c>
      <c r="G141" s="603">
        <v>4.79</v>
      </c>
      <c r="H141" s="603">
        <v>4.59</v>
      </c>
      <c r="I141" s="603">
        <v>0</v>
      </c>
      <c r="K141" s="1" t="s">
        <v>524</v>
      </c>
      <c r="L141" s="1" t="s">
        <v>525</v>
      </c>
      <c r="M141" s="1" t="s">
        <v>558</v>
      </c>
      <c r="N141" s="1" t="s">
        <v>559</v>
      </c>
      <c r="O141" s="6"/>
      <c r="P141" s="6"/>
      <c r="Q141" s="6"/>
      <c r="R141" s="6"/>
      <c r="S141" s="6"/>
      <c r="T141" s="6"/>
      <c r="U141" s="6"/>
      <c r="V141" s="6"/>
      <c r="W141" s="6"/>
    </row>
    <row r="142" spans="2:55" ht="15" thickTop="1">
      <c r="B142" s="600" t="s">
        <v>560</v>
      </c>
      <c r="C142" s="600">
        <v>50</v>
      </c>
      <c r="D142" s="600">
        <v>930</v>
      </c>
      <c r="E142" s="608" t="s">
        <v>548</v>
      </c>
      <c r="F142" s="608" t="s">
        <v>536</v>
      </c>
      <c r="G142" s="601" t="s">
        <v>556</v>
      </c>
      <c r="H142" s="601">
        <v>7.9</v>
      </c>
      <c r="I142" s="601">
        <v>3.4199999999999999E-3</v>
      </c>
      <c r="O142" s="6"/>
      <c r="P142" s="6"/>
      <c r="Q142" s="6"/>
      <c r="R142" s="6"/>
      <c r="S142" s="6"/>
      <c r="T142" s="6"/>
      <c r="U142" s="6"/>
      <c r="V142" s="6"/>
      <c r="W142" s="6"/>
    </row>
    <row r="143" spans="2:55" ht="15" thickBot="1">
      <c r="B143" s="602" t="s">
        <v>561</v>
      </c>
      <c r="C143" s="602">
        <v>930</v>
      </c>
      <c r="D143" s="602">
        <v>4000</v>
      </c>
      <c r="E143" s="607" t="s">
        <v>548</v>
      </c>
      <c r="F143" s="607" t="s">
        <v>536</v>
      </c>
      <c r="G143" s="603">
        <v>4.79</v>
      </c>
      <c r="H143" s="603">
        <v>4.79</v>
      </c>
      <c r="I143" s="603">
        <v>0</v>
      </c>
      <c r="K143" s="1" t="s">
        <v>548</v>
      </c>
      <c r="L143" s="1" t="s">
        <v>531</v>
      </c>
      <c r="M143" s="1">
        <v>230</v>
      </c>
      <c r="N143" s="1" t="s">
        <v>548</v>
      </c>
      <c r="O143" s="6"/>
      <c r="P143" s="6"/>
      <c r="Q143" s="6"/>
      <c r="R143" s="6"/>
      <c r="S143" s="6"/>
      <c r="T143" s="6"/>
      <c r="U143" s="6"/>
      <c r="V143" s="6"/>
      <c r="W143" s="6"/>
    </row>
    <row r="144" spans="2:55" ht="15" thickTop="1">
      <c r="B144" s="604" t="s">
        <v>562</v>
      </c>
      <c r="C144" s="604">
        <v>51</v>
      </c>
      <c r="D144" s="604">
        <v>110</v>
      </c>
      <c r="E144" s="608" t="s">
        <v>548</v>
      </c>
      <c r="F144" s="608" t="s">
        <v>537</v>
      </c>
      <c r="G144" s="601" t="s">
        <v>563</v>
      </c>
      <c r="H144" s="601">
        <v>14.79</v>
      </c>
      <c r="I144" s="601">
        <v>4.6899999999999997E-2</v>
      </c>
      <c r="K144" s="1" t="s">
        <v>548</v>
      </c>
      <c r="L144" s="1" t="s">
        <v>531</v>
      </c>
      <c r="M144" s="1">
        <v>1175</v>
      </c>
      <c r="N144" s="1" t="s">
        <v>548</v>
      </c>
      <c r="O144" s="6"/>
      <c r="P144" s="6"/>
      <c r="Q144" s="6"/>
      <c r="R144" s="6"/>
      <c r="S144" s="6"/>
      <c r="T144" s="6"/>
      <c r="U144" s="6"/>
      <c r="V144" s="6"/>
      <c r="W144" s="6"/>
    </row>
    <row r="145" spans="2:23">
      <c r="B145" s="596" t="s">
        <v>564</v>
      </c>
      <c r="C145" s="596">
        <v>110</v>
      </c>
      <c r="D145" s="596">
        <v>200</v>
      </c>
      <c r="E145" s="606" t="s">
        <v>548</v>
      </c>
      <c r="F145" s="606" t="s">
        <v>537</v>
      </c>
      <c r="G145" s="597" t="s">
        <v>565</v>
      </c>
      <c r="H145" s="597">
        <v>12.42</v>
      </c>
      <c r="I145" s="597">
        <v>2.5329999999999998E-2</v>
      </c>
      <c r="K145" s="1" t="s">
        <v>548</v>
      </c>
      <c r="L145" s="1" t="s">
        <v>534</v>
      </c>
      <c r="M145" s="1">
        <v>1702</v>
      </c>
      <c r="N145" s="1" t="s">
        <v>548</v>
      </c>
      <c r="O145" s="6"/>
      <c r="P145" s="6"/>
      <c r="Q145" s="6"/>
      <c r="R145" s="6"/>
      <c r="S145" s="6"/>
      <c r="T145" s="6"/>
      <c r="U145" s="6"/>
      <c r="V145" s="6"/>
      <c r="W145" s="6"/>
    </row>
    <row r="146" spans="2:23" ht="15" thickBot="1">
      <c r="B146" s="598" t="s">
        <v>566</v>
      </c>
      <c r="C146" s="598">
        <v>200</v>
      </c>
      <c r="D146" s="598">
        <v>4000</v>
      </c>
      <c r="E146" s="607" t="s">
        <v>548</v>
      </c>
      <c r="F146" s="607" t="s">
        <v>537</v>
      </c>
      <c r="G146" s="599">
        <v>7.35</v>
      </c>
      <c r="H146" s="599">
        <v>7.35</v>
      </c>
      <c r="I146" s="599">
        <v>0</v>
      </c>
      <c r="K146" s="1" t="s">
        <v>548</v>
      </c>
      <c r="L146" s="1" t="s">
        <v>536</v>
      </c>
      <c r="M146" s="1">
        <v>460</v>
      </c>
      <c r="N146" s="1" t="s">
        <v>548</v>
      </c>
      <c r="O146" s="6"/>
      <c r="P146" s="6"/>
      <c r="Q146" s="6"/>
      <c r="R146" s="6"/>
      <c r="S146" s="6"/>
      <c r="T146" s="6"/>
      <c r="U146" s="6"/>
      <c r="V146" s="6"/>
      <c r="W146" s="6"/>
    </row>
    <row r="147" spans="2:23" ht="15" thickTop="1">
      <c r="B147" s="604" t="s">
        <v>567</v>
      </c>
      <c r="C147" s="604">
        <v>51</v>
      </c>
      <c r="D147" s="604">
        <v>310</v>
      </c>
      <c r="E147" s="608" t="s">
        <v>533</v>
      </c>
      <c r="F147" s="608" t="s">
        <v>531</v>
      </c>
      <c r="G147" s="601" t="s">
        <v>568</v>
      </c>
      <c r="H147" s="601">
        <v>9.19</v>
      </c>
      <c r="I147" s="601">
        <v>6.2899999999999996E-3</v>
      </c>
      <c r="M147" s="6"/>
      <c r="N147" s="6"/>
      <c r="O147" s="6"/>
      <c r="P147" s="6"/>
      <c r="Q147" s="6"/>
      <c r="R147" s="6"/>
      <c r="S147" s="6"/>
      <c r="T147" s="6"/>
      <c r="U147" s="6"/>
      <c r="V147" s="6"/>
      <c r="W147" s="6"/>
    </row>
    <row r="148" spans="2:23">
      <c r="B148" s="596" t="s">
        <v>569</v>
      </c>
      <c r="C148" s="596">
        <v>310</v>
      </c>
      <c r="D148" s="596">
        <v>820</v>
      </c>
      <c r="E148" s="606" t="s">
        <v>533</v>
      </c>
      <c r="F148" s="606" t="s">
        <v>531</v>
      </c>
      <c r="G148" s="597" t="s">
        <v>570</v>
      </c>
      <c r="H148" s="597">
        <v>8.23</v>
      </c>
      <c r="I148" s="597">
        <v>3.2000000000000002E-3</v>
      </c>
      <c r="M148" s="6"/>
      <c r="N148" s="6"/>
      <c r="O148" s="6"/>
      <c r="P148" s="6"/>
      <c r="Q148" s="6"/>
      <c r="R148" s="6"/>
      <c r="S148" s="6"/>
      <c r="T148" s="6"/>
      <c r="U148" s="6"/>
      <c r="V148" s="6"/>
      <c r="W148" s="6"/>
    </row>
    <row r="149" spans="2:23" ht="15" thickBot="1">
      <c r="B149" s="598" t="s">
        <v>571</v>
      </c>
      <c r="C149" s="598">
        <v>820</v>
      </c>
      <c r="D149" s="598">
        <v>4000</v>
      </c>
      <c r="E149" s="607" t="s">
        <v>533</v>
      </c>
      <c r="F149" s="607" t="s">
        <v>531</v>
      </c>
      <c r="G149" s="599">
        <v>5.61</v>
      </c>
      <c r="H149" s="599">
        <v>5.61</v>
      </c>
      <c r="I149" s="599">
        <v>0</v>
      </c>
      <c r="M149" s="6"/>
      <c r="N149" s="6"/>
      <c r="O149" s="6"/>
      <c r="P149" s="6"/>
      <c r="Q149" s="6"/>
      <c r="R149" s="6"/>
      <c r="S149" s="6"/>
      <c r="T149" s="6"/>
      <c r="U149" s="6"/>
      <c r="V149" s="6"/>
      <c r="W149" s="6"/>
    </row>
    <row r="150" spans="2:23" ht="15" thickTop="1">
      <c r="B150" s="604" t="s">
        <v>572</v>
      </c>
      <c r="C150" s="604">
        <v>51</v>
      </c>
      <c r="D150" s="604">
        <v>800</v>
      </c>
      <c r="E150" s="608" t="s">
        <v>533</v>
      </c>
      <c r="F150" s="608" t="s">
        <v>534</v>
      </c>
      <c r="G150" s="601" t="s">
        <v>573</v>
      </c>
      <c r="H150" s="601">
        <v>9.9</v>
      </c>
      <c r="I150" s="601">
        <v>5.7999999999999996E-3</v>
      </c>
      <c r="M150" s="6"/>
      <c r="N150" s="6"/>
      <c r="O150" s="6"/>
      <c r="P150" s="6"/>
      <c r="Q150" s="6"/>
      <c r="R150" s="6"/>
      <c r="S150" s="6"/>
      <c r="T150" s="6"/>
      <c r="U150" s="6"/>
      <c r="V150" s="6"/>
      <c r="W150" s="6"/>
    </row>
    <row r="151" spans="2:23" ht="15" thickBot="1">
      <c r="B151" s="598" t="s">
        <v>574</v>
      </c>
      <c r="C151" s="598">
        <v>800</v>
      </c>
      <c r="D151" s="598">
        <v>4000</v>
      </c>
      <c r="E151" s="607" t="s">
        <v>533</v>
      </c>
      <c r="F151" s="607" t="s">
        <v>534</v>
      </c>
      <c r="G151" s="599">
        <v>5.26</v>
      </c>
      <c r="H151" s="599">
        <v>5.0599999999999996</v>
      </c>
      <c r="I151" s="599">
        <v>0</v>
      </c>
      <c r="M151" s="6"/>
      <c r="N151" s="6"/>
      <c r="O151" s="6"/>
      <c r="P151" s="6"/>
      <c r="Q151" s="6"/>
      <c r="R151" s="6"/>
      <c r="S151" s="6"/>
      <c r="T151" s="6"/>
      <c r="U151" s="6"/>
      <c r="V151" s="6"/>
      <c r="W151" s="6"/>
    </row>
    <row r="152" spans="2:23" ht="15" thickTop="1">
      <c r="B152" s="604" t="s">
        <v>572</v>
      </c>
      <c r="C152" s="604">
        <v>50</v>
      </c>
      <c r="D152" s="604">
        <v>800</v>
      </c>
      <c r="E152" s="608" t="s">
        <v>533</v>
      </c>
      <c r="F152" s="608" t="s">
        <v>536</v>
      </c>
      <c r="G152" s="601" t="s">
        <v>573</v>
      </c>
      <c r="H152" s="601">
        <v>9.9</v>
      </c>
      <c r="I152" s="601">
        <v>5.7999999999999996E-3</v>
      </c>
      <c r="M152" s="6"/>
      <c r="N152" s="6"/>
      <c r="O152" s="6"/>
      <c r="P152" s="6"/>
      <c r="Q152" s="6"/>
      <c r="R152" s="6"/>
      <c r="S152" s="6"/>
      <c r="T152" s="6"/>
      <c r="U152" s="6"/>
      <c r="V152" s="6"/>
      <c r="W152" s="6"/>
    </row>
    <row r="153" spans="2:23" ht="15" thickBot="1">
      <c r="B153" s="598" t="s">
        <v>574</v>
      </c>
      <c r="C153" s="598">
        <v>800</v>
      </c>
      <c r="D153" s="598">
        <v>4000</v>
      </c>
      <c r="E153" s="607" t="s">
        <v>533</v>
      </c>
      <c r="F153" s="607" t="s">
        <v>536</v>
      </c>
      <c r="G153" s="599">
        <v>5.26</v>
      </c>
      <c r="H153" s="599">
        <v>5.26</v>
      </c>
      <c r="I153" s="599">
        <v>0</v>
      </c>
      <c r="M153" s="6"/>
      <c r="N153" s="6"/>
      <c r="O153" s="6"/>
      <c r="P153" s="6"/>
      <c r="Q153" s="6"/>
      <c r="R153" s="6"/>
      <c r="S153" s="6"/>
      <c r="T153" s="6"/>
      <c r="U153" s="6"/>
      <c r="V153" s="6"/>
      <c r="W153" s="6"/>
    </row>
    <row r="154" spans="2:23" ht="15" thickTop="1">
      <c r="B154" s="604" t="s">
        <v>575</v>
      </c>
      <c r="C154" s="604">
        <v>51</v>
      </c>
      <c r="D154" s="604">
        <v>200</v>
      </c>
      <c r="E154" s="608" t="s">
        <v>533</v>
      </c>
      <c r="F154" s="608" t="s">
        <v>537</v>
      </c>
      <c r="G154" s="601" t="s">
        <v>576</v>
      </c>
      <c r="H154" s="601">
        <v>14.22</v>
      </c>
      <c r="I154" s="601">
        <v>0.03</v>
      </c>
      <c r="M154" s="6"/>
      <c r="N154" s="6"/>
      <c r="O154" s="6"/>
      <c r="P154" s="6"/>
      <c r="Q154" s="6"/>
      <c r="R154" s="6"/>
      <c r="S154" s="6"/>
      <c r="T154" s="6"/>
      <c r="U154" s="6"/>
      <c r="V154" s="6"/>
      <c r="W154" s="6"/>
    </row>
    <row r="155" spans="2:23">
      <c r="B155" s="596" t="s">
        <v>577</v>
      </c>
      <c r="C155" s="596">
        <v>200</v>
      </c>
      <c r="D155" s="596">
        <v>700</v>
      </c>
      <c r="E155" s="606" t="s">
        <v>533</v>
      </c>
      <c r="F155" s="606" t="s">
        <v>537</v>
      </c>
      <c r="G155" s="597" t="s">
        <v>578</v>
      </c>
      <c r="H155" s="597">
        <v>9.4700000000000006</v>
      </c>
      <c r="I155" s="597">
        <v>6.2399999999999999E-3</v>
      </c>
      <c r="M155" s="6"/>
      <c r="N155" s="6"/>
      <c r="O155" s="6"/>
      <c r="P155" s="6"/>
      <c r="Q155" s="6"/>
      <c r="R155" s="6"/>
      <c r="S155" s="6"/>
      <c r="T155" s="6"/>
      <c r="U155" s="6"/>
      <c r="V155" s="6"/>
      <c r="W155" s="6"/>
    </row>
    <row r="156" spans="2:23">
      <c r="B156" s="596" t="s">
        <v>579</v>
      </c>
      <c r="C156" s="596">
        <v>700</v>
      </c>
      <c r="D156" s="596">
        <v>4000</v>
      </c>
      <c r="E156" s="606" t="s">
        <v>533</v>
      </c>
      <c r="F156" s="606" t="s">
        <v>537</v>
      </c>
      <c r="G156" s="597">
        <v>5.0999999999999996</v>
      </c>
      <c r="H156" s="597">
        <v>5.0999999999999996</v>
      </c>
      <c r="I156" s="597">
        <v>0</v>
      </c>
      <c r="M156" s="6"/>
      <c r="N156" s="6"/>
      <c r="O156" s="6"/>
      <c r="P156" s="6"/>
      <c r="Q156" s="6"/>
      <c r="R156" s="6"/>
      <c r="S156" s="6"/>
      <c r="T156" s="6"/>
      <c r="U156" s="6"/>
      <c r="V156" s="6"/>
      <c r="W156" s="6"/>
    </row>
    <row r="158" spans="2:23" ht="18">
      <c r="B158" s="7" t="s">
        <v>580</v>
      </c>
    </row>
    <row r="159" spans="2:23">
      <c r="B159" s="595" t="s">
        <v>541</v>
      </c>
      <c r="C159" s="595" t="s">
        <v>529</v>
      </c>
      <c r="D159" s="595" t="s">
        <v>529</v>
      </c>
      <c r="E159" s="595" t="s">
        <v>542</v>
      </c>
      <c r="F159" s="595" t="s">
        <v>543</v>
      </c>
      <c r="G159" s="595" t="s">
        <v>581</v>
      </c>
      <c r="H159" s="595" t="s">
        <v>545</v>
      </c>
      <c r="I159" s="595" t="s">
        <v>546</v>
      </c>
      <c r="M159" s="6"/>
      <c r="N159" s="6"/>
      <c r="O159" s="6"/>
      <c r="P159" s="6"/>
      <c r="Q159" s="6"/>
      <c r="R159" s="6"/>
      <c r="S159" s="6"/>
      <c r="T159" s="6"/>
      <c r="U159" s="6"/>
      <c r="V159" s="6"/>
      <c r="W159" s="6"/>
    </row>
    <row r="160" spans="2:23">
      <c r="B160" s="596" t="s">
        <v>547</v>
      </c>
      <c r="C160" s="596">
        <v>0</v>
      </c>
      <c r="D160" s="596">
        <v>300</v>
      </c>
      <c r="E160" s="606" t="s">
        <v>548</v>
      </c>
      <c r="F160" s="606" t="s">
        <v>531</v>
      </c>
      <c r="G160" s="597" t="s">
        <v>582</v>
      </c>
      <c r="H160" s="597">
        <v>9.1999999999999993</v>
      </c>
      <c r="I160" s="597">
        <v>1.1339999999999999E-2</v>
      </c>
      <c r="M160" s="6"/>
      <c r="N160" s="6"/>
      <c r="O160" s="6"/>
      <c r="P160" s="6"/>
      <c r="Q160" s="6"/>
      <c r="R160" s="6"/>
      <c r="S160" s="6"/>
      <c r="T160" s="6"/>
      <c r="U160" s="6"/>
      <c r="V160" s="6"/>
      <c r="W160" s="6"/>
    </row>
    <row r="161" spans="2:23">
      <c r="B161" s="596" t="s">
        <v>550</v>
      </c>
      <c r="C161" s="596">
        <v>300</v>
      </c>
      <c r="D161" s="596">
        <v>800</v>
      </c>
      <c r="E161" s="606" t="s">
        <v>548</v>
      </c>
      <c r="F161" s="606" t="s">
        <v>531</v>
      </c>
      <c r="G161" s="597" t="s">
        <v>583</v>
      </c>
      <c r="H161" s="597">
        <v>6.49</v>
      </c>
      <c r="I161" s="597">
        <v>2.3E-3</v>
      </c>
      <c r="M161" s="6"/>
      <c r="N161" s="6"/>
      <c r="O161" s="6"/>
      <c r="P161" s="6"/>
      <c r="Q161" s="6"/>
      <c r="R161" s="6"/>
      <c r="S161" s="6"/>
      <c r="T161" s="6"/>
      <c r="U161" s="6"/>
      <c r="V161" s="6"/>
      <c r="W161" s="6"/>
    </row>
    <row r="162" spans="2:23">
      <c r="B162" s="596" t="s">
        <v>552</v>
      </c>
      <c r="C162" s="596">
        <v>800</v>
      </c>
      <c r="D162" s="596">
        <v>1500</v>
      </c>
      <c r="E162" s="606" t="s">
        <v>548</v>
      </c>
      <c r="F162" s="606" t="s">
        <v>531</v>
      </c>
      <c r="G162" s="597" t="s">
        <v>584</v>
      </c>
      <c r="H162" s="597">
        <v>5.1100000000000003</v>
      </c>
      <c r="I162" s="597">
        <v>5.8E-4</v>
      </c>
      <c r="M162" s="6"/>
      <c r="N162" s="6"/>
      <c r="O162" s="6"/>
      <c r="P162" s="6"/>
      <c r="Q162" s="6"/>
      <c r="R162" s="6"/>
      <c r="S162" s="6"/>
      <c r="T162" s="6"/>
      <c r="U162" s="6"/>
      <c r="V162" s="6"/>
      <c r="W162" s="6"/>
    </row>
    <row r="163" spans="2:23" ht="15" thickBot="1">
      <c r="B163" s="598" t="s">
        <v>554</v>
      </c>
      <c r="C163" s="598">
        <v>1500</v>
      </c>
      <c r="D163" s="598">
        <v>4000</v>
      </c>
      <c r="E163" s="607" t="s">
        <v>548</v>
      </c>
      <c r="F163" s="607" t="s">
        <v>531</v>
      </c>
      <c r="G163" s="599">
        <v>4.24</v>
      </c>
      <c r="H163" s="599">
        <v>4.24</v>
      </c>
      <c r="I163" s="599">
        <v>0</v>
      </c>
      <c r="M163" s="6"/>
      <c r="N163" s="6"/>
      <c r="O163" s="6"/>
      <c r="P163" s="6"/>
      <c r="Q163" s="6"/>
      <c r="R163" s="6"/>
      <c r="S163" s="6"/>
      <c r="T163" s="6"/>
      <c r="U163" s="6"/>
      <c r="V163" s="6"/>
      <c r="W163" s="6"/>
    </row>
    <row r="164" spans="2:23" ht="15" thickTop="1">
      <c r="B164" s="600" t="s">
        <v>555</v>
      </c>
      <c r="C164" s="600">
        <v>0</v>
      </c>
      <c r="D164" s="600">
        <v>988</v>
      </c>
      <c r="E164" s="608" t="s">
        <v>548</v>
      </c>
      <c r="F164" s="608" t="s">
        <v>534</v>
      </c>
      <c r="G164" s="601" t="s">
        <v>585</v>
      </c>
      <c r="H164" s="601">
        <v>7.17</v>
      </c>
      <c r="I164" s="601">
        <v>3.0799999999999998E-3</v>
      </c>
      <c r="M164" s="6"/>
      <c r="N164" s="6"/>
      <c r="O164" s="6"/>
      <c r="P164" s="6"/>
      <c r="Q164" s="6"/>
      <c r="R164" s="6"/>
      <c r="S164" s="6"/>
      <c r="T164" s="6"/>
      <c r="U164" s="6"/>
      <c r="V164" s="6"/>
      <c r="W164" s="6"/>
    </row>
    <row r="165" spans="2:23" ht="15" thickBot="1">
      <c r="B165" s="602" t="s">
        <v>557</v>
      </c>
      <c r="C165" s="602">
        <v>988</v>
      </c>
      <c r="D165" s="602">
        <v>4000</v>
      </c>
      <c r="E165" s="607" t="s">
        <v>548</v>
      </c>
      <c r="F165" s="607" t="s">
        <v>534</v>
      </c>
      <c r="G165" s="603">
        <v>4.13</v>
      </c>
      <c r="H165" s="603">
        <v>4.13</v>
      </c>
      <c r="I165" s="603">
        <v>0</v>
      </c>
      <c r="M165" s="6"/>
      <c r="N165" s="6"/>
      <c r="O165" s="6"/>
      <c r="P165" s="6"/>
      <c r="Q165" s="6"/>
      <c r="R165" s="6"/>
      <c r="S165" s="6"/>
      <c r="T165" s="6"/>
      <c r="U165" s="6"/>
      <c r="V165" s="6"/>
      <c r="W165" s="6"/>
    </row>
    <row r="166" spans="2:23" ht="15" thickTop="1">
      <c r="B166" s="600" t="s">
        <v>586</v>
      </c>
      <c r="C166" s="600">
        <v>0</v>
      </c>
      <c r="D166" s="600">
        <v>988</v>
      </c>
      <c r="E166" s="608" t="s">
        <v>548</v>
      </c>
      <c r="F166" s="608" t="s">
        <v>536</v>
      </c>
      <c r="G166" s="601" t="s">
        <v>585</v>
      </c>
      <c r="H166" s="601">
        <v>7.17</v>
      </c>
      <c r="I166" s="601">
        <v>3.0799999999999998E-3</v>
      </c>
      <c r="M166" s="6"/>
      <c r="N166" s="6"/>
      <c r="O166" s="6"/>
      <c r="P166" s="6"/>
      <c r="Q166" s="6"/>
      <c r="R166" s="6"/>
      <c r="S166" s="6"/>
      <c r="T166" s="6"/>
      <c r="U166" s="6"/>
      <c r="V166" s="6"/>
      <c r="W166" s="6"/>
    </row>
    <row r="167" spans="2:23" ht="15" thickBot="1">
      <c r="B167" s="602" t="s">
        <v>587</v>
      </c>
      <c r="C167" s="602">
        <v>988</v>
      </c>
      <c r="D167" s="602">
        <v>4000</v>
      </c>
      <c r="E167" s="607" t="s">
        <v>548</v>
      </c>
      <c r="F167" s="607" t="s">
        <v>536</v>
      </c>
      <c r="G167" s="603">
        <v>4.13</v>
      </c>
      <c r="H167" s="603">
        <v>4.13</v>
      </c>
      <c r="I167" s="603">
        <v>0</v>
      </c>
      <c r="M167" s="6"/>
      <c r="N167" s="6"/>
      <c r="O167" s="6"/>
      <c r="P167" s="6"/>
      <c r="Q167" s="6"/>
      <c r="R167" s="6"/>
      <c r="S167" s="6"/>
      <c r="T167" s="6"/>
      <c r="U167" s="6"/>
      <c r="V167" s="6"/>
      <c r="W167" s="6"/>
    </row>
    <row r="168" spans="2:23" ht="15" thickTop="1">
      <c r="B168" s="604" t="s">
        <v>562</v>
      </c>
      <c r="C168" s="596">
        <v>0</v>
      </c>
      <c r="D168" s="596">
        <v>110</v>
      </c>
      <c r="E168" s="608" t="s">
        <v>548</v>
      </c>
      <c r="F168" s="608" t="s">
        <v>537</v>
      </c>
      <c r="G168" s="601" t="s">
        <v>588</v>
      </c>
      <c r="H168" s="601">
        <v>12.57</v>
      </c>
      <c r="I168" s="601">
        <v>3.9899999999999998E-2</v>
      </c>
      <c r="M168" s="6"/>
      <c r="N168" s="6"/>
      <c r="O168" s="6"/>
      <c r="P168" s="6"/>
      <c r="Q168" s="6"/>
      <c r="R168" s="6"/>
      <c r="S168" s="6"/>
      <c r="T168" s="6"/>
      <c r="U168" s="6"/>
      <c r="V168" s="6"/>
      <c r="W168" s="6"/>
    </row>
    <row r="169" spans="2:23">
      <c r="B169" s="596" t="s">
        <v>564</v>
      </c>
      <c r="C169" s="596">
        <v>110</v>
      </c>
      <c r="D169" s="596">
        <v>200</v>
      </c>
      <c r="E169" s="606" t="s">
        <v>548</v>
      </c>
      <c r="F169" s="606" t="s">
        <v>537</v>
      </c>
      <c r="G169" s="597" t="s">
        <v>589</v>
      </c>
      <c r="H169" s="597">
        <v>10.56</v>
      </c>
      <c r="I169" s="597">
        <v>2.1499999999999998E-2</v>
      </c>
      <c r="M169" s="6"/>
      <c r="N169" s="6"/>
      <c r="O169" s="6"/>
      <c r="P169" s="6"/>
      <c r="Q169" s="6"/>
      <c r="R169" s="6"/>
      <c r="S169" s="6"/>
      <c r="T169" s="6"/>
      <c r="U169" s="6"/>
      <c r="V169" s="6"/>
      <c r="W169" s="6"/>
    </row>
    <row r="170" spans="2:23" ht="15" thickBot="1">
      <c r="B170" s="598" t="s">
        <v>566</v>
      </c>
      <c r="C170" s="598">
        <v>200</v>
      </c>
      <c r="D170" s="598">
        <v>4000</v>
      </c>
      <c r="E170" s="607" t="s">
        <v>548</v>
      </c>
      <c r="F170" s="607" t="s">
        <v>537</v>
      </c>
      <c r="G170" s="599">
        <v>6.25</v>
      </c>
      <c r="H170" s="599">
        <v>6.25</v>
      </c>
      <c r="I170" s="599">
        <v>0</v>
      </c>
      <c r="M170" s="6"/>
      <c r="N170" s="6"/>
      <c r="O170" s="6"/>
      <c r="P170" s="6"/>
      <c r="Q170" s="6"/>
      <c r="R170" s="6"/>
      <c r="S170" s="6"/>
      <c r="T170" s="6"/>
      <c r="U170" s="6"/>
      <c r="V170" s="6"/>
      <c r="W170" s="6"/>
    </row>
    <row r="171" spans="2:23" ht="15" thickTop="1">
      <c r="B171" s="604" t="s">
        <v>567</v>
      </c>
      <c r="C171" s="596">
        <v>0</v>
      </c>
      <c r="D171" s="596">
        <v>310</v>
      </c>
      <c r="E171" s="608" t="s">
        <v>533</v>
      </c>
      <c r="F171" s="608" t="s">
        <v>531</v>
      </c>
      <c r="G171" s="601" t="s">
        <v>590</v>
      </c>
      <c r="H171" s="601">
        <v>7.9</v>
      </c>
      <c r="I171" s="601">
        <v>5.4089999999999997E-3</v>
      </c>
      <c r="M171" s="6"/>
      <c r="N171" s="6"/>
      <c r="O171" s="6"/>
      <c r="P171" s="6"/>
      <c r="Q171" s="6"/>
      <c r="R171" s="6"/>
      <c r="S171" s="6"/>
      <c r="T171" s="6"/>
      <c r="U171" s="6"/>
      <c r="V171" s="6"/>
      <c r="W171" s="6"/>
    </row>
    <row r="172" spans="2:23">
      <c r="B172" s="596" t="s">
        <v>569</v>
      </c>
      <c r="C172" s="596">
        <v>310</v>
      </c>
      <c r="D172" s="596">
        <v>820</v>
      </c>
      <c r="E172" s="606" t="s">
        <v>533</v>
      </c>
      <c r="F172" s="606" t="s">
        <v>531</v>
      </c>
      <c r="G172" s="597" t="s">
        <v>591</v>
      </c>
      <c r="H172" s="597">
        <v>7.08</v>
      </c>
      <c r="I172" s="597">
        <v>2.7520000000000001E-3</v>
      </c>
      <c r="M172" s="6"/>
      <c r="N172" s="6"/>
      <c r="O172" s="6"/>
      <c r="P172" s="6"/>
      <c r="Q172" s="6"/>
      <c r="R172" s="6"/>
      <c r="S172" s="6"/>
      <c r="T172" s="6"/>
      <c r="U172" s="6"/>
      <c r="V172" s="6"/>
      <c r="W172" s="6"/>
    </row>
    <row r="173" spans="2:23" ht="15" thickBot="1">
      <c r="B173" s="598" t="s">
        <v>571</v>
      </c>
      <c r="C173" s="598">
        <v>820</v>
      </c>
      <c r="D173" s="598">
        <v>4000</v>
      </c>
      <c r="E173" s="607" t="s">
        <v>533</v>
      </c>
      <c r="F173" s="607" t="s">
        <v>531</v>
      </c>
      <c r="G173" s="599">
        <v>4.82</v>
      </c>
      <c r="H173" s="599">
        <v>4.82</v>
      </c>
      <c r="I173" s="599">
        <v>0</v>
      </c>
      <c r="M173" s="6"/>
      <c r="N173" s="6"/>
      <c r="O173" s="6"/>
      <c r="P173" s="6"/>
      <c r="Q173" s="6"/>
      <c r="R173" s="6"/>
      <c r="S173" s="6"/>
      <c r="T173" s="6"/>
      <c r="U173" s="6"/>
      <c r="V173" s="6"/>
      <c r="W173" s="6"/>
    </row>
    <row r="174" spans="2:23" ht="15" thickTop="1">
      <c r="B174" s="600" t="s">
        <v>592</v>
      </c>
      <c r="C174" s="596">
        <v>0</v>
      </c>
      <c r="D174" s="596">
        <v>800</v>
      </c>
      <c r="E174" s="608" t="s">
        <v>533</v>
      </c>
      <c r="F174" s="608" t="s">
        <v>534</v>
      </c>
      <c r="G174" s="601" t="s">
        <v>593</v>
      </c>
      <c r="H174" s="601">
        <v>7.76</v>
      </c>
      <c r="I174" s="601">
        <v>4.64E-3</v>
      </c>
      <c r="M174" s="6"/>
      <c r="N174" s="6"/>
      <c r="O174" s="6"/>
      <c r="P174" s="6"/>
      <c r="Q174" s="6"/>
      <c r="R174" s="6"/>
      <c r="S174" s="6"/>
      <c r="T174" s="6"/>
      <c r="U174" s="6"/>
      <c r="V174" s="6"/>
      <c r="W174" s="6"/>
    </row>
    <row r="175" spans="2:23" ht="15" thickBot="1">
      <c r="B175" s="602" t="s">
        <v>594</v>
      </c>
      <c r="C175" s="598">
        <v>800</v>
      </c>
      <c r="D175" s="598">
        <v>4000</v>
      </c>
      <c r="E175" s="607" t="s">
        <v>533</v>
      </c>
      <c r="F175" s="607" t="s">
        <v>534</v>
      </c>
      <c r="G175" s="599">
        <v>4.05</v>
      </c>
      <c r="H175" s="599">
        <v>4.05</v>
      </c>
      <c r="I175" s="599">
        <v>0</v>
      </c>
      <c r="M175" s="6"/>
      <c r="N175" s="6"/>
      <c r="O175" s="6"/>
      <c r="P175" s="6"/>
      <c r="Q175" s="6"/>
      <c r="R175" s="6"/>
      <c r="S175" s="6"/>
      <c r="T175" s="6"/>
      <c r="U175" s="6"/>
      <c r="V175" s="6"/>
      <c r="W175" s="6"/>
    </row>
    <row r="176" spans="2:23" ht="15" thickTop="1">
      <c r="B176" s="600" t="s">
        <v>595</v>
      </c>
      <c r="C176" s="596">
        <v>0</v>
      </c>
      <c r="D176" s="596">
        <v>800</v>
      </c>
      <c r="E176" s="608" t="s">
        <v>533</v>
      </c>
      <c r="F176" s="608" t="s">
        <v>536</v>
      </c>
      <c r="G176" s="601" t="s">
        <v>593</v>
      </c>
      <c r="H176" s="601">
        <v>7.76</v>
      </c>
      <c r="I176" s="601">
        <v>4.64E-3</v>
      </c>
      <c r="M176" s="6"/>
      <c r="N176" s="6"/>
      <c r="O176" s="6"/>
      <c r="P176" s="6"/>
      <c r="Q176" s="6"/>
      <c r="R176" s="6"/>
      <c r="S176" s="6"/>
      <c r="T176" s="6"/>
      <c r="U176" s="6"/>
      <c r="V176" s="6"/>
      <c r="W176" s="6"/>
    </row>
    <row r="177" spans="2:60" ht="15" thickBot="1">
      <c r="B177" s="602" t="s">
        <v>596</v>
      </c>
      <c r="C177" s="598">
        <v>800</v>
      </c>
      <c r="D177" s="598">
        <v>4000</v>
      </c>
      <c r="E177" s="607" t="s">
        <v>533</v>
      </c>
      <c r="F177" s="607" t="s">
        <v>536</v>
      </c>
      <c r="G177" s="599">
        <v>4.05</v>
      </c>
      <c r="H177" s="599">
        <v>4.05</v>
      </c>
      <c r="I177" s="599">
        <v>0</v>
      </c>
      <c r="M177" s="6"/>
      <c r="N177" s="6"/>
      <c r="O177" s="6"/>
      <c r="P177" s="6"/>
      <c r="Q177" s="6"/>
      <c r="R177" s="6"/>
      <c r="S177" s="6"/>
      <c r="T177" s="6"/>
      <c r="U177" s="6"/>
      <c r="V177" s="6"/>
      <c r="W177" s="6"/>
    </row>
    <row r="178" spans="2:60" ht="15" thickTop="1">
      <c r="B178" s="604" t="s">
        <v>575</v>
      </c>
      <c r="C178" s="596">
        <v>0</v>
      </c>
      <c r="D178" s="596">
        <v>200</v>
      </c>
      <c r="E178" s="608" t="s">
        <v>533</v>
      </c>
      <c r="F178" s="608" t="s">
        <v>537</v>
      </c>
      <c r="G178" s="601" t="s">
        <v>597</v>
      </c>
      <c r="H178" s="601">
        <v>12.37</v>
      </c>
      <c r="I178" s="601">
        <v>2.6100000000000002E-2</v>
      </c>
      <c r="M178" s="6"/>
      <c r="N178" s="6"/>
      <c r="O178" s="6"/>
      <c r="P178" s="6"/>
      <c r="Q178" s="6"/>
      <c r="R178" s="6"/>
      <c r="S178" s="6"/>
      <c r="T178" s="6"/>
      <c r="U178" s="6"/>
      <c r="V178" s="6"/>
      <c r="W178" s="6"/>
    </row>
    <row r="179" spans="2:60">
      <c r="B179" s="596" t="s">
        <v>577</v>
      </c>
      <c r="C179" s="596">
        <v>200</v>
      </c>
      <c r="D179" s="596">
        <v>700</v>
      </c>
      <c r="E179" s="606" t="s">
        <v>533</v>
      </c>
      <c r="F179" s="606" t="s">
        <v>537</v>
      </c>
      <c r="G179" s="597" t="s">
        <v>598</v>
      </c>
      <c r="H179" s="597">
        <v>8.24</v>
      </c>
      <c r="I179" s="597">
        <v>5.4920000000000004E-3</v>
      </c>
      <c r="M179" s="6"/>
      <c r="N179" s="6"/>
      <c r="O179" s="6"/>
      <c r="P179" s="6"/>
      <c r="Q179" s="6"/>
      <c r="R179" s="6"/>
      <c r="S179" s="6"/>
      <c r="T179" s="6"/>
      <c r="U179" s="6"/>
      <c r="V179" s="6"/>
      <c r="W179" s="6"/>
    </row>
    <row r="180" spans="2:60">
      <c r="B180" s="596" t="s">
        <v>579</v>
      </c>
      <c r="C180" s="596">
        <v>700</v>
      </c>
      <c r="D180" s="596">
        <v>4000</v>
      </c>
      <c r="E180" s="606" t="s">
        <v>533</v>
      </c>
      <c r="F180" s="606" t="s">
        <v>537</v>
      </c>
      <c r="G180" s="597">
        <v>4.4400000000000004</v>
      </c>
      <c r="H180" s="597">
        <v>4.4400000000000004</v>
      </c>
      <c r="I180" s="597">
        <v>0</v>
      </c>
      <c r="M180" s="6"/>
      <c r="N180" s="6"/>
      <c r="O180" s="6"/>
      <c r="P180" s="6"/>
      <c r="Q180" s="6"/>
      <c r="R180" s="6"/>
      <c r="S180" s="6"/>
      <c r="T180" s="6"/>
      <c r="U180" s="6"/>
      <c r="V180" s="6"/>
      <c r="W180" s="6"/>
    </row>
    <row r="181" spans="2:60" ht="18.75" thickBot="1">
      <c r="B181" s="24" t="s">
        <v>599</v>
      </c>
      <c r="Q181" s="6"/>
      <c r="R181" s="6"/>
      <c r="S181" s="6"/>
      <c r="T181" s="6"/>
      <c r="U181" s="6"/>
      <c r="V181" s="6"/>
      <c r="W181" s="6"/>
    </row>
    <row r="182" spans="2:60" ht="15">
      <c r="B182" s="502" t="s">
        <v>150</v>
      </c>
      <c r="C182" s="317" t="s">
        <v>524</v>
      </c>
      <c r="D182" s="317" t="s">
        <v>525</v>
      </c>
      <c r="E182" s="318" t="s">
        <v>303</v>
      </c>
      <c r="F182" s="318" t="s">
        <v>600</v>
      </c>
      <c r="G182" s="318" t="s">
        <v>601</v>
      </c>
      <c r="H182" s="318" t="s">
        <v>602</v>
      </c>
      <c r="I182" s="253" t="s">
        <v>603</v>
      </c>
      <c r="J182" s="236" t="s">
        <v>604</v>
      </c>
      <c r="K182" s="236" t="s">
        <v>605</v>
      </c>
      <c r="L182" s="236" t="s">
        <v>606</v>
      </c>
      <c r="M182" s="236" t="s">
        <v>607</v>
      </c>
      <c r="N182" s="236" t="s">
        <v>608</v>
      </c>
      <c r="O182" s="236" t="s">
        <v>609</v>
      </c>
      <c r="P182" s="236" t="s">
        <v>610</v>
      </c>
      <c r="Q182" s="6"/>
      <c r="R182" s="6"/>
      <c r="S182" s="6"/>
      <c r="T182" s="6"/>
      <c r="U182" s="6"/>
      <c r="V182" s="6"/>
      <c r="W182" s="6"/>
    </row>
    <row r="183" spans="2:60" ht="15">
      <c r="B183" s="507" t="str">
        <f t="shared" ref="B183:B203" si="19">CONCATENATE(C183,D183,E183)</f>
        <v>Batch TypeIce-Making Head&gt; 50 and &lt; 300</v>
      </c>
      <c r="C183" s="233" t="str">
        <f t="shared" ref="C183:C193" si="20">$B$129</f>
        <v>Batch Type</v>
      </c>
      <c r="D183" s="233" t="str">
        <f>$C$129</f>
        <v>Ice-Making Head</v>
      </c>
      <c r="E183" s="23" t="s">
        <v>611</v>
      </c>
      <c r="F183" s="478">
        <v>50</v>
      </c>
      <c r="G183" s="478">
        <v>300</v>
      </c>
      <c r="H183" s="478" t="s">
        <v>612</v>
      </c>
      <c r="I183" s="319">
        <v>10</v>
      </c>
      <c r="J183" s="508">
        <v>1.2330000000000001E-2</v>
      </c>
      <c r="K183" s="508">
        <f t="shared" ref="K183:K203" si="21">IF(E230=50,0,IF(AND($C$230=$C183,$D$230=$D183,$E$230&gt;=$F183,$E$230&lt;$G183),$I183-$J183*$E$230,0))</f>
        <v>0</v>
      </c>
      <c r="L183" s="508">
        <f t="shared" ref="L183:L203" si="22">IF(E231=50,0,IF(AND($C$231=$C183,$D$231=$D183,$E$231&gt;=$F183,$E$231&lt;$G183),$I183-$J183*$E$231,0))</f>
        <v>0</v>
      </c>
      <c r="M183" s="508">
        <f t="shared" ref="M183:M203" si="23">IF(E232=50,0,IF(AND($C$232=$C183,$D$232=$D183,$E$232&gt;=$F183,$E$232&lt;$G183),$I183-$J183*$E$232,0))</f>
        <v>0</v>
      </c>
      <c r="N183" s="508">
        <f t="shared" ref="N183:N203" si="24">IF(E233=50,0,IF(AND($C$233=$C183,$D$233=$D183,$E$233&gt;=$F183,$E$233&lt;$G183),$I183-$J183*$E$233,0))</f>
        <v>0</v>
      </c>
      <c r="O183" s="509"/>
      <c r="P183" s="509"/>
      <c r="Q183" s="6"/>
      <c r="R183" s="6"/>
      <c r="S183" s="6"/>
      <c r="T183" s="6"/>
      <c r="U183" s="6"/>
      <c r="V183" s="6"/>
      <c r="W183" s="6"/>
      <c r="AJ183" s="9"/>
      <c r="AK183" s="9"/>
      <c r="BD183" s="9"/>
      <c r="BE183" s="9"/>
      <c r="BF183" s="9"/>
      <c r="BG183" s="9"/>
      <c r="BH183" s="9"/>
    </row>
    <row r="184" spans="2:60" ht="15">
      <c r="B184" s="507" t="str">
        <f t="shared" si="19"/>
        <v>Batch TypeIce-Making Head≥ 300 and &lt; 800</v>
      </c>
      <c r="C184" s="233" t="str">
        <f t="shared" si="20"/>
        <v>Batch Type</v>
      </c>
      <c r="D184" s="233" t="str">
        <f>$C$129</f>
        <v>Ice-Making Head</v>
      </c>
      <c r="E184" s="157" t="s">
        <v>613</v>
      </c>
      <c r="F184" s="478">
        <v>300</v>
      </c>
      <c r="G184" s="478">
        <v>800</v>
      </c>
      <c r="H184" s="478" t="s">
        <v>614</v>
      </c>
      <c r="I184" s="319">
        <v>7.05</v>
      </c>
      <c r="J184" s="508">
        <v>2.5000000000000001E-3</v>
      </c>
      <c r="K184" s="508">
        <f t="shared" si="21"/>
        <v>0</v>
      </c>
      <c r="L184" s="508">
        <f t="shared" si="22"/>
        <v>0</v>
      </c>
      <c r="M184" s="508">
        <f t="shared" si="23"/>
        <v>0</v>
      </c>
      <c r="N184" s="508">
        <f t="shared" si="24"/>
        <v>0</v>
      </c>
      <c r="O184" s="509"/>
      <c r="P184" s="509"/>
      <c r="Q184" s="6"/>
      <c r="R184" s="6"/>
      <c r="S184" s="6"/>
      <c r="T184" s="6"/>
      <c r="U184" s="6"/>
      <c r="V184" s="6"/>
      <c r="W184" s="6"/>
    </row>
    <row r="185" spans="2:60" ht="15">
      <c r="B185" s="507" t="str">
        <f t="shared" si="19"/>
        <v>Batch TypeIce-Making Head≥ 800 and &lt; 1,500</v>
      </c>
      <c r="C185" s="233" t="str">
        <f t="shared" si="20"/>
        <v>Batch Type</v>
      </c>
      <c r="D185" s="233" t="str">
        <f>$C$129</f>
        <v>Ice-Making Head</v>
      </c>
      <c r="E185" s="157" t="s">
        <v>615</v>
      </c>
      <c r="F185" s="478">
        <v>800</v>
      </c>
      <c r="G185" s="478">
        <v>1500</v>
      </c>
      <c r="H185" s="684" t="s">
        <v>616</v>
      </c>
      <c r="I185" s="685">
        <v>5.55</v>
      </c>
      <c r="J185" s="508">
        <v>6.3000000000000003E-4</v>
      </c>
      <c r="K185" s="508">
        <f t="shared" si="21"/>
        <v>0</v>
      </c>
      <c r="L185" s="508">
        <f t="shared" si="22"/>
        <v>0</v>
      </c>
      <c r="M185" s="508">
        <f t="shared" si="23"/>
        <v>0</v>
      </c>
      <c r="N185" s="508">
        <f t="shared" si="24"/>
        <v>0</v>
      </c>
      <c r="O185" s="509"/>
      <c r="P185" s="509"/>
      <c r="Q185" s="6"/>
      <c r="R185" s="6"/>
      <c r="S185" s="6"/>
      <c r="T185" s="6"/>
      <c r="U185" s="6"/>
      <c r="V185" s="6"/>
      <c r="W185" s="6"/>
    </row>
    <row r="186" spans="2:60" ht="15" customHeight="1">
      <c r="B186" s="507" t="str">
        <f t="shared" si="19"/>
        <v>Batch TypeIce-Making Head≥ 1,500 and &lt; 4,000</v>
      </c>
      <c r="C186" s="233" t="str">
        <f t="shared" si="20"/>
        <v>Batch Type</v>
      </c>
      <c r="D186" s="233" t="str">
        <f>$C$129</f>
        <v>Ice-Making Head</v>
      </c>
      <c r="E186" s="157" t="s">
        <v>617</v>
      </c>
      <c r="F186" s="478">
        <v>1500</v>
      </c>
      <c r="G186" s="478">
        <v>4000</v>
      </c>
      <c r="H186" s="684">
        <v>4.6100000000000003</v>
      </c>
      <c r="I186" s="685">
        <v>4.6100000000000003</v>
      </c>
      <c r="J186" s="508">
        <v>0</v>
      </c>
      <c r="K186" s="508">
        <f t="shared" si="21"/>
        <v>0</v>
      </c>
      <c r="L186" s="508">
        <f t="shared" si="22"/>
        <v>0</v>
      </c>
      <c r="M186" s="508">
        <f t="shared" si="23"/>
        <v>0</v>
      </c>
      <c r="N186" s="508">
        <f t="shared" si="24"/>
        <v>0</v>
      </c>
      <c r="O186" s="509"/>
      <c r="P186" s="509"/>
      <c r="Q186" s="6"/>
      <c r="R186" s="6"/>
      <c r="S186" s="6"/>
      <c r="T186" s="6"/>
      <c r="U186" s="6"/>
      <c r="V186" s="6"/>
      <c r="W186" s="6"/>
    </row>
    <row r="187" spans="2:60" ht="15" customHeight="1">
      <c r="B187" s="507" t="str">
        <f t="shared" si="19"/>
        <v>Batch TypeRemote-Condensing w/out remote compressor≥ 50 and &lt; 988</v>
      </c>
      <c r="C187" s="233" t="str">
        <f t="shared" si="20"/>
        <v>Batch Type</v>
      </c>
      <c r="D187" s="233" t="str">
        <f>$C$130</f>
        <v>Remote-Condensing w/out remote compressor</v>
      </c>
      <c r="E187" s="157" t="s">
        <v>618</v>
      </c>
      <c r="F187" s="478">
        <v>50</v>
      </c>
      <c r="G187" s="478">
        <v>988</v>
      </c>
      <c r="H187" s="478" t="s">
        <v>619</v>
      </c>
      <c r="I187" s="319">
        <v>7.97</v>
      </c>
      <c r="J187" s="508">
        <v>3.4199999999999999E-3</v>
      </c>
      <c r="K187" s="508">
        <f t="shared" si="21"/>
        <v>0</v>
      </c>
      <c r="L187" s="508">
        <f t="shared" si="22"/>
        <v>0</v>
      </c>
      <c r="M187" s="508">
        <f t="shared" si="23"/>
        <v>0</v>
      </c>
      <c r="N187" s="508">
        <f t="shared" si="24"/>
        <v>0</v>
      </c>
      <c r="O187" s="509"/>
      <c r="P187" s="509"/>
      <c r="T187" s="6"/>
      <c r="U187" s="6"/>
      <c r="V187" s="6"/>
      <c r="W187" s="6"/>
    </row>
    <row r="188" spans="2:60" ht="15.75" customHeight="1">
      <c r="B188" s="507" t="str">
        <f t="shared" si="19"/>
        <v>Batch TypeRemote-Condensing w/out remote compressor≥ 988 and &lt; 4,000</v>
      </c>
      <c r="C188" s="233" t="str">
        <f t="shared" si="20"/>
        <v>Batch Type</v>
      </c>
      <c r="D188" s="233" t="str">
        <f>$C$130</f>
        <v>Remote-Condensing w/out remote compressor</v>
      </c>
      <c r="E188" s="157" t="s">
        <v>620</v>
      </c>
      <c r="F188" s="478">
        <v>988</v>
      </c>
      <c r="G188" s="478">
        <v>4000</v>
      </c>
      <c r="H188" s="478">
        <v>4.59</v>
      </c>
      <c r="I188" s="319">
        <v>4.59</v>
      </c>
      <c r="J188" s="508">
        <v>0</v>
      </c>
      <c r="K188" s="508">
        <f t="shared" si="21"/>
        <v>0</v>
      </c>
      <c r="L188" s="508">
        <f t="shared" si="22"/>
        <v>0</v>
      </c>
      <c r="M188" s="508">
        <f t="shared" si="23"/>
        <v>0</v>
      </c>
      <c r="N188" s="508">
        <f t="shared" si="24"/>
        <v>0</v>
      </c>
      <c r="O188" s="509"/>
      <c r="P188" s="509"/>
      <c r="Q188" s="610"/>
      <c r="R188" s="610"/>
      <c r="S188" s="610"/>
      <c r="T188" s="6"/>
      <c r="U188" s="6"/>
      <c r="V188" s="6"/>
      <c r="W188" s="6"/>
    </row>
    <row r="189" spans="2:60" ht="35.25" customHeight="1">
      <c r="B189" s="507" t="str">
        <f t="shared" si="19"/>
        <v>Batch TypeRemote-Condensing with remote compressor&gt; 50 and &lt; 930</v>
      </c>
      <c r="C189" s="233" t="str">
        <f t="shared" si="20"/>
        <v>Batch Type</v>
      </c>
      <c r="D189" s="233" t="str">
        <f>$C$131</f>
        <v>Remote-Condensing with remote compressor</v>
      </c>
      <c r="E189" s="157" t="s">
        <v>621</v>
      </c>
      <c r="F189" s="478">
        <v>50</v>
      </c>
      <c r="G189" s="478">
        <v>930</v>
      </c>
      <c r="H189" s="684" t="s">
        <v>619</v>
      </c>
      <c r="I189" s="685">
        <v>7.97</v>
      </c>
      <c r="J189" s="508">
        <v>3.4199999999999999E-3</v>
      </c>
      <c r="K189" s="508">
        <f t="shared" si="21"/>
        <v>0</v>
      </c>
      <c r="L189" s="508">
        <f t="shared" si="22"/>
        <v>0</v>
      </c>
      <c r="M189" s="508">
        <f t="shared" si="23"/>
        <v>0</v>
      </c>
      <c r="N189" s="508">
        <f t="shared" si="24"/>
        <v>0</v>
      </c>
      <c r="O189" s="509"/>
      <c r="P189" s="509"/>
      <c r="Q189" s="609"/>
      <c r="R189" s="609"/>
      <c r="S189" s="609"/>
      <c r="T189" s="6"/>
      <c r="U189" s="6"/>
      <c r="V189" s="6"/>
      <c r="W189" s="6"/>
      <c r="AL189" s="9"/>
      <c r="AM189" s="9"/>
      <c r="AN189" s="9"/>
      <c r="AO189" s="9"/>
      <c r="AP189" s="9"/>
      <c r="AQ189" s="9"/>
      <c r="AR189" s="9"/>
      <c r="AS189" s="9"/>
      <c r="AT189" s="9"/>
      <c r="AU189" s="9"/>
      <c r="AV189" s="9"/>
      <c r="AW189" s="9"/>
      <c r="AX189" s="9"/>
      <c r="AY189" s="9"/>
      <c r="AZ189" s="9"/>
      <c r="BA189" s="9"/>
      <c r="BB189" s="9"/>
      <c r="BC189" s="9"/>
    </row>
    <row r="190" spans="2:60" ht="16.5" customHeight="1">
      <c r="B190" s="507" t="str">
        <f t="shared" si="19"/>
        <v>Batch TypeRemote-Condensing with remote compressor≥ 930 and &lt; 4,000</v>
      </c>
      <c r="C190" s="233" t="str">
        <f t="shared" si="20"/>
        <v>Batch Type</v>
      </c>
      <c r="D190" s="233" t="str">
        <f>$C$131</f>
        <v>Remote-Condensing with remote compressor</v>
      </c>
      <c r="E190" s="157" t="s">
        <v>622</v>
      </c>
      <c r="F190" s="478">
        <v>930</v>
      </c>
      <c r="G190" s="478">
        <v>4000</v>
      </c>
      <c r="H190" s="684">
        <v>4.79</v>
      </c>
      <c r="I190" s="685">
        <v>4.79</v>
      </c>
      <c r="J190" s="686">
        <v>0</v>
      </c>
      <c r="K190" s="508">
        <f t="shared" si="21"/>
        <v>0</v>
      </c>
      <c r="L190" s="508">
        <f t="shared" si="22"/>
        <v>0</v>
      </c>
      <c r="M190" s="508">
        <f t="shared" si="23"/>
        <v>0</v>
      </c>
      <c r="N190" s="508">
        <f t="shared" si="24"/>
        <v>0</v>
      </c>
      <c r="O190" s="509"/>
      <c r="P190" s="509"/>
      <c r="Q190" s="609"/>
      <c r="R190" s="609"/>
      <c r="S190" s="609"/>
      <c r="T190" s="6"/>
      <c r="U190" s="6"/>
      <c r="V190" s="6"/>
      <c r="W190" s="6"/>
    </row>
    <row r="191" spans="2:60" ht="15">
      <c r="B191" s="507" t="str">
        <f t="shared" si="19"/>
        <v>Batch TypeSelf-Contained&gt; 50 and &lt; 110</v>
      </c>
      <c r="C191" s="233" t="str">
        <f t="shared" si="20"/>
        <v>Batch Type</v>
      </c>
      <c r="D191" s="490" t="str">
        <f>$C$132</f>
        <v>Self-Contained</v>
      </c>
      <c r="E191" s="23" t="s">
        <v>623</v>
      </c>
      <c r="F191" s="478">
        <v>50</v>
      </c>
      <c r="G191" s="478">
        <v>110</v>
      </c>
      <c r="H191" s="491" t="s">
        <v>624</v>
      </c>
      <c r="I191" s="510">
        <v>14.79</v>
      </c>
      <c r="J191" s="508">
        <v>4.6899999999999997E-2</v>
      </c>
      <c r="K191" s="508">
        <f t="shared" si="21"/>
        <v>0</v>
      </c>
      <c r="L191" s="508">
        <f t="shared" si="22"/>
        <v>0</v>
      </c>
      <c r="M191" s="508">
        <f t="shared" si="23"/>
        <v>0</v>
      </c>
      <c r="N191" s="508">
        <f t="shared" si="24"/>
        <v>0</v>
      </c>
      <c r="O191" s="511"/>
      <c r="P191" s="511"/>
      <c r="S191" s="609"/>
      <c r="T191" s="6"/>
      <c r="U191" s="6"/>
      <c r="V191" s="6"/>
      <c r="W191" s="6"/>
    </row>
    <row r="192" spans="2:60" ht="15">
      <c r="B192" s="507" t="str">
        <f t="shared" si="19"/>
        <v>Batch TypeSelf-Contained≥ 110 and &lt; 200</v>
      </c>
      <c r="C192" s="233" t="str">
        <f t="shared" si="20"/>
        <v>Batch Type</v>
      </c>
      <c r="D192" s="490" t="str">
        <f>$C$132</f>
        <v>Self-Contained</v>
      </c>
      <c r="E192" s="157" t="s">
        <v>625</v>
      </c>
      <c r="F192" s="478">
        <v>110</v>
      </c>
      <c r="G192" s="478">
        <v>200</v>
      </c>
      <c r="H192" s="478" t="s">
        <v>626</v>
      </c>
      <c r="I192" s="319">
        <v>12.42</v>
      </c>
      <c r="J192" s="508">
        <v>2.5329999999999998E-2</v>
      </c>
      <c r="K192" s="508">
        <f t="shared" si="21"/>
        <v>0</v>
      </c>
      <c r="L192" s="508">
        <f t="shared" si="22"/>
        <v>0</v>
      </c>
      <c r="M192" s="508">
        <f t="shared" si="23"/>
        <v>0</v>
      </c>
      <c r="N192" s="508">
        <f t="shared" si="24"/>
        <v>0</v>
      </c>
      <c r="O192" s="511"/>
      <c r="P192" s="511"/>
      <c r="T192" s="6"/>
      <c r="U192" s="6"/>
      <c r="V192" s="6"/>
      <c r="W192" s="6"/>
    </row>
    <row r="193" spans="2:80" ht="15">
      <c r="B193" s="507" t="str">
        <f t="shared" si="19"/>
        <v>Batch TypeSelf-Contained≥ 200 and &lt; 4,000</v>
      </c>
      <c r="C193" s="233" t="str">
        <f t="shared" si="20"/>
        <v>Batch Type</v>
      </c>
      <c r="D193" s="490" t="str">
        <f>$C$132</f>
        <v>Self-Contained</v>
      </c>
      <c r="E193" s="157" t="s">
        <v>627</v>
      </c>
      <c r="F193" s="478">
        <v>200</v>
      </c>
      <c r="G193" s="478">
        <v>4000</v>
      </c>
      <c r="H193" s="684">
        <v>7.35</v>
      </c>
      <c r="I193" s="685">
        <v>7.35</v>
      </c>
      <c r="J193" s="508">
        <v>0</v>
      </c>
      <c r="K193" s="508">
        <f t="shared" si="21"/>
        <v>0</v>
      </c>
      <c r="L193" s="508">
        <f t="shared" si="22"/>
        <v>0</v>
      </c>
      <c r="M193" s="508">
        <f t="shared" si="23"/>
        <v>0</v>
      </c>
      <c r="N193" s="508">
        <f t="shared" si="24"/>
        <v>0</v>
      </c>
      <c r="O193" s="511"/>
      <c r="P193" s="511"/>
      <c r="T193" s="6"/>
      <c r="U193" s="6"/>
      <c r="V193" s="6"/>
      <c r="W193" s="6"/>
    </row>
    <row r="194" spans="2:80" ht="15" customHeight="1">
      <c r="B194" s="507" t="str">
        <f t="shared" si="19"/>
        <v>Continuous TypeIce-Making Head&gt; 50 and &lt; 310</v>
      </c>
      <c r="C194" s="233" t="str">
        <f t="shared" ref="C194:C203" si="25">$B$130</f>
        <v>Continuous Type</v>
      </c>
      <c r="D194" s="233" t="str">
        <f>$C$129</f>
        <v>Ice-Making Head</v>
      </c>
      <c r="E194" s="157" t="s">
        <v>628</v>
      </c>
      <c r="F194" s="478">
        <v>50</v>
      </c>
      <c r="G194" s="478">
        <v>310</v>
      </c>
      <c r="H194" s="684" t="s">
        <v>629</v>
      </c>
      <c r="I194" s="687">
        <v>9.19</v>
      </c>
      <c r="J194" s="512">
        <v>6.2899999999999996E-3</v>
      </c>
      <c r="K194" s="508">
        <f t="shared" si="21"/>
        <v>0</v>
      </c>
      <c r="L194" s="508">
        <f t="shared" si="22"/>
        <v>0</v>
      </c>
      <c r="M194" s="508">
        <f t="shared" si="23"/>
        <v>0</v>
      </c>
      <c r="N194" s="508">
        <f t="shared" si="24"/>
        <v>0</v>
      </c>
      <c r="O194" s="511"/>
      <c r="P194" s="511"/>
      <c r="T194" s="6"/>
      <c r="U194" s="6"/>
      <c r="V194" s="6"/>
      <c r="W194" s="6"/>
    </row>
    <row r="195" spans="2:80" ht="15" customHeight="1">
      <c r="B195" s="507" t="str">
        <f t="shared" si="19"/>
        <v>Continuous TypeIce-Making Head≥ 310 and &lt; 820</v>
      </c>
      <c r="C195" s="233" t="str">
        <f t="shared" si="25"/>
        <v>Continuous Type</v>
      </c>
      <c r="D195" s="233" t="str">
        <f>$C$129</f>
        <v>Ice-Making Head</v>
      </c>
      <c r="E195" s="157" t="s">
        <v>630</v>
      </c>
      <c r="F195" s="478">
        <v>310</v>
      </c>
      <c r="G195" s="478">
        <v>820</v>
      </c>
      <c r="H195" s="478" t="s">
        <v>631</v>
      </c>
      <c r="I195" s="319">
        <v>8.23</v>
      </c>
      <c r="J195" s="508">
        <v>3.2000000000000002E-3</v>
      </c>
      <c r="K195" s="508">
        <f t="shared" si="21"/>
        <v>0</v>
      </c>
      <c r="L195" s="508">
        <f t="shared" si="22"/>
        <v>0</v>
      </c>
      <c r="M195" s="508">
        <f t="shared" si="23"/>
        <v>0</v>
      </c>
      <c r="N195" s="508">
        <f t="shared" si="24"/>
        <v>0</v>
      </c>
      <c r="O195" s="511"/>
      <c r="P195" s="511"/>
      <c r="Q195" s="610"/>
      <c r="R195" s="610"/>
      <c r="S195" s="610"/>
      <c r="T195" s="6"/>
      <c r="U195" s="6"/>
      <c r="V195" s="6"/>
      <c r="W195" s="6"/>
    </row>
    <row r="196" spans="2:80" ht="15" customHeight="1">
      <c r="B196" s="507" t="str">
        <f t="shared" si="19"/>
        <v>Continuous TypeIce-Making Head≥ 820 and &lt; 4,000</v>
      </c>
      <c r="C196" s="233" t="str">
        <f t="shared" si="25"/>
        <v>Continuous Type</v>
      </c>
      <c r="D196" s="233" t="str">
        <f>$C$129</f>
        <v>Ice-Making Head</v>
      </c>
      <c r="E196" s="157" t="s">
        <v>632</v>
      </c>
      <c r="F196" s="478">
        <v>820</v>
      </c>
      <c r="G196" s="478">
        <v>4000</v>
      </c>
      <c r="H196" s="478">
        <v>5.61</v>
      </c>
      <c r="I196" s="319">
        <v>5.61</v>
      </c>
      <c r="J196" s="508">
        <v>0</v>
      </c>
      <c r="K196" s="508">
        <f t="shared" si="21"/>
        <v>0</v>
      </c>
      <c r="L196" s="508">
        <f t="shared" si="22"/>
        <v>0</v>
      </c>
      <c r="M196" s="508">
        <f t="shared" si="23"/>
        <v>0</v>
      </c>
      <c r="N196" s="508">
        <f t="shared" si="24"/>
        <v>0</v>
      </c>
      <c r="O196" s="511"/>
      <c r="P196" s="511"/>
      <c r="Q196" s="609"/>
      <c r="R196" s="609"/>
      <c r="S196" s="609"/>
      <c r="T196" s="6"/>
      <c r="U196" s="6"/>
      <c r="V196" s="6"/>
      <c r="W196" s="6"/>
    </row>
    <row r="197" spans="2:80" ht="15" customHeight="1">
      <c r="B197" s="507" t="str">
        <f t="shared" si="19"/>
        <v>Continuous TypeRemote-Condensing w/out remote compressor&gt; 50 and &lt; 800</v>
      </c>
      <c r="C197" s="233" t="str">
        <f t="shared" si="25"/>
        <v>Continuous Type</v>
      </c>
      <c r="D197" s="233" t="str">
        <f>$C$130</f>
        <v>Remote-Condensing w/out remote compressor</v>
      </c>
      <c r="E197" s="157" t="s">
        <v>633</v>
      </c>
      <c r="F197" s="478">
        <v>50</v>
      </c>
      <c r="G197" s="478">
        <v>800</v>
      </c>
      <c r="H197" s="684" t="s">
        <v>634</v>
      </c>
      <c r="I197" s="685">
        <v>9.6999999999999993</v>
      </c>
      <c r="J197" s="508">
        <v>5.7999999999999996E-3</v>
      </c>
      <c r="K197" s="508">
        <f t="shared" si="21"/>
        <v>0</v>
      </c>
      <c r="L197" s="508">
        <f t="shared" si="22"/>
        <v>0</v>
      </c>
      <c r="M197" s="508">
        <f t="shared" si="23"/>
        <v>0</v>
      </c>
      <c r="N197" s="508">
        <f t="shared" si="24"/>
        <v>0</v>
      </c>
      <c r="O197" s="511"/>
      <c r="P197" s="511"/>
      <c r="Q197" s="609"/>
      <c r="R197" s="609"/>
      <c r="S197" s="609"/>
      <c r="T197" s="6"/>
      <c r="U197" s="6"/>
      <c r="V197" s="6"/>
      <c r="W197" s="6"/>
    </row>
    <row r="198" spans="2:80" ht="15" customHeight="1">
      <c r="B198" s="507" t="str">
        <f t="shared" si="19"/>
        <v>Continuous TypeRemote-Condensing w/out remote compressor≥ 800 and &lt; 4,000</v>
      </c>
      <c r="C198" s="233" t="str">
        <f t="shared" si="25"/>
        <v>Continuous Type</v>
      </c>
      <c r="D198" s="233" t="str">
        <f>$C$130</f>
        <v>Remote-Condensing w/out remote compressor</v>
      </c>
      <c r="E198" s="157" t="s">
        <v>635</v>
      </c>
      <c r="F198" s="478">
        <v>800</v>
      </c>
      <c r="G198" s="478">
        <v>4000</v>
      </c>
      <c r="H198" s="684">
        <v>5.0599999999999996</v>
      </c>
      <c r="I198" s="685">
        <v>5.0599999999999996</v>
      </c>
      <c r="J198" s="508">
        <v>0</v>
      </c>
      <c r="K198" s="508">
        <f t="shared" si="21"/>
        <v>0</v>
      </c>
      <c r="L198" s="508">
        <f t="shared" si="22"/>
        <v>0</v>
      </c>
      <c r="M198" s="508">
        <f t="shared" si="23"/>
        <v>0</v>
      </c>
      <c r="N198" s="508">
        <f t="shared" si="24"/>
        <v>0</v>
      </c>
      <c r="O198" s="511"/>
      <c r="P198" s="511"/>
      <c r="S198" s="609"/>
      <c r="T198" s="6"/>
      <c r="U198" s="6"/>
      <c r="V198" s="6"/>
      <c r="W198" s="6"/>
    </row>
    <row r="199" spans="2:80" ht="15" customHeight="1">
      <c r="B199" s="507" t="str">
        <f t="shared" si="19"/>
        <v>Continuous TypeRemote-Condensing with remote compressor&gt; 50 and &lt; 800</v>
      </c>
      <c r="C199" s="233" t="str">
        <f t="shared" si="25"/>
        <v>Continuous Type</v>
      </c>
      <c r="D199" s="233" t="str">
        <f>$C$131</f>
        <v>Remote-Condensing with remote compressor</v>
      </c>
      <c r="E199" s="157" t="s">
        <v>633</v>
      </c>
      <c r="F199" s="478">
        <v>50</v>
      </c>
      <c r="G199" s="478">
        <v>800</v>
      </c>
      <c r="H199" s="478" t="s">
        <v>636</v>
      </c>
      <c r="I199" s="319">
        <v>9.9</v>
      </c>
      <c r="J199" s="508">
        <v>5.7999999999999996E-3</v>
      </c>
      <c r="K199" s="508">
        <f t="shared" si="21"/>
        <v>0</v>
      </c>
      <c r="L199" s="508">
        <f t="shared" si="22"/>
        <v>0</v>
      </c>
      <c r="M199" s="508">
        <f t="shared" si="23"/>
        <v>0</v>
      </c>
      <c r="N199" s="508">
        <f t="shared" si="24"/>
        <v>0</v>
      </c>
      <c r="O199" s="509"/>
      <c r="P199" s="509"/>
      <c r="Q199" s="6"/>
      <c r="R199" s="6"/>
      <c r="S199" s="6"/>
      <c r="T199" s="6"/>
      <c r="U199" s="6"/>
      <c r="V199" s="6"/>
      <c r="W199" s="6"/>
    </row>
    <row r="200" spans="2:80" ht="30">
      <c r="B200" s="507" t="str">
        <f t="shared" si="19"/>
        <v>Continuous TypeRemote-Condensing with remote compressor≥ 800 and &lt; 4,000</v>
      </c>
      <c r="C200" s="233" t="str">
        <f t="shared" si="25"/>
        <v>Continuous Type</v>
      </c>
      <c r="D200" s="233" t="str">
        <f>$C$131</f>
        <v>Remote-Condensing with remote compressor</v>
      </c>
      <c r="E200" s="157" t="s">
        <v>635</v>
      </c>
      <c r="F200" s="478">
        <v>800</v>
      </c>
      <c r="G200" s="478">
        <v>4000</v>
      </c>
      <c r="H200" s="478">
        <v>5.26</v>
      </c>
      <c r="I200" s="319">
        <v>5.26</v>
      </c>
      <c r="J200" s="508">
        <v>0</v>
      </c>
      <c r="K200" s="508">
        <f t="shared" si="21"/>
        <v>0</v>
      </c>
      <c r="L200" s="508">
        <f t="shared" si="22"/>
        <v>0</v>
      </c>
      <c r="M200" s="508">
        <f t="shared" si="23"/>
        <v>0</v>
      </c>
      <c r="N200" s="508">
        <f t="shared" si="24"/>
        <v>0</v>
      </c>
      <c r="O200" s="509"/>
      <c r="P200" s="509"/>
      <c r="Q200" s="6"/>
      <c r="R200" s="6"/>
      <c r="S200" s="6"/>
      <c r="T200" s="6"/>
      <c r="U200" s="6"/>
      <c r="V200" s="6"/>
      <c r="W200" s="6"/>
    </row>
    <row r="201" spans="2:80" ht="15">
      <c r="B201" s="507" t="str">
        <f t="shared" si="19"/>
        <v>Continuous TypeSelf-Contained&gt; 50 and &lt; 200</v>
      </c>
      <c r="C201" s="233" t="str">
        <f t="shared" si="25"/>
        <v>Continuous Type</v>
      </c>
      <c r="D201" s="490" t="str">
        <f>$C$132</f>
        <v>Self-Contained</v>
      </c>
      <c r="E201" s="157" t="s">
        <v>637</v>
      </c>
      <c r="F201" s="478">
        <v>50</v>
      </c>
      <c r="G201" s="478">
        <v>200</v>
      </c>
      <c r="H201" s="684" t="s">
        <v>638</v>
      </c>
      <c r="I201" s="685">
        <v>14.22</v>
      </c>
      <c r="J201" s="508">
        <v>0.03</v>
      </c>
      <c r="K201" s="508">
        <f t="shared" si="21"/>
        <v>0</v>
      </c>
      <c r="L201" s="508">
        <f t="shared" si="22"/>
        <v>0</v>
      </c>
      <c r="M201" s="508">
        <f t="shared" si="23"/>
        <v>0</v>
      </c>
      <c r="N201" s="508">
        <f t="shared" si="24"/>
        <v>0</v>
      </c>
      <c r="O201" s="509"/>
      <c r="P201" s="509"/>
      <c r="Q201" s="6"/>
      <c r="R201" s="6"/>
      <c r="S201" s="6"/>
      <c r="T201" s="6"/>
      <c r="U201" s="6"/>
      <c r="V201" s="6"/>
      <c r="W201" s="6"/>
    </row>
    <row r="202" spans="2:80" ht="15">
      <c r="B202" s="507" t="str">
        <f t="shared" si="19"/>
        <v>Continuous TypeSelf-Contained≥ 200 and &lt; 700</v>
      </c>
      <c r="C202" s="233" t="str">
        <f t="shared" si="25"/>
        <v>Continuous Type</v>
      </c>
      <c r="D202" s="490" t="str">
        <f>$C$132</f>
        <v>Self-Contained</v>
      </c>
      <c r="E202" s="157" t="s">
        <v>639</v>
      </c>
      <c r="F202" s="478">
        <v>200</v>
      </c>
      <c r="G202" s="478">
        <v>700</v>
      </c>
      <c r="H202" s="684" t="s">
        <v>640</v>
      </c>
      <c r="I202" s="685">
        <v>9.4700000000000006</v>
      </c>
      <c r="J202" s="508">
        <v>6.2399999999999999E-3</v>
      </c>
      <c r="K202" s="508">
        <f t="shared" si="21"/>
        <v>0</v>
      </c>
      <c r="L202" s="508">
        <f t="shared" si="22"/>
        <v>0</v>
      </c>
      <c r="M202" s="508">
        <f t="shared" si="23"/>
        <v>0</v>
      </c>
      <c r="N202" s="508">
        <f t="shared" si="24"/>
        <v>0</v>
      </c>
      <c r="O202" s="509"/>
      <c r="P202" s="509"/>
      <c r="Q202" s="6"/>
      <c r="R202" s="6"/>
      <c r="S202" s="6"/>
      <c r="T202" s="6"/>
      <c r="U202" s="6"/>
      <c r="V202" s="6"/>
      <c r="W202" s="6"/>
    </row>
    <row r="203" spans="2:80" ht="15.75" thickBot="1">
      <c r="B203" s="513" t="str">
        <f t="shared" si="19"/>
        <v>Continuous TypeSelf-Contained≥ 700 and &lt; 4,000</v>
      </c>
      <c r="C203" s="514" t="str">
        <f t="shared" si="25"/>
        <v>Continuous Type</v>
      </c>
      <c r="D203" s="514" t="str">
        <f>$C$132</f>
        <v>Self-Contained</v>
      </c>
      <c r="E203" s="515" t="s">
        <v>641</v>
      </c>
      <c r="F203" s="516">
        <v>700</v>
      </c>
      <c r="G203" s="516">
        <v>4000</v>
      </c>
      <c r="H203" s="516">
        <v>5.0999999999999996</v>
      </c>
      <c r="I203" s="517">
        <v>5.0999999999999996</v>
      </c>
      <c r="J203" s="518">
        <v>0</v>
      </c>
      <c r="K203" s="508">
        <f t="shared" si="21"/>
        <v>0</v>
      </c>
      <c r="L203" s="508">
        <f t="shared" si="22"/>
        <v>0</v>
      </c>
      <c r="M203" s="508">
        <f t="shared" si="23"/>
        <v>0</v>
      </c>
      <c r="N203" s="508">
        <f t="shared" si="24"/>
        <v>0</v>
      </c>
      <c r="O203" s="519"/>
      <c r="P203" s="519"/>
      <c r="Q203" s="6"/>
      <c r="R203" s="6"/>
      <c r="S203" s="6"/>
      <c r="T203" s="6"/>
      <c r="U203" s="6"/>
      <c r="V203" s="6"/>
      <c r="W203" s="6"/>
    </row>
    <row r="204" spans="2:80" ht="30">
      <c r="B204" s="520" t="s">
        <v>642</v>
      </c>
      <c r="C204" s="520" t="s">
        <v>524</v>
      </c>
      <c r="D204" s="520" t="s">
        <v>525</v>
      </c>
      <c r="E204" s="520" t="s">
        <v>303</v>
      </c>
      <c r="F204" s="520" t="s">
        <v>600</v>
      </c>
      <c r="G204" s="520" t="s">
        <v>601</v>
      </c>
      <c r="H204" s="520" t="s">
        <v>602</v>
      </c>
      <c r="I204" s="474" t="s">
        <v>643</v>
      </c>
      <c r="J204" s="474" t="s">
        <v>644</v>
      </c>
      <c r="K204" s="474" t="s">
        <v>645</v>
      </c>
      <c r="L204" s="474" t="s">
        <v>646</v>
      </c>
      <c r="M204" s="474" t="s">
        <v>647</v>
      </c>
      <c r="N204" s="485" t="s">
        <v>648</v>
      </c>
      <c r="O204" s="485" t="s">
        <v>649</v>
      </c>
      <c r="P204" s="485" t="s">
        <v>650</v>
      </c>
      <c r="Q204" s="6"/>
      <c r="R204" s="6"/>
      <c r="S204" s="6"/>
      <c r="T204" s="6"/>
      <c r="U204" s="6"/>
      <c r="V204" s="6"/>
      <c r="W204" s="6"/>
      <c r="BV204" s="9"/>
      <c r="BW204" s="9"/>
    </row>
    <row r="205" spans="2:80" ht="15">
      <c r="B205" s="507" t="str">
        <f t="shared" ref="B205:B225" si="26">CONCATENATE(C205,D205,E205)</f>
        <v>Batch TypeIce-Making Head&lt; 300</v>
      </c>
      <c r="C205" s="233" t="str">
        <f t="shared" ref="C205:C215" si="27">$B$129</f>
        <v>Batch Type</v>
      </c>
      <c r="D205" s="521" t="str">
        <f>$C$129</f>
        <v>Ice-Making Head</v>
      </c>
      <c r="E205" s="23" t="s">
        <v>651</v>
      </c>
      <c r="F205" s="478">
        <v>0</v>
      </c>
      <c r="G205" s="478">
        <v>300</v>
      </c>
      <c r="H205" s="478" t="s">
        <v>652</v>
      </c>
      <c r="I205" s="319">
        <v>9.1999999999999993</v>
      </c>
      <c r="J205" s="522">
        <v>1.1339999999999999E-2</v>
      </c>
      <c r="K205" s="508">
        <f t="shared" ref="K205:K225" si="28">IF(AND($F$230=$C205,$G$230=$D205,$H$230&gt;=$F205,$H$230&lt;$G205),$I205-$J205*$H$230,0)</f>
        <v>0</v>
      </c>
      <c r="L205" s="508">
        <f t="shared" ref="L205:L225" si="29">IF(AND($F$231=$C205,$G$231=$D205,$H$231&gt;=$F205,$H$231&lt;$G205),$I205-$J205*$H$231,0)</f>
        <v>0</v>
      </c>
      <c r="M205" s="508">
        <f t="shared" ref="M205:M225" si="30">IF(AND($F$232=$C205,$G$232=$D205,$H$232&gt;=$F205,$H$232&lt;$G205),$I205-$J205*$H$232,0)</f>
        <v>0</v>
      </c>
      <c r="N205" s="508">
        <f t="shared" ref="N205:N225" si="31">IF(AND($F$233=$C205,$G$233=$D205,$H$233&gt;=$F205,$H$233&lt;$G205),$I205-$J205*$H$233,0)</f>
        <v>0</v>
      </c>
      <c r="O205" s="509"/>
      <c r="P205" s="509"/>
      <c r="Q205" s="6"/>
      <c r="R205" s="6"/>
      <c r="S205" s="6"/>
      <c r="T205" s="6"/>
      <c r="U205" s="6"/>
      <c r="V205" s="6"/>
      <c r="W205" s="6"/>
      <c r="BV205" s="9"/>
      <c r="BW205" s="9"/>
    </row>
    <row r="206" spans="2:80" ht="15">
      <c r="B206" s="507" t="str">
        <f t="shared" si="26"/>
        <v>Batch TypeIce-Making Head≥ 300 and ≤ 800</v>
      </c>
      <c r="C206" s="233" t="str">
        <f t="shared" si="27"/>
        <v>Batch Type</v>
      </c>
      <c r="D206" s="233" t="str">
        <f>$C$129</f>
        <v>Ice-Making Head</v>
      </c>
      <c r="E206" s="157" t="s">
        <v>653</v>
      </c>
      <c r="F206" s="478">
        <v>300</v>
      </c>
      <c r="G206" s="478">
        <v>800</v>
      </c>
      <c r="H206" s="684" t="s">
        <v>654</v>
      </c>
      <c r="I206" s="685">
        <v>6.49</v>
      </c>
      <c r="J206" s="522">
        <v>2.3E-3</v>
      </c>
      <c r="K206" s="508">
        <f t="shared" si="28"/>
        <v>0</v>
      </c>
      <c r="L206" s="508">
        <f t="shared" si="29"/>
        <v>0</v>
      </c>
      <c r="M206" s="508">
        <f t="shared" si="30"/>
        <v>0</v>
      </c>
      <c r="N206" s="508">
        <f t="shared" si="31"/>
        <v>0</v>
      </c>
      <c r="O206" s="509"/>
      <c r="P206" s="509"/>
      <c r="Q206" s="6"/>
      <c r="R206" s="6"/>
      <c r="S206" s="6"/>
      <c r="T206" s="6"/>
      <c r="U206" s="6"/>
      <c r="V206" s="6"/>
      <c r="W206" s="6"/>
      <c r="BV206" s="9"/>
      <c r="BW206" s="9"/>
    </row>
    <row r="207" spans="2:80" ht="15">
      <c r="B207" s="507" t="str">
        <f t="shared" si="26"/>
        <v>Batch TypeIce-Making Head≥ 800 and ≤ 1,500</v>
      </c>
      <c r="C207" s="233" t="str">
        <f t="shared" si="27"/>
        <v>Batch Type</v>
      </c>
      <c r="D207" s="233" t="str">
        <f>$C$129</f>
        <v>Ice-Making Head</v>
      </c>
      <c r="E207" s="157" t="s">
        <v>655</v>
      </c>
      <c r="F207" s="478">
        <v>800</v>
      </c>
      <c r="G207" s="478">
        <v>1500</v>
      </c>
      <c r="H207" s="684" t="s">
        <v>656</v>
      </c>
      <c r="I207" s="685">
        <v>5.1100000000000003</v>
      </c>
      <c r="J207" s="522">
        <v>5.8E-4</v>
      </c>
      <c r="K207" s="508">
        <f t="shared" si="28"/>
        <v>0</v>
      </c>
      <c r="L207" s="508">
        <f t="shared" si="29"/>
        <v>0</v>
      </c>
      <c r="M207" s="508">
        <f t="shared" si="30"/>
        <v>0</v>
      </c>
      <c r="N207" s="508">
        <f t="shared" si="31"/>
        <v>0</v>
      </c>
      <c r="O207" s="509"/>
      <c r="P207" s="509"/>
      <c r="Q207" s="6"/>
      <c r="R207" s="6"/>
      <c r="S207" s="6"/>
      <c r="T207" s="6"/>
      <c r="U207" s="6"/>
      <c r="V207" s="6"/>
      <c r="W207" s="6"/>
      <c r="BV207" s="9"/>
      <c r="BW207" s="9"/>
    </row>
    <row r="208" spans="2:80" ht="15">
      <c r="B208" s="507" t="str">
        <f t="shared" si="26"/>
        <v>Batch TypeIce-Making Head≥ 1,500 and ≤ 4,000</v>
      </c>
      <c r="C208" s="233" t="str">
        <f t="shared" si="27"/>
        <v>Batch Type</v>
      </c>
      <c r="D208" s="233" t="str">
        <f>$C$129</f>
        <v>Ice-Making Head</v>
      </c>
      <c r="E208" s="157" t="s">
        <v>657</v>
      </c>
      <c r="F208" s="478">
        <v>1500</v>
      </c>
      <c r="G208" s="478">
        <v>4000</v>
      </c>
      <c r="H208" s="478">
        <v>4.24</v>
      </c>
      <c r="I208" s="319">
        <v>4.24</v>
      </c>
      <c r="J208" s="522">
        <v>0</v>
      </c>
      <c r="K208" s="508">
        <f t="shared" si="28"/>
        <v>0</v>
      </c>
      <c r="L208" s="508">
        <f t="shared" si="29"/>
        <v>0</v>
      </c>
      <c r="M208" s="508">
        <f t="shared" si="30"/>
        <v>0</v>
      </c>
      <c r="N208" s="508">
        <f t="shared" si="31"/>
        <v>0</v>
      </c>
      <c r="O208" s="509"/>
      <c r="P208" s="509"/>
      <c r="Q208" s="6"/>
      <c r="R208" s="6"/>
      <c r="S208" s="6"/>
      <c r="T208" s="6"/>
      <c r="U208" s="6"/>
      <c r="V208" s="6"/>
      <c r="W208" s="6"/>
      <c r="BV208" s="9"/>
      <c r="BW208" s="9"/>
      <c r="BX208" s="9"/>
      <c r="BY208" s="9"/>
      <c r="BZ208" s="9"/>
      <c r="CA208" s="9"/>
      <c r="CB208" s="9"/>
    </row>
    <row r="209" spans="2:95" ht="15">
      <c r="B209" s="507" t="str">
        <f t="shared" si="26"/>
        <v>Batch TypeRemote-Condensing w/out remote compressor&lt; 988</v>
      </c>
      <c r="C209" s="233" t="str">
        <f t="shared" si="27"/>
        <v>Batch Type</v>
      </c>
      <c r="D209" s="233" t="str">
        <f>$D$130</f>
        <v>Remote-Condensing w/out remote compressor</v>
      </c>
      <c r="E209" s="157" t="s">
        <v>658</v>
      </c>
      <c r="F209" s="478">
        <v>0</v>
      </c>
      <c r="G209" s="478">
        <v>988</v>
      </c>
      <c r="H209" s="478" t="s">
        <v>659</v>
      </c>
      <c r="I209" s="319">
        <v>7.17</v>
      </c>
      <c r="J209" s="522">
        <v>3.0799999999999998E-3</v>
      </c>
      <c r="K209" s="508">
        <f t="shared" si="28"/>
        <v>0</v>
      </c>
      <c r="L209" s="508">
        <f t="shared" si="29"/>
        <v>0</v>
      </c>
      <c r="M209" s="508">
        <f t="shared" si="30"/>
        <v>0</v>
      </c>
      <c r="N209" s="508">
        <f t="shared" si="31"/>
        <v>0</v>
      </c>
      <c r="O209" s="509"/>
      <c r="P209" s="509"/>
      <c r="Q209" s="6"/>
      <c r="R209" s="6"/>
      <c r="S209" s="6"/>
      <c r="T209" s="6"/>
      <c r="U209" s="6"/>
      <c r="V209" s="6"/>
      <c r="W209" s="6"/>
      <c r="BV209" s="9"/>
      <c r="BW209" s="9"/>
      <c r="BX209" s="9"/>
      <c r="BY209" s="9"/>
      <c r="BZ209" s="9"/>
      <c r="CA209" s="9"/>
      <c r="CB209" s="9"/>
    </row>
    <row r="210" spans="2:95" ht="15">
      <c r="B210" s="507" t="str">
        <f t="shared" si="26"/>
        <v>Batch TypeRemote-Condensing with remote compressor&lt; 988</v>
      </c>
      <c r="C210" s="233" t="str">
        <f t="shared" si="27"/>
        <v>Batch Type</v>
      </c>
      <c r="D210" s="233" t="str">
        <f>$D$131</f>
        <v>Remote-Condensing with remote compressor</v>
      </c>
      <c r="E210" s="157" t="s">
        <v>658</v>
      </c>
      <c r="F210" s="478">
        <v>0</v>
      </c>
      <c r="G210" s="478">
        <v>988</v>
      </c>
      <c r="H210" s="478" t="s">
        <v>659</v>
      </c>
      <c r="I210" s="319">
        <v>7.17</v>
      </c>
      <c r="J210" s="522">
        <v>3.0799999999999998E-3</v>
      </c>
      <c r="K210" s="508">
        <f t="shared" si="28"/>
        <v>0</v>
      </c>
      <c r="L210" s="508">
        <f t="shared" si="29"/>
        <v>0</v>
      </c>
      <c r="M210" s="508">
        <f t="shared" si="30"/>
        <v>0</v>
      </c>
      <c r="N210" s="508">
        <f t="shared" si="31"/>
        <v>0</v>
      </c>
      <c r="O210" s="509"/>
      <c r="P210" s="509"/>
      <c r="Q210" s="6"/>
      <c r="R210" s="6"/>
      <c r="S210" s="6"/>
      <c r="T210" s="6"/>
      <c r="U210" s="6"/>
      <c r="V210" s="6"/>
      <c r="W210" s="6"/>
      <c r="BV210" s="9"/>
      <c r="BW210" s="9"/>
      <c r="BX210" s="9"/>
      <c r="BY210" s="9"/>
      <c r="BZ210" s="9"/>
      <c r="CA210" s="9"/>
      <c r="CB210" s="9"/>
    </row>
    <row r="211" spans="2:95" s="9" customFormat="1" ht="30">
      <c r="B211" s="507" t="str">
        <f t="shared" si="26"/>
        <v>Batch TypeRemote-Condensing w/out remote compressor≥ 988 and ≤ 4,000</v>
      </c>
      <c r="C211" s="233" t="str">
        <f t="shared" si="27"/>
        <v>Batch Type</v>
      </c>
      <c r="D211" s="233" t="str">
        <f>$D$130</f>
        <v>Remote-Condensing w/out remote compressor</v>
      </c>
      <c r="E211" s="157" t="s">
        <v>660</v>
      </c>
      <c r="F211" s="478">
        <v>988</v>
      </c>
      <c r="G211" s="478">
        <v>4000</v>
      </c>
      <c r="H211" s="684">
        <v>4.13</v>
      </c>
      <c r="I211" s="685">
        <v>4.13</v>
      </c>
      <c r="J211" s="522">
        <v>0</v>
      </c>
      <c r="K211" s="508">
        <f t="shared" si="28"/>
        <v>0</v>
      </c>
      <c r="L211" s="508">
        <f t="shared" si="29"/>
        <v>0</v>
      </c>
      <c r="M211" s="508">
        <f t="shared" si="30"/>
        <v>0</v>
      </c>
      <c r="N211" s="508">
        <f t="shared" si="31"/>
        <v>0</v>
      </c>
      <c r="O211" s="509"/>
      <c r="P211" s="509"/>
      <c r="Q211" s="1"/>
      <c r="R211" s="1"/>
      <c r="S211" s="1"/>
      <c r="T211" s="1"/>
      <c r="U211" s="1"/>
      <c r="V211" s="1"/>
      <c r="W211" s="1"/>
      <c r="X211" s="143"/>
      <c r="Y211" s="1"/>
      <c r="Z211" s="1"/>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CC211" s="6"/>
      <c r="CD211" s="6"/>
      <c r="CE211" s="6"/>
      <c r="CF211" s="6"/>
      <c r="CG211" s="6"/>
      <c r="CH211" s="6"/>
      <c r="CI211" s="6"/>
      <c r="CJ211" s="6"/>
      <c r="CK211" s="6"/>
      <c r="CL211" s="6"/>
      <c r="CM211" s="6"/>
      <c r="CN211" s="6"/>
      <c r="CO211" s="6"/>
      <c r="CP211" s="6"/>
      <c r="CQ211" s="6"/>
    </row>
    <row r="212" spans="2:95" s="9" customFormat="1" ht="28.5" customHeight="1">
      <c r="B212" s="507" t="str">
        <f t="shared" si="26"/>
        <v>Batch TypeRemote-Condensing with remote compressor≥ 988 and ≤ 4,000</v>
      </c>
      <c r="C212" s="233" t="str">
        <f t="shared" si="27"/>
        <v>Batch Type</v>
      </c>
      <c r="D212" s="490" t="str">
        <f>$D$131</f>
        <v>Remote-Condensing with remote compressor</v>
      </c>
      <c r="E212" s="157" t="s">
        <v>660</v>
      </c>
      <c r="F212" s="478">
        <v>988</v>
      </c>
      <c r="G212" s="478">
        <v>4000</v>
      </c>
      <c r="H212" s="684">
        <v>4.13</v>
      </c>
      <c r="I212" s="685">
        <v>4.13</v>
      </c>
      <c r="J212" s="522">
        <v>0</v>
      </c>
      <c r="K212" s="508">
        <f t="shared" si="28"/>
        <v>0</v>
      </c>
      <c r="L212" s="508">
        <f t="shared" si="29"/>
        <v>0</v>
      </c>
      <c r="M212" s="508">
        <f t="shared" si="30"/>
        <v>0</v>
      </c>
      <c r="N212" s="508">
        <f t="shared" si="31"/>
        <v>0</v>
      </c>
      <c r="O212" s="509"/>
      <c r="P212" s="509"/>
      <c r="Q212" s="1"/>
      <c r="R212" s="1"/>
      <c r="S212" s="1"/>
      <c r="T212" s="1"/>
      <c r="U212" s="1"/>
      <c r="V212" s="1"/>
      <c r="W212" s="1"/>
      <c r="X212" s="143"/>
      <c r="Y212" s="1"/>
      <c r="Z212" s="1"/>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row>
    <row r="213" spans="2:95" s="9" customFormat="1" ht="15" customHeight="1">
      <c r="B213" s="507" t="str">
        <f t="shared" si="26"/>
        <v>Batch TypeSelf-Contained&lt; 110</v>
      </c>
      <c r="C213" s="233" t="str">
        <f t="shared" si="27"/>
        <v>Batch Type</v>
      </c>
      <c r="D213" s="490" t="str">
        <f>$D$132</f>
        <v>Self-Contained</v>
      </c>
      <c r="E213" s="23" t="s">
        <v>661</v>
      </c>
      <c r="F213" s="478">
        <v>0</v>
      </c>
      <c r="G213" s="478">
        <v>110</v>
      </c>
      <c r="H213" s="684" t="s">
        <v>662</v>
      </c>
      <c r="I213" s="685">
        <v>12.57</v>
      </c>
      <c r="J213" s="522">
        <v>3.9899999999999998E-2</v>
      </c>
      <c r="K213" s="508">
        <f t="shared" si="28"/>
        <v>0</v>
      </c>
      <c r="L213" s="508">
        <f t="shared" si="29"/>
        <v>0</v>
      </c>
      <c r="M213" s="508">
        <f t="shared" si="30"/>
        <v>0</v>
      </c>
      <c r="N213" s="508">
        <f t="shared" si="31"/>
        <v>0</v>
      </c>
      <c r="O213" s="509"/>
      <c r="P213" s="509"/>
      <c r="Q213" s="1"/>
      <c r="R213" s="1"/>
      <c r="S213" s="1"/>
      <c r="T213" s="1"/>
      <c r="U213" s="1"/>
      <c r="V213" s="1"/>
      <c r="W213" s="1"/>
      <c r="X213" s="143"/>
      <c r="Y213" s="1"/>
      <c r="Z213" s="1"/>
      <c r="AA213" s="6"/>
      <c r="AB213" s="6"/>
      <c r="AC213" s="6"/>
      <c r="AD213" s="6"/>
      <c r="AE213" s="6"/>
      <c r="AF213" s="6"/>
      <c r="AG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row>
    <row r="214" spans="2:95" s="9" customFormat="1" ht="15" customHeight="1">
      <c r="B214" s="507" t="str">
        <f t="shared" si="26"/>
        <v>Batch TypeSelf-Contained≥ 110 and ≤ 200</v>
      </c>
      <c r="C214" s="233" t="str">
        <f t="shared" si="27"/>
        <v>Batch Type</v>
      </c>
      <c r="D214" s="490" t="str">
        <f>$D$132</f>
        <v>Self-Contained</v>
      </c>
      <c r="E214" s="157" t="s">
        <v>663</v>
      </c>
      <c r="F214" s="478">
        <v>110</v>
      </c>
      <c r="G214" s="478">
        <v>200</v>
      </c>
      <c r="H214" s="478" t="s">
        <v>664</v>
      </c>
      <c r="I214" s="319">
        <v>10.56</v>
      </c>
      <c r="J214" s="522">
        <v>2.1499999999999998E-2</v>
      </c>
      <c r="K214" s="508">
        <f t="shared" si="28"/>
        <v>0</v>
      </c>
      <c r="L214" s="508">
        <f t="shared" si="29"/>
        <v>0</v>
      </c>
      <c r="M214" s="508">
        <f t="shared" si="30"/>
        <v>0</v>
      </c>
      <c r="N214" s="508">
        <f t="shared" si="31"/>
        <v>0</v>
      </c>
      <c r="O214" s="509"/>
      <c r="P214" s="509"/>
      <c r="Q214" s="1"/>
      <c r="R214" s="1"/>
      <c r="S214" s="1"/>
      <c r="T214" s="1"/>
      <c r="U214" s="1"/>
      <c r="V214" s="1"/>
      <c r="W214" s="1"/>
      <c r="X214" s="143"/>
      <c r="Y214" s="1"/>
      <c r="Z214" s="1"/>
      <c r="AA214" s="1"/>
      <c r="AB214" s="6"/>
      <c r="AC214" s="6"/>
      <c r="AD214" s="6"/>
      <c r="AE214" s="6"/>
      <c r="AF214" s="6"/>
      <c r="AG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J214" s="6"/>
      <c r="BK214" s="6"/>
      <c r="BV214" s="6"/>
      <c r="BW214" s="6"/>
    </row>
    <row r="215" spans="2:95" s="9" customFormat="1" ht="15" customHeight="1">
      <c r="B215" s="507" t="str">
        <f t="shared" si="26"/>
        <v>Batch TypeSelf-Contained≥ 200 and ≤ 4,000</v>
      </c>
      <c r="C215" s="233" t="str">
        <f t="shared" si="27"/>
        <v>Batch Type</v>
      </c>
      <c r="D215" s="490" t="str">
        <f>$D$132</f>
        <v>Self-Contained</v>
      </c>
      <c r="E215" s="157" t="s">
        <v>665</v>
      </c>
      <c r="F215" s="478">
        <v>200</v>
      </c>
      <c r="G215" s="478">
        <v>4000</v>
      </c>
      <c r="H215" s="478">
        <v>6.25</v>
      </c>
      <c r="I215" s="319">
        <v>6.25</v>
      </c>
      <c r="J215" s="522">
        <v>0</v>
      </c>
      <c r="K215" s="508">
        <f t="shared" si="28"/>
        <v>0</v>
      </c>
      <c r="L215" s="508">
        <f t="shared" si="29"/>
        <v>0</v>
      </c>
      <c r="M215" s="508">
        <f t="shared" si="30"/>
        <v>0</v>
      </c>
      <c r="N215" s="508">
        <f t="shared" si="31"/>
        <v>0</v>
      </c>
      <c r="O215" s="509"/>
      <c r="P215" s="509"/>
      <c r="Q215" s="1"/>
      <c r="R215" s="1"/>
      <c r="S215" s="1"/>
      <c r="T215" s="1"/>
      <c r="U215" s="1"/>
      <c r="V215" s="1"/>
      <c r="W215" s="1"/>
      <c r="X215" s="143"/>
      <c r="Y215" s="1"/>
      <c r="Z215" s="1"/>
      <c r="AA215" s="1"/>
      <c r="AB215" s="6"/>
      <c r="AC215" s="6"/>
      <c r="AD215" s="6"/>
      <c r="AE215" s="6"/>
      <c r="AF215" s="6"/>
      <c r="AG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V215" s="6"/>
      <c r="BW215" s="6"/>
    </row>
    <row r="216" spans="2:95" s="9" customFormat="1" ht="15" customHeight="1">
      <c r="B216" s="507" t="str">
        <f t="shared" si="26"/>
        <v>Continuous TypeIce-Making Head&lt; 310</v>
      </c>
      <c r="C216" s="233" t="str">
        <f t="shared" ref="C216:C225" si="32">$B$130</f>
        <v>Continuous Type</v>
      </c>
      <c r="D216" s="233" t="str">
        <f>$D$129</f>
        <v>Ice-Making Head</v>
      </c>
      <c r="E216" s="157" t="s">
        <v>666</v>
      </c>
      <c r="F216" s="478">
        <v>0</v>
      </c>
      <c r="G216" s="478">
        <v>310</v>
      </c>
      <c r="H216" s="478" t="s">
        <v>667</v>
      </c>
      <c r="I216" s="319">
        <v>7.9</v>
      </c>
      <c r="J216" s="522">
        <v>5.4089999999999997E-3</v>
      </c>
      <c r="K216" s="508">
        <f t="shared" si="28"/>
        <v>0</v>
      </c>
      <c r="L216" s="508">
        <f t="shared" si="29"/>
        <v>0</v>
      </c>
      <c r="M216" s="508">
        <f t="shared" si="30"/>
        <v>0</v>
      </c>
      <c r="N216" s="508">
        <f t="shared" si="31"/>
        <v>0</v>
      </c>
      <c r="O216" s="509"/>
      <c r="P216" s="509"/>
      <c r="Q216" s="1"/>
      <c r="R216" s="1"/>
      <c r="S216" s="1"/>
      <c r="T216" s="1"/>
      <c r="U216" s="1"/>
      <c r="V216" s="1"/>
      <c r="W216" s="1"/>
      <c r="X216" s="143"/>
      <c r="Y216" s="1"/>
      <c r="Z216" s="1"/>
      <c r="AA216" s="1"/>
      <c r="AB216" s="6"/>
      <c r="AC216" s="6"/>
      <c r="AD216" s="6"/>
      <c r="AE216" s="6"/>
      <c r="AF216" s="6"/>
      <c r="AG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V216" s="6"/>
      <c r="BW216" s="6"/>
    </row>
    <row r="217" spans="2:95" s="9" customFormat="1" ht="15" customHeight="1">
      <c r="B217" s="507" t="str">
        <f t="shared" si="26"/>
        <v>Continuous TypeIce-Making Head≥ 310 and ≤ 820</v>
      </c>
      <c r="C217" s="233" t="str">
        <f t="shared" si="32"/>
        <v>Continuous Type</v>
      </c>
      <c r="D217" s="233" t="str">
        <f>$D$129</f>
        <v>Ice-Making Head</v>
      </c>
      <c r="E217" s="157" t="s">
        <v>668</v>
      </c>
      <c r="F217" s="478">
        <v>310</v>
      </c>
      <c r="G217" s="478">
        <v>820</v>
      </c>
      <c r="H217" s="478" t="s">
        <v>669</v>
      </c>
      <c r="I217" s="319">
        <v>7.08</v>
      </c>
      <c r="J217" s="522">
        <v>2.7520000000000001E-3</v>
      </c>
      <c r="K217" s="508">
        <f t="shared" si="28"/>
        <v>0</v>
      </c>
      <c r="L217" s="508">
        <f t="shared" si="29"/>
        <v>0</v>
      </c>
      <c r="M217" s="508">
        <f t="shared" si="30"/>
        <v>0</v>
      </c>
      <c r="N217" s="508">
        <f t="shared" si="31"/>
        <v>0</v>
      </c>
      <c r="O217" s="509"/>
      <c r="P217" s="509"/>
      <c r="Q217" s="1"/>
      <c r="R217" s="1"/>
      <c r="S217" s="1"/>
      <c r="T217" s="1"/>
      <c r="U217" s="1"/>
      <c r="V217" s="1"/>
      <c r="W217" s="1"/>
      <c r="X217" s="143"/>
      <c r="Y217" s="1"/>
      <c r="Z217" s="1"/>
      <c r="AA217" s="1"/>
      <c r="AB217" s="6"/>
      <c r="AC217" s="6"/>
      <c r="AD217" s="6"/>
      <c r="AE217" s="6"/>
      <c r="AF217" s="6"/>
      <c r="AG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V217" s="6"/>
      <c r="BW217" s="6"/>
      <c r="BX217" s="6"/>
      <c r="BY217" s="6"/>
      <c r="BZ217" s="6"/>
      <c r="CA217" s="6"/>
      <c r="CB217" s="6"/>
    </row>
    <row r="218" spans="2:95" s="9" customFormat="1" ht="15" customHeight="1">
      <c r="B218" s="507" t="str">
        <f t="shared" si="26"/>
        <v>Continuous TypeIce-Making Head≥ 820 and ≤ 4,000</v>
      </c>
      <c r="C218" s="233" t="str">
        <f t="shared" si="32"/>
        <v>Continuous Type</v>
      </c>
      <c r="D218" s="233" t="str">
        <f>$D$129</f>
        <v>Ice-Making Head</v>
      </c>
      <c r="E218" s="157" t="s">
        <v>670</v>
      </c>
      <c r="F218" s="478">
        <v>820</v>
      </c>
      <c r="G218" s="478">
        <v>4000</v>
      </c>
      <c r="H218" s="478">
        <v>4.82</v>
      </c>
      <c r="I218" s="319">
        <v>4.82</v>
      </c>
      <c r="J218" s="522">
        <v>0</v>
      </c>
      <c r="K218" s="508">
        <f t="shared" si="28"/>
        <v>0</v>
      </c>
      <c r="L218" s="508">
        <f t="shared" si="29"/>
        <v>0</v>
      </c>
      <c r="M218" s="508">
        <f t="shared" si="30"/>
        <v>0</v>
      </c>
      <c r="N218" s="508">
        <f t="shared" si="31"/>
        <v>0</v>
      </c>
      <c r="O218" s="509"/>
      <c r="P218" s="509"/>
      <c r="Q218" s="1"/>
      <c r="R218" s="1"/>
      <c r="S218" s="1"/>
      <c r="T218" s="1"/>
      <c r="U218" s="1"/>
      <c r="V218" s="1"/>
      <c r="W218" s="1"/>
      <c r="X218" s="143"/>
      <c r="Y218" s="1"/>
      <c r="Z218" s="1"/>
      <c r="AA218" s="1"/>
      <c r="AB218" s="6"/>
      <c r="AC218" s="6"/>
      <c r="AD218" s="6"/>
      <c r="AE218" s="6"/>
      <c r="AF218" s="6"/>
      <c r="AG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V218" s="6"/>
      <c r="BW218" s="6"/>
      <c r="BX218" s="6"/>
      <c r="BY218" s="6"/>
      <c r="BZ218" s="6"/>
      <c r="CA218" s="6"/>
      <c r="CB218" s="6"/>
    </row>
    <row r="219" spans="2:95" ht="14.25" customHeight="1">
      <c r="B219" s="507" t="str">
        <f t="shared" si="26"/>
        <v>Continuous TypeRemote-Condensing w/out remote compressor&lt; 800</v>
      </c>
      <c r="C219" s="233" t="str">
        <f t="shared" si="32"/>
        <v>Continuous Type</v>
      </c>
      <c r="D219" s="233" t="str">
        <f>$D$130</f>
        <v>Remote-Condensing w/out remote compressor</v>
      </c>
      <c r="E219" s="157" t="s">
        <v>671</v>
      </c>
      <c r="F219" s="478">
        <v>0</v>
      </c>
      <c r="G219" s="478">
        <v>800</v>
      </c>
      <c r="H219" s="478" t="s">
        <v>672</v>
      </c>
      <c r="I219" s="319">
        <v>7.76</v>
      </c>
      <c r="J219" s="522">
        <v>4.64E-3</v>
      </c>
      <c r="K219" s="508">
        <f t="shared" si="28"/>
        <v>0</v>
      </c>
      <c r="L219" s="508">
        <f t="shared" si="29"/>
        <v>0</v>
      </c>
      <c r="M219" s="508">
        <f t="shared" si="30"/>
        <v>0</v>
      </c>
      <c r="N219" s="508">
        <f t="shared" si="31"/>
        <v>0</v>
      </c>
      <c r="O219" s="509"/>
      <c r="P219" s="509"/>
      <c r="Y219" s="1"/>
      <c r="Z219" s="1"/>
      <c r="AA219" s="1"/>
      <c r="AH219" s="9"/>
      <c r="AI219" s="9"/>
      <c r="BI219" s="9"/>
      <c r="BJ219" s="9"/>
      <c r="BK219" s="9"/>
      <c r="BL219" s="9"/>
      <c r="BM219" s="9"/>
      <c r="BN219" s="9"/>
      <c r="BO219" s="9"/>
      <c r="BP219" s="9"/>
      <c r="BQ219" s="9"/>
      <c r="BR219" s="9"/>
      <c r="BS219" s="9"/>
      <c r="BT219" s="9"/>
      <c r="BU219" s="9"/>
      <c r="CC219" s="9"/>
      <c r="CD219" s="9"/>
      <c r="CE219" s="9"/>
      <c r="CF219" s="9"/>
      <c r="CG219" s="9"/>
      <c r="CH219" s="9"/>
      <c r="CI219" s="9"/>
      <c r="CJ219" s="9"/>
      <c r="CK219" s="9"/>
      <c r="CL219" s="9"/>
      <c r="CM219" s="9"/>
      <c r="CN219" s="9"/>
      <c r="CO219" s="9"/>
      <c r="CP219" s="9"/>
      <c r="CQ219" s="9"/>
    </row>
    <row r="220" spans="2:95" ht="14.25" customHeight="1">
      <c r="B220" s="507" t="str">
        <f t="shared" si="26"/>
        <v>Continuous TypeRemote-Condensing with remote compressor&lt; 800</v>
      </c>
      <c r="C220" s="233" t="str">
        <f t="shared" si="32"/>
        <v>Continuous Type</v>
      </c>
      <c r="D220" s="233" t="str">
        <f>$D$131</f>
        <v>Remote-Condensing with remote compressor</v>
      </c>
      <c r="E220" s="157" t="s">
        <v>671</v>
      </c>
      <c r="F220" s="478">
        <v>0</v>
      </c>
      <c r="G220" s="478">
        <v>800</v>
      </c>
      <c r="H220" s="478" t="s">
        <v>672</v>
      </c>
      <c r="I220" s="319">
        <v>7.76</v>
      </c>
      <c r="J220" s="522">
        <v>4.64E-3</v>
      </c>
      <c r="K220" s="508">
        <f t="shared" si="28"/>
        <v>0</v>
      </c>
      <c r="L220" s="508">
        <f t="shared" si="29"/>
        <v>0</v>
      </c>
      <c r="M220" s="508">
        <f t="shared" si="30"/>
        <v>0</v>
      </c>
      <c r="N220" s="508">
        <f t="shared" si="31"/>
        <v>0</v>
      </c>
      <c r="O220" s="509"/>
      <c r="P220" s="509"/>
      <c r="Y220" s="1"/>
      <c r="Z220" s="1"/>
      <c r="AA220" s="1"/>
      <c r="AH220" s="9"/>
      <c r="AI220" s="9"/>
      <c r="BI220" s="9"/>
      <c r="BJ220" s="9"/>
      <c r="BK220" s="9"/>
      <c r="BL220" s="9"/>
      <c r="BM220" s="9"/>
      <c r="BN220" s="9"/>
      <c r="BO220" s="9"/>
      <c r="BP220" s="9"/>
      <c r="BQ220" s="9"/>
      <c r="BR220" s="9"/>
      <c r="BS220" s="9"/>
      <c r="BT220" s="9"/>
      <c r="BU220" s="9"/>
    </row>
    <row r="221" spans="2:95" ht="14.25" customHeight="1">
      <c r="B221" s="507" t="str">
        <f t="shared" si="26"/>
        <v>Continuous TypeRemote-Condensing w/out remote compressor≥ 800 and ≤ 4,000</v>
      </c>
      <c r="C221" s="233" t="str">
        <f t="shared" si="32"/>
        <v>Continuous Type</v>
      </c>
      <c r="D221" s="233" t="str">
        <f>$D$130</f>
        <v>Remote-Condensing w/out remote compressor</v>
      </c>
      <c r="E221" s="157" t="s">
        <v>673</v>
      </c>
      <c r="F221" s="478">
        <v>800</v>
      </c>
      <c r="G221" s="478">
        <v>4000</v>
      </c>
      <c r="H221" s="478">
        <v>4.05</v>
      </c>
      <c r="I221" s="319">
        <v>4.05</v>
      </c>
      <c r="J221" s="522">
        <v>0</v>
      </c>
      <c r="K221" s="508">
        <f t="shared" si="28"/>
        <v>0</v>
      </c>
      <c r="L221" s="508">
        <f t="shared" si="29"/>
        <v>0</v>
      </c>
      <c r="M221" s="508">
        <f t="shared" si="30"/>
        <v>0</v>
      </c>
      <c r="N221" s="508">
        <f t="shared" si="31"/>
        <v>0</v>
      </c>
      <c r="O221" s="509"/>
      <c r="P221" s="509"/>
      <c r="Y221" s="1"/>
      <c r="Z221" s="1"/>
      <c r="AA221" s="1"/>
      <c r="AH221" s="9"/>
      <c r="AI221" s="9"/>
      <c r="BI221" s="9"/>
      <c r="BJ221" s="9"/>
      <c r="BK221" s="9"/>
      <c r="BL221" s="9"/>
      <c r="BM221" s="9"/>
      <c r="BN221" s="9"/>
      <c r="BO221" s="9"/>
      <c r="BP221" s="9"/>
      <c r="BQ221" s="9"/>
      <c r="BR221" s="9"/>
      <c r="BS221" s="9"/>
      <c r="BT221" s="9"/>
      <c r="BU221" s="9"/>
    </row>
    <row r="222" spans="2:95" ht="14.25" customHeight="1">
      <c r="B222" s="507" t="str">
        <f t="shared" si="26"/>
        <v>Continuous TypeRemote-Condensing with remote compressor≥ 800 and ≤ 4,000</v>
      </c>
      <c r="C222" s="233" t="str">
        <f t="shared" si="32"/>
        <v>Continuous Type</v>
      </c>
      <c r="D222" s="490" t="str">
        <f>$D$131</f>
        <v>Remote-Condensing with remote compressor</v>
      </c>
      <c r="E222" s="23" t="s">
        <v>673</v>
      </c>
      <c r="F222" s="478">
        <v>800</v>
      </c>
      <c r="G222" s="478">
        <v>4000</v>
      </c>
      <c r="H222" s="478">
        <v>4.05</v>
      </c>
      <c r="I222" s="478">
        <v>4.05</v>
      </c>
      <c r="J222" s="522">
        <v>0</v>
      </c>
      <c r="K222" s="508">
        <f t="shared" si="28"/>
        <v>0</v>
      </c>
      <c r="L222" s="508">
        <f t="shared" si="29"/>
        <v>0</v>
      </c>
      <c r="M222" s="508">
        <f t="shared" si="30"/>
        <v>0</v>
      </c>
      <c r="N222" s="508">
        <f t="shared" si="31"/>
        <v>0</v>
      </c>
      <c r="O222" s="509"/>
      <c r="P222" s="509"/>
      <c r="Y222" s="1"/>
      <c r="Z222" s="1"/>
      <c r="AA222" s="1"/>
      <c r="AH222" s="9"/>
      <c r="AI222" s="9"/>
      <c r="BF222" s="9"/>
      <c r="BG222" s="9"/>
      <c r="BH222" s="9"/>
      <c r="BJ222" s="9"/>
      <c r="BK222" s="9"/>
      <c r="BV222" s="26"/>
      <c r="BW222" s="26"/>
    </row>
    <row r="223" spans="2:95" ht="14.25" customHeight="1">
      <c r="B223" s="507" t="str">
        <f t="shared" si="26"/>
        <v>Continuous TypeSelf-Contained&lt; 200</v>
      </c>
      <c r="C223" s="233" t="str">
        <f t="shared" si="32"/>
        <v>Continuous Type</v>
      </c>
      <c r="D223" s="490" t="str">
        <f>$D$132</f>
        <v>Self-Contained</v>
      </c>
      <c r="E223" s="23" t="s">
        <v>674</v>
      </c>
      <c r="F223" s="478">
        <v>0</v>
      </c>
      <c r="G223" s="478">
        <v>200</v>
      </c>
      <c r="H223" s="478" t="s">
        <v>675</v>
      </c>
      <c r="I223" s="319">
        <v>12.37</v>
      </c>
      <c r="J223" s="522">
        <v>2.6100000000000002E-2</v>
      </c>
      <c r="K223" s="508">
        <f t="shared" si="28"/>
        <v>0</v>
      </c>
      <c r="L223" s="508">
        <f t="shared" si="29"/>
        <v>0</v>
      </c>
      <c r="M223" s="508">
        <f t="shared" si="30"/>
        <v>0</v>
      </c>
      <c r="N223" s="508">
        <f t="shared" si="31"/>
        <v>0</v>
      </c>
      <c r="O223" s="509"/>
      <c r="P223" s="509"/>
      <c r="Y223" s="1"/>
      <c r="Z223" s="1"/>
      <c r="AA223" s="1"/>
      <c r="AI223" s="9"/>
      <c r="BD223" s="9"/>
      <c r="BE223" s="9"/>
      <c r="BF223" s="9"/>
      <c r="BG223" s="9"/>
      <c r="BH223" s="9"/>
    </row>
    <row r="224" spans="2:95" ht="14.25" customHeight="1">
      <c r="B224" s="507" t="str">
        <f t="shared" si="26"/>
        <v>Continuous TypeSelf-Contained≥ 200 and ≤ 700</v>
      </c>
      <c r="C224" s="233" t="str">
        <f t="shared" si="32"/>
        <v>Continuous Type</v>
      </c>
      <c r="D224" s="490" t="str">
        <f>$D$132</f>
        <v>Self-Contained</v>
      </c>
      <c r="E224" s="157" t="s">
        <v>676</v>
      </c>
      <c r="F224" s="478">
        <v>200</v>
      </c>
      <c r="G224" s="478">
        <v>700</v>
      </c>
      <c r="H224" s="684" t="s">
        <v>677</v>
      </c>
      <c r="I224" s="685">
        <v>8.24</v>
      </c>
      <c r="J224" s="522">
        <v>5.4920000000000004E-3</v>
      </c>
      <c r="K224" s="508">
        <f t="shared" si="28"/>
        <v>0</v>
      </c>
      <c r="L224" s="508">
        <f t="shared" si="29"/>
        <v>0</v>
      </c>
      <c r="M224" s="508">
        <f t="shared" si="30"/>
        <v>0</v>
      </c>
      <c r="N224" s="508">
        <f t="shared" si="31"/>
        <v>0</v>
      </c>
      <c r="O224" s="509"/>
      <c r="P224" s="509"/>
      <c r="Y224" s="1"/>
      <c r="Z224" s="1"/>
      <c r="AA224" s="1"/>
      <c r="AI224" s="9"/>
      <c r="AJ224" s="9"/>
      <c r="AK224" s="9"/>
      <c r="BD224" s="9"/>
      <c r="BE224" s="9"/>
      <c r="BF224" s="9"/>
      <c r="BG224" s="9"/>
      <c r="BH224" s="9"/>
      <c r="BV224" s="9"/>
      <c r="BW224" s="9"/>
    </row>
    <row r="225" spans="2:95" ht="26.25" customHeight="1">
      <c r="B225" s="507" t="str">
        <f t="shared" si="26"/>
        <v>Continuous TypeSelf-Contained≥ 700 and ≤ 4,000</v>
      </c>
      <c r="C225" s="233" t="str">
        <f t="shared" si="32"/>
        <v>Continuous Type</v>
      </c>
      <c r="D225" s="490" t="str">
        <f>$D$132</f>
        <v>Self-Contained</v>
      </c>
      <c r="E225" s="157" t="s">
        <v>678</v>
      </c>
      <c r="F225" s="478">
        <v>700</v>
      </c>
      <c r="G225" s="478">
        <v>4000</v>
      </c>
      <c r="H225" s="684">
        <v>4.4400000000000004</v>
      </c>
      <c r="I225" s="685">
        <v>4.4400000000000004</v>
      </c>
      <c r="J225" s="522">
        <v>0</v>
      </c>
      <c r="K225" s="508">
        <f t="shared" si="28"/>
        <v>0</v>
      </c>
      <c r="L225" s="508">
        <f t="shared" si="29"/>
        <v>0</v>
      </c>
      <c r="M225" s="508">
        <f t="shared" si="30"/>
        <v>0</v>
      </c>
      <c r="N225" s="508">
        <f t="shared" si="31"/>
        <v>0</v>
      </c>
      <c r="O225" s="509"/>
      <c r="P225" s="509"/>
      <c r="Y225" s="1"/>
      <c r="Z225" s="1"/>
      <c r="AA225" s="1"/>
      <c r="AJ225" s="9"/>
      <c r="AK225" s="9"/>
      <c r="BD225" s="9"/>
      <c r="BE225" s="9"/>
      <c r="BF225" s="9"/>
      <c r="BG225" s="9"/>
      <c r="BH225" s="9"/>
    </row>
    <row r="226" spans="2:95" ht="26.25" customHeight="1">
      <c r="AJ226" s="9"/>
      <c r="AK226" s="9"/>
      <c r="BD226" s="9"/>
      <c r="BE226" s="9"/>
      <c r="BF226" s="9"/>
      <c r="BG226" s="9"/>
      <c r="BH226" s="9"/>
      <c r="BX226" s="26"/>
      <c r="BY226" s="26"/>
      <c r="BZ226" s="26"/>
      <c r="CA226" s="26"/>
      <c r="CB226" s="26"/>
    </row>
    <row r="227" spans="2:95" ht="14.25" customHeight="1">
      <c r="B227" s="7" t="s">
        <v>382</v>
      </c>
      <c r="K227"/>
      <c r="AJ227" s="9"/>
      <c r="AK227" s="9"/>
      <c r="BD227" s="9"/>
      <c r="BE227" s="9"/>
      <c r="BF227" s="9"/>
      <c r="BG227" s="9"/>
      <c r="BH227" s="9"/>
      <c r="BX227" s="26"/>
      <c r="BY227" s="26"/>
      <c r="BZ227" s="26"/>
      <c r="CA227" s="26"/>
      <c r="CB227" s="26"/>
    </row>
    <row r="228" spans="2:95" ht="15">
      <c r="B228" s="838" t="s">
        <v>150</v>
      </c>
      <c r="C228" s="839" t="s">
        <v>524</v>
      </c>
      <c r="D228" s="839" t="s">
        <v>525</v>
      </c>
      <c r="E228" s="839" t="s">
        <v>558</v>
      </c>
      <c r="F228" s="840" t="str">
        <f>'ES Ice Machines'!F6</f>
        <v>Efficient Production Type</v>
      </c>
      <c r="G228" s="841" t="str">
        <f>'ES Ice Machines'!G6</f>
        <v>Energy Efficient Ice Machine</v>
      </c>
      <c r="H228" s="842" t="str">
        <f>'ES Ice Machines'!E6</f>
        <v>Energy Efficient Unit Ice Harvest Rate</v>
      </c>
      <c r="K228" s="845" t="s">
        <v>679</v>
      </c>
      <c r="L228" s="843" t="s">
        <v>680</v>
      </c>
      <c r="M228" s="844" t="s">
        <v>681</v>
      </c>
      <c r="N228" s="825" t="s">
        <v>121</v>
      </c>
      <c r="O228" s="825" t="s">
        <v>440</v>
      </c>
      <c r="P228" s="825" t="s">
        <v>441</v>
      </c>
      <c r="Q228" s="825" t="s">
        <v>123</v>
      </c>
      <c r="X228" s="1"/>
      <c r="Y228" s="1"/>
      <c r="Z228" s="143"/>
      <c r="AJ228" s="9"/>
      <c r="AK228" s="9"/>
      <c r="BD228" s="9"/>
      <c r="BE228" s="9"/>
      <c r="BF228" s="9"/>
      <c r="BG228" s="9"/>
      <c r="BH228" s="9"/>
    </row>
    <row r="229" spans="2:95" s="26" customFormat="1" ht="18.600000000000001" customHeight="1">
      <c r="B229" s="838"/>
      <c r="C229" s="839"/>
      <c r="D229" s="839"/>
      <c r="E229" s="839"/>
      <c r="F229" s="840"/>
      <c r="G229" s="841"/>
      <c r="H229" s="842"/>
      <c r="I229" s="1"/>
      <c r="J229" s="1"/>
      <c r="K229" s="845"/>
      <c r="L229" s="843"/>
      <c r="M229" s="844"/>
      <c r="N229" s="825"/>
      <c r="O229" s="825"/>
      <c r="P229" s="825"/>
      <c r="Q229" s="825"/>
      <c r="R229" s="1"/>
      <c r="S229" s="1"/>
      <c r="T229" s="1"/>
      <c r="U229" s="1"/>
      <c r="V229" s="1"/>
      <c r="W229" s="1"/>
      <c r="X229" s="1"/>
      <c r="Y229" s="1"/>
      <c r="Z229" s="143"/>
      <c r="AA229" s="6"/>
      <c r="AB229" s="6"/>
      <c r="AC229" s="6"/>
      <c r="AD229" s="6"/>
      <c r="AE229" s="6"/>
      <c r="AF229" s="6"/>
      <c r="AG229" s="6"/>
      <c r="AH229" s="6"/>
      <c r="AI229" s="6"/>
      <c r="AJ229" s="9"/>
      <c r="AK229" s="9"/>
      <c r="AL229" s="6"/>
      <c r="AM229" s="6"/>
      <c r="AN229" s="6"/>
      <c r="AO229" s="6"/>
      <c r="AP229" s="6"/>
      <c r="AQ229" s="6"/>
      <c r="AR229" s="6"/>
      <c r="AS229" s="6"/>
      <c r="AT229" s="6"/>
      <c r="AU229" s="6"/>
      <c r="AV229" s="6"/>
      <c r="AW229" s="6"/>
      <c r="AX229" s="6"/>
      <c r="AY229" s="6"/>
      <c r="AZ229" s="6"/>
      <c r="BA229" s="6"/>
      <c r="BB229" s="6"/>
      <c r="BC229" s="6"/>
      <c r="BD229" s="9"/>
      <c r="BE229" s="9"/>
      <c r="BF229" s="9"/>
      <c r="BG229" s="9"/>
      <c r="BH229" s="9"/>
      <c r="BI229" s="6"/>
      <c r="BJ229" s="6"/>
      <c r="BK229" s="6"/>
      <c r="BL229" s="6"/>
      <c r="BM229" s="6"/>
      <c r="BN229" s="6"/>
      <c r="BO229" s="6"/>
      <c r="BP229" s="6"/>
      <c r="BQ229" s="6"/>
      <c r="BR229" s="6"/>
      <c r="BS229" s="6"/>
      <c r="BT229" s="6"/>
      <c r="BU229" s="6"/>
      <c r="BV229" s="6"/>
      <c r="BW229" s="6"/>
      <c r="BX229" s="9"/>
      <c r="BY229" s="9"/>
      <c r="BZ229" s="9"/>
      <c r="CA229" s="9"/>
      <c r="CB229" s="9"/>
      <c r="CC229" s="6"/>
      <c r="CD229" s="6"/>
      <c r="CE229" s="6"/>
      <c r="CF229" s="6"/>
      <c r="CG229" s="6"/>
      <c r="CH229" s="6"/>
      <c r="CI229" s="6"/>
      <c r="CJ229" s="6"/>
      <c r="CK229" s="6"/>
      <c r="CL229" s="6"/>
      <c r="CM229" s="6"/>
      <c r="CN229" s="6"/>
      <c r="CO229" s="6"/>
      <c r="CP229" s="6"/>
      <c r="CQ229" s="6"/>
    </row>
    <row r="230" spans="2:95" ht="15">
      <c r="B230" s="320" t="str">
        <f>CONCATENATE(C230,D230,E230)</f>
        <v>000</v>
      </c>
      <c r="C230" s="320">
        <f>F230</f>
        <v>0</v>
      </c>
      <c r="D230" s="320">
        <f>'ES Ice Machines'!K7</f>
        <v>0</v>
      </c>
      <c r="E230" s="321">
        <f>H230</f>
        <v>0</v>
      </c>
      <c r="F230" s="224">
        <f>'ES Ice Machines'!F7</f>
        <v>0</v>
      </c>
      <c r="G230" s="248">
        <f>'ES Ice Machines'!G7</f>
        <v>0</v>
      </c>
      <c r="H230" s="248">
        <f>'ES Ice Machines'!E7</f>
        <v>0</v>
      </c>
      <c r="K230" s="523">
        <f>IF('ES Ice Machines'!I7="",IF('ES Ice Machines'!E7&lt;=50,0.14,0.42),'ES Ice Machines'!I7)</f>
        <v>0.14000000000000001</v>
      </c>
      <c r="L230" s="524" cm="1">
        <f t="array" ref="L230" xml:space="preserve"> _xlfn.XLOOKUP(1, ($C230=$E$136:$E$156) * ($G230=$F$136:$F$156) * ($H230&gt;=$C$136:$C$156) * ($H230&lt;$D$136:$D$156), $H$136:$H$156,0) - _xlfn.XLOOKUP(1, ($C230=$E$136:$E$156) * ($G230=$F$136:$F$156) * ($H230&gt;=$C$136:$C$156) * ($H230&lt;$D$136:$D$156), $I$136:$I$156,0) * $E230</f>
        <v>0</v>
      </c>
      <c r="M230" s="525" cm="1">
        <f t="array" ref="M230" xml:space="preserve"> _xlfn.XLOOKUP(1, ($C230=$E$160:$E$180) * ($G230=$F$160:$F$180) * ($H230&gt;=$C$160:$C$180) * ($H230&lt;$D$160:$D$180), $H$160:$H$180,0) - _xlfn.XLOOKUP(1, ($C230=$E$160:$E$180) * ($G230=$F$160:$F$180) * ($H230&gt;=$C$160:$C$180) * ($H230&lt;$D$160:$D$180), $I$160:$I$180,0) * $E230</f>
        <v>0</v>
      </c>
      <c r="N230" s="525">
        <f>AVERAGE(O230:P230)</f>
        <v>0</v>
      </c>
      <c r="O230" s="525">
        <f>Q230*G129</f>
        <v>0</v>
      </c>
      <c r="P230" s="525">
        <f>Q230*G130</f>
        <v>0</v>
      </c>
      <c r="Q230" s="526">
        <f>((L230-M230)/100)*H230*$G$128*K230</f>
        <v>0</v>
      </c>
      <c r="R230"/>
      <c r="X230" s="1"/>
      <c r="Y230" s="1"/>
      <c r="Z230" s="143"/>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CC230" s="26"/>
      <c r="CD230" s="26"/>
      <c r="CE230" s="26"/>
      <c r="CF230" s="26"/>
      <c r="CG230" s="26"/>
      <c r="CH230" s="26"/>
      <c r="CI230" s="26"/>
      <c r="CJ230" s="26"/>
      <c r="CK230" s="26"/>
      <c r="CL230" s="26"/>
      <c r="CM230" s="26"/>
      <c r="CN230" s="26"/>
      <c r="CO230" s="26"/>
      <c r="CP230" s="26"/>
      <c r="CQ230" s="26"/>
    </row>
    <row r="231" spans="2:95" s="9" customFormat="1" ht="18.95" customHeight="1">
      <c r="B231" s="320" t="str">
        <f>CONCATENATE(C231,D231,E231,F231)</f>
        <v>0000</v>
      </c>
      <c r="C231" s="320">
        <f>F231</f>
        <v>0</v>
      </c>
      <c r="D231" s="320">
        <f>'ES Ice Machines'!K8</f>
        <v>0</v>
      </c>
      <c r="E231" s="321">
        <f>H231</f>
        <v>0</v>
      </c>
      <c r="F231" s="224">
        <f>'ES Ice Machines'!F8</f>
        <v>0</v>
      </c>
      <c r="G231" s="248">
        <f>'ES Ice Machines'!G8</f>
        <v>0</v>
      </c>
      <c r="H231" s="248">
        <f>'ES Ice Machines'!E8</f>
        <v>0</v>
      </c>
      <c r="I231" s="1"/>
      <c r="J231" s="1"/>
      <c r="K231" s="523">
        <f>IF('ES Ice Machines'!I8="",IF('ES Ice Machines'!E8&lt;=50,0.14,0.42),'ES Ice Machines'!I8)</f>
        <v>0.14000000000000001</v>
      </c>
      <c r="L231" s="524" cm="1">
        <f t="array" ref="L231" xml:space="preserve"> _xlfn.XLOOKUP(1, ($C231=$E$136:$E$156) * ($G231=$F$136:$F$156) * ($H231&gt;=$C$136:$C$156) * ($H231&lt;$D$136:$D$156), $H$136:$H$156,0) - _xlfn.XLOOKUP(1, ($C231=$E$136:$E$156) * ($G231=$F$136:$F$156) * ($H231&gt;=$C$136:$C$156) * ($H231&lt;$D$136:$D$156), $I$136:$I$156,0) * $E231</f>
        <v>0</v>
      </c>
      <c r="M231" s="525" cm="1">
        <f t="array" ref="M231" xml:space="preserve"> _xlfn.XLOOKUP(1, ($C231=$E$160:$E$180) * ($G231=$F$160:$F$180) * ($H231&gt;=$C$160:$C$180) * ($H231&lt;$D$160:$D$180), $H$160:$H$180,0) - _xlfn.XLOOKUP(1, ($C231=$E$160:$E$180) * ($G231=$F$160:$F$180) * ($H231&gt;=$C$160:$C$180) * ($H231&lt;$D$160:$D$180), $I$160:$I$180,0) * $E231</f>
        <v>0</v>
      </c>
      <c r="N231" s="525">
        <f t="shared" ref="N231:N233" si="33">AVERAGE(O231:P231)</f>
        <v>0</v>
      </c>
      <c r="O231" s="525">
        <f>Q231*G129</f>
        <v>0</v>
      </c>
      <c r="P231" s="525">
        <f>Q231*G130</f>
        <v>0</v>
      </c>
      <c r="Q231" s="526">
        <f>((L231-M231)/100)*H231*$G$128*K231</f>
        <v>0</v>
      </c>
      <c r="R231" s="1"/>
      <c r="S231" s="1"/>
      <c r="T231" s="1"/>
      <c r="U231" s="1"/>
      <c r="V231" s="1"/>
      <c r="W231" s="1"/>
      <c r="X231" s="1"/>
      <c r="Y231" s="1"/>
      <c r="Z231" s="143"/>
      <c r="AA231" s="6"/>
      <c r="AB231" s="6"/>
      <c r="AC231" s="6"/>
      <c r="AD231" s="6"/>
      <c r="AE231" s="6"/>
      <c r="AF231" s="6"/>
      <c r="AG231" s="6"/>
      <c r="AH231" s="6"/>
      <c r="AI231" s="6"/>
      <c r="BF231" s="6"/>
      <c r="BG231" s="6"/>
      <c r="BH231" s="6"/>
      <c r="BI231" s="6"/>
      <c r="BJ231" s="6"/>
      <c r="BK231" s="6"/>
      <c r="BL231" s="6"/>
      <c r="BM231" s="6"/>
      <c r="BN231" s="6"/>
      <c r="BO231" s="6"/>
      <c r="BP231" s="6"/>
      <c r="BQ231" s="6"/>
      <c r="BR231" s="6"/>
      <c r="BS231" s="6"/>
      <c r="BT231" s="6"/>
      <c r="BU231" s="6"/>
      <c r="BX231" s="6"/>
      <c r="BY231" s="6"/>
      <c r="BZ231" s="6"/>
      <c r="CA231" s="6"/>
      <c r="CB231" s="6"/>
      <c r="CC231" s="6"/>
      <c r="CD231" s="6"/>
      <c r="CE231" s="6"/>
      <c r="CF231" s="6"/>
      <c r="CG231" s="6"/>
      <c r="CH231" s="6"/>
      <c r="CI231" s="6"/>
      <c r="CJ231" s="6"/>
      <c r="CK231" s="6"/>
      <c r="CL231" s="6"/>
      <c r="CM231" s="6"/>
      <c r="CN231" s="6"/>
      <c r="CO231" s="6"/>
      <c r="CP231" s="6"/>
      <c r="CQ231" s="6"/>
    </row>
    <row r="232" spans="2:95" ht="15">
      <c r="B232" s="320" t="str">
        <f>CONCATENATE(C232,D232,E232,F232)</f>
        <v>0000</v>
      </c>
      <c r="C232" s="320">
        <f>F232</f>
        <v>0</v>
      </c>
      <c r="D232" s="320">
        <f>'ES Ice Machines'!K9</f>
        <v>0</v>
      </c>
      <c r="E232" s="321">
        <f>H232</f>
        <v>0</v>
      </c>
      <c r="F232" s="224">
        <f>'ES Ice Machines'!F9</f>
        <v>0</v>
      </c>
      <c r="G232" s="248">
        <f>'ES Ice Machines'!G9</f>
        <v>0</v>
      </c>
      <c r="H232" s="248">
        <f>'ES Ice Machines'!E9</f>
        <v>0</v>
      </c>
      <c r="K232" s="523">
        <f>IF('ES Ice Machines'!I9="",IF('ES Ice Machines'!E9&lt;=50,0.14,0.42),'ES Ice Machines'!I9)</f>
        <v>0.14000000000000001</v>
      </c>
      <c r="L232" s="524" cm="1">
        <f t="array" ref="L232" xml:space="preserve"> _xlfn.XLOOKUP(1, ($C232=$E$136:$E$156) * ($G232=$F$136:$F$156) * ($H232&gt;=$C$136:$C$156) * ($H232&lt;$D$136:$D$156), $H$136:$H$156,0) - _xlfn.XLOOKUP(1, ($C232=$E$136:$E$156) * ($G232=$F$136:$F$156) * ($H232&gt;=$C$136:$C$156) * ($H232&lt;$D$136:$D$156), $I$136:$I$156,0) * $E232</f>
        <v>0</v>
      </c>
      <c r="M232" s="525" cm="1">
        <f t="array" ref="M232" xml:space="preserve"> _xlfn.XLOOKUP(1, ($C232=$E$160:$E$180) * ($G232=$F$160:$F$180) * ($H232&gt;=$C$160:$C$180) * ($H232&lt;$D$160:$D$180), $H$160:$H$180,0) - _xlfn.XLOOKUP(1, ($C232=$E$160:$E$180) * ($G232=$F$160:$F$180) * ($H232&gt;=$C$160:$C$180) * ($H232&lt;$D$160:$D$180), $I$160:$I$180,0) * $E232</f>
        <v>0</v>
      </c>
      <c r="N232" s="525">
        <f t="shared" si="33"/>
        <v>0</v>
      </c>
      <c r="O232" s="525">
        <f>Q232*G129</f>
        <v>0</v>
      </c>
      <c r="P232" s="525">
        <f>Q232*G130</f>
        <v>0</v>
      </c>
      <c r="Q232" s="526">
        <f>((L232-M232)/100)*H232*$G$128*K232</f>
        <v>0</v>
      </c>
      <c r="X232" s="1"/>
      <c r="Y232" s="1"/>
      <c r="Z232" s="143"/>
      <c r="AF232" s="26"/>
      <c r="AG232" s="26"/>
      <c r="AH232" s="26"/>
      <c r="AL232" s="9"/>
      <c r="AM232" s="9"/>
      <c r="AN232" s="9"/>
      <c r="AO232" s="9"/>
      <c r="AP232" s="9"/>
      <c r="AQ232" s="9"/>
      <c r="AR232" s="9"/>
      <c r="AS232" s="9"/>
      <c r="AT232" s="9"/>
      <c r="AU232" s="9"/>
      <c r="AV232" s="9"/>
      <c r="AW232" s="9"/>
      <c r="AX232" s="9"/>
      <c r="AY232" s="9"/>
      <c r="AZ232" s="9"/>
      <c r="BA232" s="9"/>
      <c r="BB232" s="9"/>
      <c r="BC232" s="9"/>
      <c r="BI232" s="26"/>
      <c r="BL232" s="26"/>
      <c r="BM232" s="26"/>
      <c r="BN232" s="26"/>
      <c r="BO232" s="26"/>
      <c r="BP232" s="26"/>
      <c r="BQ232" s="26"/>
      <c r="BR232" s="26"/>
      <c r="BS232" s="26"/>
      <c r="BT232" s="26"/>
      <c r="BU232" s="26"/>
      <c r="BV232" s="9"/>
      <c r="BW232" s="9"/>
      <c r="CC232" s="9"/>
      <c r="CD232" s="9"/>
      <c r="CE232" s="9"/>
      <c r="CF232" s="9"/>
      <c r="CG232" s="9"/>
      <c r="CH232" s="9"/>
      <c r="CI232" s="9"/>
      <c r="CJ232" s="9"/>
      <c r="CK232" s="9"/>
      <c r="CL232" s="9"/>
      <c r="CM232" s="9"/>
      <c r="CN232" s="9"/>
      <c r="CO232" s="9"/>
      <c r="CP232" s="9"/>
      <c r="CQ232" s="9"/>
    </row>
    <row r="233" spans="2:95" ht="15">
      <c r="B233" s="320" t="str">
        <f>CONCATENATE(C233,D233,E233,F233)</f>
        <v>0000</v>
      </c>
      <c r="C233" s="320">
        <f>F233</f>
        <v>0</v>
      </c>
      <c r="D233" s="320">
        <f>'ES Ice Machines'!K10</f>
        <v>0</v>
      </c>
      <c r="E233" s="321">
        <f>H233</f>
        <v>0</v>
      </c>
      <c r="F233" s="224">
        <f>'ES Ice Machines'!F10</f>
        <v>0</v>
      </c>
      <c r="G233" s="248">
        <f>'ES Ice Machines'!G10</f>
        <v>0</v>
      </c>
      <c r="H233" s="248">
        <f>'ES Ice Machines'!E10</f>
        <v>0</v>
      </c>
      <c r="I233" s="26"/>
      <c r="J233" s="26"/>
      <c r="K233" s="523">
        <f>IF('ES Ice Machines'!I10="",IF('ES Ice Machines'!E10&lt;=50,0.14,0.42),'ES Ice Machines'!I10)</f>
        <v>0.14000000000000001</v>
      </c>
      <c r="L233" s="524" cm="1">
        <f t="array" ref="L233" xml:space="preserve"> _xlfn.XLOOKUP(1, ($C233=$E$136:$E$156) * ($G233=$F$136:$F$156) * ($H233&gt;=$C$136:$C$156) * ($H233&lt;$D$136:$D$156), $H$136:$H$156,0) - _xlfn.XLOOKUP(1, ($C233=$E$136:$E$156) * ($G233=$F$136:$F$156) * ($H233&gt;=$C$136:$C$156) * ($H233&lt;$D$136:$D$156), $I$136:$I$156,0) * $E233</f>
        <v>0</v>
      </c>
      <c r="M233" s="525" cm="1">
        <f t="array" ref="M233" xml:space="preserve"> _xlfn.XLOOKUP(1, ($C233=$E$160:$E$180) * ($G233=$F$160:$F$180) * ($H233&gt;=$C$160:$C$180) * ($H233&lt;$D$160:$D$180), $H$160:$H$180,0) - _xlfn.XLOOKUP(1, ($C233=$E$160:$E$180) * ($G233=$F$160:$F$180) * ($H233&gt;=$C$160:$C$180) * ($H233&lt;$D$160:$D$180), $I$160:$I$180,0) * $E233</f>
        <v>0</v>
      </c>
      <c r="N233" s="525">
        <f t="shared" si="33"/>
        <v>0</v>
      </c>
      <c r="O233" s="525">
        <f>Q233*G129</f>
        <v>0</v>
      </c>
      <c r="P233" s="525">
        <f>Q233*G130</f>
        <v>0</v>
      </c>
      <c r="Q233" s="526">
        <f>((L233-M233)/100)*H233*$G$128*K233</f>
        <v>0</v>
      </c>
      <c r="R233" s="15"/>
      <c r="S233" s="15"/>
      <c r="T233" s="15"/>
      <c r="U233" s="15"/>
      <c r="V233" s="15"/>
      <c r="W233" s="15"/>
      <c r="X233" s="15"/>
      <c r="Y233" s="15"/>
      <c r="Z233" s="149"/>
      <c r="AA233" s="26"/>
      <c r="AB233" s="26"/>
      <c r="AC233" s="26"/>
      <c r="AD233" s="26"/>
      <c r="AE233" s="26"/>
      <c r="AL233" s="9"/>
      <c r="AM233" s="9"/>
      <c r="AN233" s="9"/>
      <c r="AO233" s="9"/>
      <c r="AP233" s="9"/>
      <c r="AQ233" s="9"/>
      <c r="AR233" s="9"/>
      <c r="AS233" s="9"/>
      <c r="AT233" s="9"/>
      <c r="AU233" s="9"/>
      <c r="AV233" s="9"/>
      <c r="AW233" s="9"/>
      <c r="AX233" s="9"/>
      <c r="AY233" s="9"/>
      <c r="AZ233" s="9"/>
      <c r="BA233" s="9"/>
      <c r="BB233" s="9"/>
      <c r="BC233" s="9"/>
      <c r="BJ233" s="26"/>
      <c r="BK233" s="26"/>
      <c r="BV233" s="9"/>
      <c r="BW233" s="9"/>
    </row>
    <row r="234" spans="2:95" ht="15">
      <c r="M234" s="6"/>
      <c r="N234" s="171"/>
      <c r="O234" s="171"/>
      <c r="P234" s="171"/>
      <c r="Q234" s="6"/>
      <c r="R234" s="6"/>
      <c r="S234" s="6"/>
      <c r="T234" s="6"/>
      <c r="U234" s="6"/>
      <c r="V234" s="6"/>
      <c r="W234" s="6"/>
      <c r="AF234" s="9"/>
      <c r="AG234" s="9"/>
      <c r="AH234" s="9"/>
      <c r="AI234" s="26"/>
      <c r="AL234" s="9"/>
      <c r="AM234" s="9"/>
      <c r="AN234" s="9"/>
      <c r="AO234" s="9"/>
      <c r="AP234" s="9"/>
      <c r="AQ234" s="9"/>
      <c r="AR234" s="9"/>
      <c r="AS234" s="9"/>
      <c r="AT234" s="9"/>
      <c r="AU234" s="9"/>
      <c r="AV234" s="9"/>
      <c r="AW234" s="9"/>
      <c r="AX234" s="9"/>
      <c r="AY234" s="9"/>
      <c r="AZ234" s="9"/>
      <c r="BA234" s="9"/>
      <c r="BB234" s="9"/>
      <c r="BC234" s="9"/>
      <c r="BI234" s="9"/>
      <c r="BL234" s="9"/>
      <c r="BM234" s="9"/>
      <c r="BN234" s="9"/>
      <c r="BO234" s="9"/>
      <c r="BP234" s="9"/>
      <c r="BQ234" s="9"/>
      <c r="BR234" s="9"/>
      <c r="BS234" s="9"/>
      <c r="BT234" s="9"/>
      <c r="BU234" s="9"/>
      <c r="BV234" s="9"/>
      <c r="BW234" s="9"/>
    </row>
    <row r="235" spans="2:95" ht="18.75" thickBot="1">
      <c r="B235" s="832" t="s">
        <v>340</v>
      </c>
      <c r="C235" s="832"/>
      <c r="D235" s="832"/>
      <c r="E235" s="832"/>
      <c r="F235" s="832"/>
      <c r="G235" s="832"/>
      <c r="H235" s="832"/>
      <c r="I235" s="832"/>
      <c r="J235" s="832"/>
      <c r="K235" s="15" t="s">
        <v>682</v>
      </c>
      <c r="L235" s="15"/>
      <c r="M235" s="9"/>
      <c r="N235" s="9"/>
      <c r="O235" s="9"/>
      <c r="P235" s="9"/>
      <c r="Q235" s="9"/>
      <c r="R235" s="9"/>
      <c r="S235" s="9"/>
      <c r="T235" s="9"/>
      <c r="U235" s="9"/>
      <c r="V235" s="9"/>
      <c r="W235" s="9"/>
      <c r="X235" s="150"/>
      <c r="Y235" s="9"/>
      <c r="Z235" s="9"/>
      <c r="AA235" s="9"/>
      <c r="AB235" s="9"/>
      <c r="AC235" s="9"/>
      <c r="AD235" s="9"/>
      <c r="AE235" s="9"/>
      <c r="AL235" s="9"/>
      <c r="AM235" s="9"/>
      <c r="AN235" s="9"/>
      <c r="AO235" s="9"/>
      <c r="AP235" s="9"/>
      <c r="AQ235" s="9"/>
      <c r="AR235" s="9"/>
      <c r="AS235" s="9"/>
      <c r="AT235" s="9"/>
      <c r="AU235" s="9"/>
      <c r="AV235" s="9"/>
      <c r="AW235" s="9"/>
      <c r="AX235" s="9"/>
      <c r="AY235" s="9"/>
      <c r="AZ235" s="9"/>
      <c r="BA235" s="9"/>
      <c r="BB235" s="9"/>
      <c r="BC235" s="9"/>
      <c r="BJ235" s="9"/>
      <c r="BK235" s="9"/>
    </row>
    <row r="236" spans="2:95" ht="18">
      <c r="B236" s="430"/>
      <c r="C236" s="430"/>
      <c r="D236" s="430"/>
      <c r="E236" s="430"/>
      <c r="F236" s="430"/>
      <c r="G236" s="430"/>
      <c r="H236" s="430"/>
      <c r="I236" s="430"/>
      <c r="J236" s="430"/>
      <c r="K236" s="15"/>
      <c r="L236" s="15"/>
      <c r="M236" s="9"/>
      <c r="N236" s="9"/>
      <c r="O236" s="9"/>
      <c r="P236" s="9"/>
      <c r="Q236" s="9"/>
      <c r="R236" s="9"/>
      <c r="S236" s="9"/>
      <c r="T236" s="9"/>
      <c r="U236" s="9"/>
      <c r="V236" s="9"/>
      <c r="W236" s="9"/>
      <c r="X236" s="150"/>
      <c r="Y236" s="9"/>
      <c r="Z236" s="9"/>
      <c r="AA236" s="9"/>
      <c r="AB236" s="9"/>
      <c r="AC236" s="9"/>
      <c r="AD236" s="9"/>
      <c r="AE236" s="9"/>
      <c r="AL236" s="9"/>
      <c r="AM236" s="9"/>
      <c r="AN236" s="9"/>
      <c r="AO236" s="9"/>
      <c r="AP236" s="9"/>
      <c r="AQ236" s="9"/>
      <c r="AR236" s="9"/>
      <c r="AS236" s="9"/>
      <c r="AT236" s="9"/>
      <c r="AU236" s="9"/>
      <c r="AV236" s="9"/>
      <c r="AW236" s="9"/>
      <c r="AX236" s="9"/>
      <c r="AY236" s="9"/>
      <c r="AZ236" s="9"/>
      <c r="BA236" s="9"/>
      <c r="BB236" s="9"/>
      <c r="BC236" s="9"/>
    </row>
    <row r="237" spans="2:95" ht="18">
      <c r="B237" s="7" t="s">
        <v>366</v>
      </c>
      <c r="M237" s="6"/>
      <c r="N237" s="6"/>
      <c r="O237" s="6"/>
      <c r="P237" s="6"/>
      <c r="Q237" s="6"/>
      <c r="R237" s="6"/>
      <c r="S237" s="6"/>
      <c r="T237" s="6"/>
      <c r="U237" s="6"/>
      <c r="V237" s="6"/>
      <c r="W237" s="6"/>
      <c r="AI237" s="9"/>
      <c r="AL237" s="9"/>
      <c r="AM237" s="9"/>
      <c r="AN237" s="9"/>
      <c r="AO237" s="9"/>
      <c r="AP237" s="9"/>
      <c r="AQ237" s="9"/>
      <c r="AR237" s="9"/>
      <c r="AS237" s="9"/>
      <c r="AT237" s="9"/>
      <c r="AU237" s="9"/>
      <c r="AV237" s="9"/>
      <c r="AW237" s="9"/>
      <c r="AX237" s="9"/>
      <c r="AY237" s="9"/>
      <c r="AZ237" s="9"/>
      <c r="BA237" s="9"/>
      <c r="BB237" s="9"/>
      <c r="BC237" s="9"/>
    </row>
    <row r="238" spans="2:95" ht="15">
      <c r="B238" s="224" t="s">
        <v>377</v>
      </c>
      <c r="C238" s="224">
        <v>365</v>
      </c>
      <c r="D238" s="224" t="s">
        <v>378</v>
      </c>
      <c r="M238" s="6"/>
      <c r="N238" s="6"/>
      <c r="O238" s="6"/>
      <c r="P238" s="6"/>
      <c r="Q238" s="6"/>
      <c r="R238" s="6"/>
      <c r="S238" s="6"/>
      <c r="T238" s="6"/>
      <c r="U238" s="6"/>
      <c r="V238" s="6"/>
      <c r="W238" s="6"/>
      <c r="AL238" s="9"/>
      <c r="AM238" s="9"/>
      <c r="AN238" s="9"/>
      <c r="AO238" s="9"/>
      <c r="AP238" s="9"/>
      <c r="AQ238" s="9"/>
      <c r="AR238" s="9"/>
      <c r="AS238" s="9"/>
      <c r="AT238" s="9"/>
      <c r="AU238" s="9"/>
      <c r="AV238" s="9"/>
      <c r="AW238" s="9"/>
      <c r="AX238" s="9"/>
      <c r="AY238" s="9"/>
      <c r="AZ238" s="9"/>
      <c r="BA238" s="9"/>
      <c r="BB238" s="9"/>
      <c r="BC238" s="9"/>
      <c r="BX238" s="9"/>
      <c r="BY238" s="9"/>
      <c r="BZ238" s="9"/>
      <c r="CA238" s="9"/>
      <c r="CB238" s="9"/>
    </row>
    <row r="239" spans="2:95">
      <c r="B239" s="224" t="s">
        <v>396</v>
      </c>
      <c r="C239" s="224">
        <v>9</v>
      </c>
      <c r="D239" s="224" t="s">
        <v>683</v>
      </c>
      <c r="M239" s="6"/>
      <c r="N239" s="6"/>
      <c r="O239" s="6"/>
      <c r="P239" s="6"/>
      <c r="Q239" s="6"/>
      <c r="R239" s="6"/>
      <c r="S239" s="6"/>
      <c r="T239" s="6"/>
      <c r="U239" s="6"/>
      <c r="V239" s="6"/>
      <c r="W239" s="6"/>
    </row>
    <row r="240" spans="2:95" s="9" customFormat="1" ht="15">
      <c r="B240" s="224" t="s">
        <v>401</v>
      </c>
      <c r="C240" s="224">
        <v>1.863E-4</v>
      </c>
      <c r="D240" s="224" t="s">
        <v>380</v>
      </c>
      <c r="E240" s="1"/>
      <c r="F240" s="1"/>
      <c r="G240" s="1"/>
      <c r="H240" s="1"/>
      <c r="I240" s="1"/>
      <c r="J240" s="1"/>
      <c r="K240" s="1"/>
      <c r="L240" s="1"/>
      <c r="M240" s="6"/>
      <c r="N240" s="6"/>
      <c r="O240" s="6"/>
      <c r="P240" s="6"/>
      <c r="Q240" s="6"/>
      <c r="R240" s="6"/>
      <c r="S240" s="6"/>
      <c r="T240" s="6"/>
      <c r="U240" s="6"/>
      <c r="V240" s="6"/>
      <c r="W240" s="6"/>
      <c r="X240" s="143"/>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26"/>
      <c r="BG240" s="26"/>
      <c r="BH240" s="26"/>
      <c r="BJ240" s="6"/>
      <c r="BK240" s="6"/>
      <c r="BV240" s="6"/>
      <c r="BW240" s="6"/>
      <c r="BX240" s="6"/>
      <c r="BY240" s="6"/>
      <c r="BZ240" s="6"/>
      <c r="CA240" s="6"/>
      <c r="CB240" s="6"/>
      <c r="CC240" s="6"/>
      <c r="CD240" s="6"/>
      <c r="CE240" s="6"/>
      <c r="CF240" s="6"/>
      <c r="CG240" s="6"/>
      <c r="CH240" s="6"/>
      <c r="CI240" s="6"/>
      <c r="CJ240" s="6"/>
      <c r="CK240" s="6"/>
      <c r="CL240" s="6"/>
      <c r="CM240" s="6"/>
      <c r="CN240" s="6"/>
      <c r="CO240" s="6"/>
      <c r="CP240" s="6"/>
      <c r="CQ240" s="6"/>
    </row>
    <row r="241" spans="2:95" ht="14.25" customHeight="1">
      <c r="B241" s="224" t="s">
        <v>402</v>
      </c>
      <c r="C241" s="224">
        <v>1.192E-4</v>
      </c>
      <c r="D241" s="224" t="s">
        <v>380</v>
      </c>
      <c r="M241" s="6"/>
      <c r="N241" s="6"/>
      <c r="O241" s="6"/>
      <c r="P241" s="6"/>
      <c r="Q241" s="6"/>
      <c r="R241" s="6"/>
      <c r="S241" s="6"/>
      <c r="T241" s="6"/>
      <c r="U241" s="6"/>
      <c r="V241" s="6"/>
      <c r="W241" s="6"/>
      <c r="BD241" s="26"/>
      <c r="BE241" s="26"/>
      <c r="BF241" s="26"/>
      <c r="BG241" s="26"/>
      <c r="BH241" s="26"/>
      <c r="BI241" s="9"/>
      <c r="BJ241" s="9"/>
      <c r="BK241" s="9"/>
      <c r="BL241" s="9"/>
      <c r="BM241" s="9"/>
      <c r="BN241" s="9"/>
      <c r="BO241" s="9"/>
      <c r="BP241" s="9"/>
      <c r="BQ241" s="9"/>
      <c r="BR241" s="9"/>
      <c r="BS241" s="9"/>
      <c r="BT241" s="9"/>
      <c r="BU241" s="9"/>
      <c r="CC241" s="9"/>
      <c r="CD241" s="9"/>
      <c r="CE241" s="9"/>
      <c r="CF241" s="9"/>
      <c r="CG241" s="9"/>
      <c r="CH241" s="9"/>
      <c r="CI241" s="9"/>
      <c r="CJ241" s="9"/>
      <c r="CK241" s="9"/>
      <c r="CL241" s="9"/>
      <c r="CM241" s="9"/>
      <c r="CN241" s="9"/>
      <c r="CO241" s="9"/>
      <c r="CP241" s="9"/>
      <c r="CQ241" s="9"/>
    </row>
    <row r="242" spans="2:95" ht="14.25" customHeight="1">
      <c r="B242" s="224" t="s">
        <v>684</v>
      </c>
      <c r="C242" s="224">
        <v>1E-3</v>
      </c>
      <c r="D242" s="224" t="s">
        <v>685</v>
      </c>
      <c r="M242" s="6"/>
      <c r="N242" s="6"/>
      <c r="O242" s="6"/>
      <c r="P242" s="6"/>
      <c r="Q242" s="6"/>
      <c r="R242" s="6"/>
      <c r="S242" s="6"/>
      <c r="T242" s="6"/>
      <c r="U242" s="6"/>
      <c r="V242" s="6"/>
      <c r="W242" s="6"/>
      <c r="AJ242" s="26"/>
      <c r="AK242" s="26"/>
      <c r="BD242" s="26"/>
      <c r="BE242" s="26"/>
      <c r="BF242" s="26"/>
      <c r="BG242" s="26"/>
      <c r="BH242" s="26"/>
      <c r="BI242" s="9"/>
      <c r="BJ242" s="9"/>
      <c r="BK242" s="9"/>
      <c r="BL242" s="9"/>
      <c r="BM242" s="9"/>
      <c r="BN242" s="9"/>
      <c r="BO242" s="9"/>
      <c r="BP242" s="9"/>
      <c r="BQ242" s="9"/>
      <c r="BR242" s="9"/>
      <c r="BS242" s="9"/>
      <c r="BT242" s="9"/>
      <c r="BU242" s="9"/>
    </row>
    <row r="243" spans="2:95" ht="14.25" customHeight="1">
      <c r="BD243" s="26"/>
      <c r="BE243" s="26"/>
      <c r="BF243" s="26"/>
      <c r="BG243" s="26"/>
      <c r="BH243" s="26"/>
      <c r="BI243" s="9"/>
      <c r="BJ243" s="9"/>
      <c r="BK243" s="9"/>
      <c r="BL243" s="9"/>
      <c r="BM243" s="9"/>
      <c r="BN243" s="9"/>
      <c r="BO243" s="9"/>
      <c r="BP243" s="9"/>
      <c r="BQ243" s="9"/>
      <c r="BR243" s="9"/>
      <c r="BS243" s="9"/>
      <c r="BT243" s="9"/>
      <c r="BU243" s="9"/>
    </row>
    <row r="244" spans="2:95" ht="14.25" customHeight="1" thickBot="1">
      <c r="C244" s="24" t="s">
        <v>686</v>
      </c>
      <c r="E244" s="24" t="s">
        <v>687</v>
      </c>
      <c r="H244" s="6"/>
      <c r="I244" s="6"/>
      <c r="J244" s="6"/>
      <c r="K244" s="6"/>
      <c r="L244" s="6"/>
      <c r="AF244" s="9"/>
      <c r="AG244" s="9"/>
      <c r="AH244" s="9"/>
      <c r="AJ244" s="9"/>
      <c r="AK244" s="9"/>
      <c r="BD244" s="26"/>
      <c r="BE244" s="26"/>
      <c r="BJ244" s="9"/>
      <c r="BK244" s="9"/>
    </row>
    <row r="245" spans="2:95" ht="14.25" customHeight="1">
      <c r="B245" s="363" t="s">
        <v>688</v>
      </c>
      <c r="C245" s="408" t="s">
        <v>689</v>
      </c>
      <c r="D245" s="407" t="s">
        <v>690</v>
      </c>
      <c r="E245" s="406" t="s">
        <v>691</v>
      </c>
      <c r="F245" s="367" t="s">
        <v>692</v>
      </c>
      <c r="G245" s="368" t="s">
        <v>693</v>
      </c>
      <c r="H245" s="9"/>
      <c r="I245" s="9"/>
      <c r="J245" s="9"/>
      <c r="K245" s="9"/>
      <c r="L245" s="9"/>
      <c r="U245" s="6"/>
      <c r="V245" s="6"/>
      <c r="W245" s="6"/>
      <c r="AA245" s="9"/>
      <c r="AB245" s="9"/>
      <c r="AC245" s="9"/>
      <c r="AD245" s="9"/>
      <c r="AE245" s="9"/>
      <c r="BF245" s="9"/>
      <c r="BG245" s="9"/>
      <c r="BH245" s="9"/>
    </row>
    <row r="246" spans="2:95" ht="14.25" customHeight="1">
      <c r="B246" s="364">
        <v>0</v>
      </c>
      <c r="C246" s="527">
        <f>B246*30</f>
        <v>0</v>
      </c>
      <c r="D246" s="528">
        <f>21.5*B246</f>
        <v>0</v>
      </c>
      <c r="E246" s="529">
        <f>27.9*B246</f>
        <v>0</v>
      </c>
      <c r="F246" s="530">
        <f>0.0052*B246</f>
        <v>0</v>
      </c>
      <c r="G246" s="531">
        <f>0.0033*B246</f>
        <v>0</v>
      </c>
      <c r="H246" s="6"/>
      <c r="I246" s="6"/>
      <c r="J246" s="6"/>
      <c r="K246" s="6"/>
      <c r="L246" s="6"/>
      <c r="U246" s="6"/>
      <c r="V246" s="6"/>
      <c r="W246" s="6"/>
      <c r="AI246" s="9"/>
      <c r="BD246" s="9"/>
      <c r="BE246" s="9"/>
    </row>
    <row r="247" spans="2:95" ht="14.25" customHeight="1">
      <c r="B247" s="364">
        <v>13</v>
      </c>
      <c r="C247" s="527">
        <f>B247*30</f>
        <v>390</v>
      </c>
      <c r="D247" s="528">
        <f>2*B247+254</f>
        <v>280</v>
      </c>
      <c r="E247" s="529">
        <f>3.285*(28*B247-254)</f>
        <v>361.35</v>
      </c>
      <c r="F247" s="473">
        <f>0.00061*(28*B247-254)</f>
        <v>6.7099999999999993E-2</v>
      </c>
      <c r="G247" s="473">
        <f>0.00039*(28*B247-254)</f>
        <v>4.2900000000000001E-2</v>
      </c>
      <c r="H247" s="6"/>
      <c r="I247" s="6"/>
      <c r="J247" s="6"/>
      <c r="K247" s="6"/>
      <c r="L247" s="6"/>
      <c r="M247" s="51"/>
      <c r="N247" s="51"/>
      <c r="O247" s="51"/>
      <c r="P247" s="51"/>
      <c r="Q247" s="51"/>
      <c r="R247" s="51"/>
      <c r="S247" s="51"/>
      <c r="Y247" s="1"/>
      <c r="Z247" s="1"/>
      <c r="AA247" s="1"/>
      <c r="AB247" s="1"/>
      <c r="AC247" s="1"/>
      <c r="AD247" s="1"/>
      <c r="AE247" s="1"/>
    </row>
    <row r="248" spans="2:95" ht="19.5" customHeight="1">
      <c r="B248" s="364">
        <v>28</v>
      </c>
      <c r="C248" s="527">
        <f>B248*30</f>
        <v>840</v>
      </c>
      <c r="D248" s="532">
        <f>3.8*B248+203.5</f>
        <v>309.89999999999998</v>
      </c>
      <c r="E248" s="529">
        <f>3.285*(26.2*B248-203.5)</f>
        <v>1741.3785000000003</v>
      </c>
      <c r="F248" s="473">
        <f>0.00061*(26.2*B248-203.5)</f>
        <v>0.32336100000000001</v>
      </c>
      <c r="G248" s="473">
        <f>0.00039*(26.2*B248-203.5)</f>
        <v>0.20673900000000001</v>
      </c>
      <c r="H248" s="6"/>
      <c r="I248" s="6"/>
      <c r="J248" s="6"/>
      <c r="K248" s="6"/>
      <c r="L248" s="6"/>
      <c r="M248" s="51"/>
      <c r="N248" s="51"/>
      <c r="O248" s="51"/>
      <c r="P248" s="51"/>
      <c r="Q248" s="51"/>
      <c r="R248" s="51"/>
      <c r="S248" s="51"/>
      <c r="Y248" s="1"/>
      <c r="Z248" s="1"/>
      <c r="AA248" s="1"/>
      <c r="AB248" s="1"/>
      <c r="AC248" s="1"/>
      <c r="AD248" s="1"/>
      <c r="AE248" s="1"/>
      <c r="AL248" s="26"/>
      <c r="AM248" s="26"/>
      <c r="AN248" s="26"/>
      <c r="AO248" s="26"/>
      <c r="AP248" s="26"/>
      <c r="AQ248" s="26"/>
      <c r="AR248" s="26"/>
      <c r="AS248" s="26"/>
      <c r="AT248" s="26"/>
      <c r="AU248" s="26"/>
      <c r="AV248" s="26"/>
      <c r="AW248" s="26"/>
      <c r="AX248" s="26"/>
      <c r="AY248" s="26"/>
      <c r="AZ248" s="26"/>
      <c r="BA248" s="26"/>
      <c r="BB248" s="26"/>
      <c r="BC248" s="26"/>
    </row>
    <row r="249" spans="2:95" ht="14.25" customHeight="1">
      <c r="B249" s="365" t="s">
        <v>694</v>
      </c>
      <c r="C249" s="361" t="s">
        <v>695</v>
      </c>
      <c r="D249" s="362" t="s">
        <v>696</v>
      </c>
      <c r="E249" s="405" t="s">
        <v>697</v>
      </c>
      <c r="F249" s="409" t="s">
        <v>692</v>
      </c>
      <c r="G249" s="409" t="s">
        <v>693</v>
      </c>
      <c r="H249" s="6"/>
      <c r="AL249" s="26"/>
      <c r="AM249" s="26"/>
      <c r="AN249" s="26"/>
      <c r="AO249" s="26"/>
      <c r="AP249" s="26"/>
      <c r="AQ249" s="26"/>
      <c r="AR249" s="26"/>
      <c r="AS249" s="26"/>
      <c r="AT249" s="26"/>
      <c r="AU249" s="26"/>
      <c r="AV249" s="26"/>
      <c r="AW249" s="26"/>
      <c r="AX249" s="26"/>
      <c r="AY249" s="26"/>
      <c r="AZ249" s="26"/>
      <c r="BA249" s="26"/>
      <c r="BB249" s="26"/>
      <c r="BC249" s="26"/>
    </row>
    <row r="250" spans="2:95" ht="14.25" customHeight="1">
      <c r="B250" s="364">
        <v>12.99</v>
      </c>
      <c r="C250" s="527">
        <f>B250*30</f>
        <v>389.7</v>
      </c>
      <c r="D250" s="528">
        <f>21.5*B250</f>
        <v>279.28500000000003</v>
      </c>
      <c r="E250" s="529">
        <f>27.9*B250</f>
        <v>362.42099999999999</v>
      </c>
      <c r="F250" s="530">
        <f>0.0052*B250</f>
        <v>6.7547999999999997E-2</v>
      </c>
      <c r="G250" s="530">
        <f>0.0033*B250</f>
        <v>4.2867000000000002E-2</v>
      </c>
      <c r="H250" s="6"/>
      <c r="AL250" s="26"/>
      <c r="AM250" s="26"/>
      <c r="AN250" s="26"/>
      <c r="AO250" s="26"/>
      <c r="AP250" s="26"/>
      <c r="AQ250" s="26"/>
      <c r="AR250" s="26"/>
      <c r="AS250" s="26"/>
      <c r="AT250" s="26"/>
      <c r="AU250" s="26"/>
      <c r="AV250" s="26"/>
      <c r="AW250" s="26"/>
      <c r="AX250" s="26"/>
      <c r="AY250" s="26"/>
      <c r="AZ250" s="26"/>
      <c r="BA250" s="26"/>
      <c r="BB250" s="26"/>
      <c r="BC250" s="26"/>
    </row>
    <row r="251" spans="2:95" ht="14.25" customHeight="1">
      <c r="B251" s="364">
        <v>27.99</v>
      </c>
      <c r="C251" s="527">
        <f>B251*30</f>
        <v>839.69999999999993</v>
      </c>
      <c r="D251" s="528">
        <f>2*B251+254</f>
        <v>309.98</v>
      </c>
      <c r="E251" s="529">
        <f>3.285*(28*B251-254)</f>
        <v>1740.1301999999998</v>
      </c>
      <c r="F251" s="473">
        <f>0.00061*(28*B251-254)</f>
        <v>0.32312919999999995</v>
      </c>
      <c r="G251" s="528">
        <f>0.00039*(28*B251-254)</f>
        <v>0.20659079999999996</v>
      </c>
      <c r="H251" s="6"/>
      <c r="AL251" s="26"/>
      <c r="AM251" s="26"/>
      <c r="AN251" s="26"/>
      <c r="AO251" s="26"/>
      <c r="AP251" s="26"/>
      <c r="AQ251" s="26"/>
      <c r="AR251" s="26"/>
      <c r="AS251" s="26"/>
      <c r="AT251" s="26"/>
      <c r="AU251" s="26"/>
      <c r="AV251" s="26"/>
      <c r="AW251" s="26"/>
      <c r="AX251" s="26"/>
      <c r="AY251" s="26"/>
      <c r="AZ251" s="26"/>
      <c r="BA251" s="26"/>
      <c r="BB251" s="26"/>
      <c r="BC251" s="26"/>
    </row>
    <row r="252" spans="2:95" ht="14.25" customHeight="1" thickBot="1">
      <c r="B252" s="366">
        <v>28</v>
      </c>
      <c r="C252" s="533">
        <f>B252*30</f>
        <v>840</v>
      </c>
      <c r="D252" s="534">
        <f>3.8*B252+203.5</f>
        <v>309.89999999999998</v>
      </c>
      <c r="E252" s="535">
        <f>3.285*(26.2*B252-203.5)</f>
        <v>1741.3785000000003</v>
      </c>
      <c r="F252" s="536">
        <f>0.00061*(26.2*B252-203.5)</f>
        <v>0.32336100000000001</v>
      </c>
      <c r="G252" s="534">
        <f>0.00039*(26.2*B252-203.5)</f>
        <v>0.20673900000000001</v>
      </c>
      <c r="H252" s="6"/>
    </row>
    <row r="253" spans="2:95" ht="14.25" customHeight="1">
      <c r="H253" s="6"/>
      <c r="AJ253" s="9"/>
      <c r="AK253" s="9"/>
      <c r="AL253" s="9"/>
      <c r="AM253" s="9"/>
      <c r="AN253" s="9"/>
      <c r="AO253" s="9"/>
      <c r="AP253" s="9"/>
      <c r="AQ253" s="9"/>
      <c r="AR253" s="9"/>
      <c r="AS253" s="9"/>
      <c r="AT253" s="9"/>
      <c r="AU253" s="9"/>
      <c r="AV253" s="9"/>
      <c r="AW253" s="9"/>
      <c r="AX253" s="9"/>
      <c r="AY253" s="9"/>
      <c r="AZ253" s="9"/>
      <c r="BA253" s="9"/>
      <c r="BB253" s="9"/>
      <c r="BC253" s="9"/>
    </row>
    <row r="254" spans="2:95" ht="18.75" thickBot="1">
      <c r="B254" s="7" t="s">
        <v>687</v>
      </c>
      <c r="D254" s="6"/>
      <c r="H254" s="6"/>
    </row>
    <row r="255" spans="2:95" ht="15">
      <c r="B255" s="363" t="s">
        <v>698</v>
      </c>
      <c r="C255" s="6"/>
      <c r="D255" s="6"/>
      <c r="E255" s="6"/>
      <c r="H255" s="6"/>
    </row>
    <row r="256" spans="2:95">
      <c r="B256" s="233" t="s">
        <v>198</v>
      </c>
      <c r="E256" s="6"/>
      <c r="H256" s="6"/>
    </row>
    <row r="257" spans="2:60">
      <c r="B257" s="233" t="s">
        <v>200</v>
      </c>
      <c r="C257" s="6"/>
      <c r="D257" s="6"/>
      <c r="E257" s="6"/>
      <c r="H257" s="6"/>
    </row>
    <row r="258" spans="2:60">
      <c r="B258" s="233" t="s">
        <v>202</v>
      </c>
      <c r="C258" s="6"/>
      <c r="D258" s="6"/>
      <c r="E258" s="6"/>
      <c r="H258" s="6"/>
    </row>
    <row r="259" spans="2:60">
      <c r="H259" s="6"/>
    </row>
    <row r="260" spans="2:60" ht="18">
      <c r="B260" s="7" t="s">
        <v>382</v>
      </c>
      <c r="F260" s="108"/>
      <c r="H260" s="6"/>
    </row>
    <row r="261" spans="2:60" ht="15">
      <c r="B261" s="176" t="s">
        <v>110</v>
      </c>
      <c r="C261" s="176" t="s">
        <v>699</v>
      </c>
      <c r="D261" s="176" t="s">
        <v>700</v>
      </c>
      <c r="E261" s="537" t="s">
        <v>701</v>
      </c>
      <c r="F261" s="232" t="s">
        <v>702</v>
      </c>
      <c r="G261" s="232" t="s">
        <v>703</v>
      </c>
      <c r="H261" s="232" t="s">
        <v>704</v>
      </c>
      <c r="I261" s="249" t="s">
        <v>121</v>
      </c>
      <c r="J261" s="249" t="s">
        <v>123</v>
      </c>
      <c r="BF261" s="9"/>
      <c r="BG261" s="9"/>
      <c r="BH261" s="9"/>
    </row>
    <row r="262" spans="2:60" ht="15">
      <c r="B262" s="250">
        <f>'Hot Food Holding Cabinet'!F7</f>
        <v>0</v>
      </c>
      <c r="C262" s="251">
        <f>'Hot Food Holding Cabinet'!E7</f>
        <v>0</v>
      </c>
      <c r="D262" s="224" t="str">
        <f>IF(C262&lt;13,"0 &lt; V &lt; 13",IF(AND(C262&gt;12.99,C262&lt;28),"13 ≤ V &lt; 28",IF(C262&gt;27.99,"28 ≤ V",)))</f>
        <v>0 &lt; V &lt; 13</v>
      </c>
      <c r="E262" s="243">
        <f>C262*30</f>
        <v>0</v>
      </c>
      <c r="F262" s="243">
        <f>IF(C262&lt;13,21.5*C262,IF(AND(C262&gt;12.99,C262&lt;28),2*C262+254,IF(C262&gt;27.99,3.8*C262+203.5,)))</f>
        <v>0</v>
      </c>
      <c r="G262" s="509">
        <f>J262*$C$240</f>
        <v>0</v>
      </c>
      <c r="H262" s="538">
        <f>J262*$C$241</f>
        <v>0</v>
      </c>
      <c r="I262" s="538">
        <f>IFERROR(ROUND(AVERAGE(G262,H262),4),0)</f>
        <v>0</v>
      </c>
      <c r="J262" s="243">
        <f>IFERROR(ROUND(B262*(E262-F262)*$C$242*$C$239*$C$238,4),0)</f>
        <v>0</v>
      </c>
      <c r="K262" s="108"/>
      <c r="BD262" s="9"/>
      <c r="BE262" s="9"/>
    </row>
    <row r="263" spans="2:60">
      <c r="B263" s="250">
        <f>'Hot Food Holding Cabinet'!F8</f>
        <v>0</v>
      </c>
      <c r="C263" s="251">
        <f>'Hot Food Holding Cabinet'!E8</f>
        <v>0</v>
      </c>
      <c r="D263" s="224" t="str">
        <f>IF(C263&lt;13,"0 &lt; V &lt; 13",IF(AND(C263&gt;12.99,C263&lt;28),"13 ≤ V &lt; 28",IF(C263&gt;27.99,"28 ≤ V",)))</f>
        <v>0 &lt; V &lt; 13</v>
      </c>
      <c r="E263" s="243">
        <f t="shared" ref="E263:E265" si="34">C263*30</f>
        <v>0</v>
      </c>
      <c r="F263" s="243">
        <f>IF(C263&lt;13,21.5*C263,IF(AND(C263&gt;12.99,C263&lt;28),2*C263+254,IF(C263&gt;27.99,3.8*C263+203.5,)))</f>
        <v>0</v>
      </c>
      <c r="G263" s="509">
        <f>J263*$C$240</f>
        <v>0</v>
      </c>
      <c r="H263" s="538">
        <f>J263*$C$241</f>
        <v>0</v>
      </c>
      <c r="I263" s="538">
        <f>IFERROR(ROUND(AVERAGE(G263,H263),4),0)</f>
        <v>0</v>
      </c>
      <c r="J263" s="243">
        <f>IFERROR(ROUND(B263*(E263-F263)*$C$242*$C$239*$C$238,4),0)</f>
        <v>0</v>
      </c>
      <c r="K263" s="51"/>
      <c r="L263" s="51"/>
    </row>
    <row r="264" spans="2:60" ht="15" customHeight="1">
      <c r="B264" s="250">
        <f>'Hot Food Holding Cabinet'!F9</f>
        <v>0</v>
      </c>
      <c r="C264" s="251">
        <f>'Hot Food Holding Cabinet'!E9</f>
        <v>0</v>
      </c>
      <c r="D264" s="224" t="str">
        <f>IF(C264&lt;13,"0 &lt; V &lt; 13",IF(AND(C264&gt;12.99,C264&lt;28),"13 ≤ V &lt; 28",IF(C264&gt;27.99,"28 ≤ V",)))</f>
        <v>0 &lt; V &lt; 13</v>
      </c>
      <c r="E264" s="243">
        <f t="shared" si="34"/>
        <v>0</v>
      </c>
      <c r="F264" s="243">
        <f t="shared" ref="F264:F265" si="35">IF(C264&lt;13,21.5*C264,IF(AND(C264&gt;12.99,C264&lt;28),2*C264+254,IF(C264&gt;27.99,3.8*C264+203.5,)))</f>
        <v>0</v>
      </c>
      <c r="G264" s="509">
        <f t="shared" ref="G264:G265" si="36">J264*$C$240</f>
        <v>0</v>
      </c>
      <c r="H264" s="538">
        <f t="shared" ref="H264:H265" si="37">J264*$C$241</f>
        <v>0</v>
      </c>
      <c r="I264" s="538">
        <f t="shared" ref="I264:I265" si="38">IFERROR(ROUND(AVERAGE(G264,H264),4),0)</f>
        <v>0</v>
      </c>
      <c r="J264" s="243">
        <f t="shared" ref="J264:J265" si="39">IFERROR(ROUND(B264*(E264-F264)*$C$242*$C$239*$C$238,4),0)</f>
        <v>0</v>
      </c>
      <c r="K264" s="51"/>
      <c r="L264" s="51"/>
    </row>
    <row r="265" spans="2:60">
      <c r="B265" s="250">
        <f>'Hot Food Holding Cabinet'!F10</f>
        <v>0</v>
      </c>
      <c r="C265" s="251">
        <f>'Hot Food Holding Cabinet'!E10</f>
        <v>0</v>
      </c>
      <c r="D265" s="224" t="str">
        <f>IF(C265&lt;13,"0 &lt; V &lt; 13",IF(AND(C265&gt;12.99,C265&lt;28),"13 ≤ V &lt; 28",IF(C265&gt;27.99,"28 ≤ V",)))</f>
        <v>0 &lt; V &lt; 13</v>
      </c>
      <c r="E265" s="243">
        <f t="shared" si="34"/>
        <v>0</v>
      </c>
      <c r="F265" s="243">
        <f t="shared" si="35"/>
        <v>0</v>
      </c>
      <c r="G265" s="509">
        <f t="shared" si="36"/>
        <v>0</v>
      </c>
      <c r="H265" s="538">
        <f t="shared" si="37"/>
        <v>0</v>
      </c>
      <c r="I265" s="538">
        <f t="shared" si="38"/>
        <v>0</v>
      </c>
      <c r="J265" s="243">
        <f t="shared" si="39"/>
        <v>0</v>
      </c>
    </row>
    <row r="267" spans="2:60" ht="15" customHeight="1" thickBot="1">
      <c r="B267" s="85" t="s">
        <v>705</v>
      </c>
      <c r="C267" s="84"/>
      <c r="D267" s="84"/>
      <c r="E267" s="84"/>
      <c r="F267" s="84"/>
      <c r="G267" s="84"/>
      <c r="H267" s="84"/>
      <c r="I267" s="84"/>
      <c r="J267" s="84"/>
    </row>
    <row r="268" spans="2:60" ht="15.75" customHeight="1">
      <c r="B268" s="15"/>
      <c r="C268" s="83"/>
      <c r="D268" s="83"/>
      <c r="E268" s="83"/>
      <c r="F268" s="83"/>
      <c r="G268" s="83"/>
      <c r="H268" s="83"/>
      <c r="I268" s="83"/>
      <c r="J268" s="83"/>
    </row>
    <row r="269" spans="2:60" ht="15">
      <c r="B269" s="836" t="s">
        <v>706</v>
      </c>
      <c r="C269" s="836"/>
      <c r="D269" s="836"/>
      <c r="E269" s="83"/>
      <c r="F269" s="83"/>
      <c r="G269" s="83"/>
      <c r="H269" s="83"/>
      <c r="I269" s="83"/>
      <c r="J269" s="83"/>
      <c r="AL269" s="9"/>
      <c r="AM269" s="9"/>
      <c r="AN269" s="9"/>
      <c r="AO269" s="9"/>
      <c r="AP269" s="9"/>
      <c r="AQ269" s="9"/>
      <c r="AR269" s="9"/>
      <c r="AS269" s="9"/>
      <c r="AT269" s="9"/>
      <c r="AU269" s="9"/>
      <c r="AV269" s="9"/>
      <c r="AW269" s="9"/>
      <c r="AX269" s="9"/>
      <c r="AY269" s="9"/>
      <c r="AZ269" s="9"/>
      <c r="BA269" s="9"/>
      <c r="BB269" s="9"/>
      <c r="BC269" s="9"/>
    </row>
    <row r="270" spans="2:60" ht="15">
      <c r="B270" s="235" t="s">
        <v>541</v>
      </c>
      <c r="C270" s="236" t="s">
        <v>707</v>
      </c>
      <c r="D270" s="236" t="s">
        <v>708</v>
      </c>
    </row>
    <row r="271" spans="2:60">
      <c r="B271" s="233" t="s">
        <v>709</v>
      </c>
      <c r="C271" s="252">
        <v>124</v>
      </c>
      <c r="D271" s="252">
        <v>1.67E-2</v>
      </c>
      <c r="E271" s="233" t="s">
        <v>710</v>
      </c>
      <c r="T271" s="6"/>
      <c r="U271" s="6"/>
      <c r="V271" s="6"/>
      <c r="W271" s="6"/>
    </row>
    <row r="272" spans="2:60">
      <c r="B272" s="233" t="s">
        <v>711</v>
      </c>
      <c r="C272" s="252">
        <v>37</v>
      </c>
      <c r="D272" s="252">
        <v>5.0000000000000001E-3</v>
      </c>
      <c r="E272" s="233" t="s">
        <v>712</v>
      </c>
      <c r="T272" s="6"/>
      <c r="U272" s="6"/>
      <c r="V272" s="6"/>
      <c r="W272" s="6"/>
    </row>
    <row r="273" spans="2:23">
      <c r="B273" s="233" t="s">
        <v>713</v>
      </c>
      <c r="C273" s="252">
        <v>16</v>
      </c>
      <c r="D273" s="252">
        <v>2.2000000000000001E-3</v>
      </c>
      <c r="E273" s="233" t="s">
        <v>714</v>
      </c>
      <c r="T273" s="6"/>
      <c r="U273" s="6"/>
      <c r="V273" s="6"/>
      <c r="W273" s="6"/>
    </row>
    <row r="274" spans="2:23">
      <c r="B274" s="233" t="s">
        <v>715</v>
      </c>
      <c r="C274" s="252">
        <v>73</v>
      </c>
      <c r="D274" s="252">
        <v>9.7999999999999997E-3</v>
      </c>
      <c r="E274" s="233" t="s">
        <v>716</v>
      </c>
      <c r="T274" s="6"/>
      <c r="U274" s="6"/>
      <c r="V274" s="6"/>
      <c r="W274" s="6"/>
    </row>
    <row r="275" spans="2:23">
      <c r="B275" s="233" t="s">
        <v>717</v>
      </c>
      <c r="C275" s="252">
        <v>151</v>
      </c>
      <c r="D275" s="252">
        <v>2.0299999999999999E-2</v>
      </c>
      <c r="E275" s="233" t="s">
        <v>716</v>
      </c>
      <c r="T275" s="6"/>
      <c r="U275" s="6"/>
      <c r="V275" s="6"/>
      <c r="W275" s="6"/>
    </row>
    <row r="276" spans="2:23">
      <c r="B276" s="233" t="s">
        <v>718</v>
      </c>
      <c r="C276" s="252">
        <v>162</v>
      </c>
      <c r="D276" s="252">
        <v>2.18E-2</v>
      </c>
      <c r="E276" s="233" t="s">
        <v>716</v>
      </c>
      <c r="T276" s="6"/>
      <c r="U276" s="6"/>
      <c r="V276" s="6"/>
      <c r="W276" s="6"/>
    </row>
    <row r="277" spans="2:23">
      <c r="B277" s="233" t="s">
        <v>719</v>
      </c>
      <c r="C277" s="252">
        <v>26</v>
      </c>
      <c r="D277" s="252">
        <v>3.5000000000000001E-3</v>
      </c>
      <c r="E277" s="233" t="s">
        <v>716</v>
      </c>
      <c r="T277" s="6"/>
      <c r="U277" s="6"/>
      <c r="V277" s="6"/>
      <c r="W277" s="6"/>
    </row>
    <row r="278" spans="2:23">
      <c r="B278" s="233" t="s">
        <v>720</v>
      </c>
      <c r="C278" s="252">
        <v>73</v>
      </c>
      <c r="D278" s="252">
        <v>9.7999999999999997E-3</v>
      </c>
      <c r="E278" s="233" t="s">
        <v>721</v>
      </c>
      <c r="T278" s="6"/>
      <c r="U278" s="6"/>
      <c r="V278" s="6"/>
      <c r="W278" s="6"/>
    </row>
    <row r="279" spans="2:23">
      <c r="B279" s="233" t="s">
        <v>722</v>
      </c>
      <c r="C279" s="252">
        <v>104</v>
      </c>
      <c r="D279" s="252">
        <v>1.4E-2</v>
      </c>
      <c r="E279" s="233" t="s">
        <v>721</v>
      </c>
      <c r="T279" s="6"/>
      <c r="U279" s="6"/>
      <c r="V279" s="6"/>
      <c r="W279" s="6"/>
    </row>
    <row r="280" spans="2:23">
      <c r="B280" s="233" t="s">
        <v>723</v>
      </c>
      <c r="C280" s="252">
        <v>156</v>
      </c>
      <c r="D280" s="252">
        <v>2.1000000000000001E-2</v>
      </c>
      <c r="E280" s="233" t="s">
        <v>721</v>
      </c>
      <c r="T280" s="6"/>
      <c r="U280" s="6"/>
      <c r="V280" s="6"/>
      <c r="W280" s="6"/>
    </row>
    <row r="281" spans="2:23">
      <c r="B281" s="233" t="s">
        <v>724</v>
      </c>
      <c r="C281" s="252">
        <v>133</v>
      </c>
      <c r="D281" s="252">
        <v>1.7899999999999999E-2</v>
      </c>
      <c r="E281" s="233" t="s">
        <v>721</v>
      </c>
      <c r="T281" s="6"/>
      <c r="U281" s="6"/>
      <c r="V281" s="6"/>
      <c r="W281" s="6"/>
    </row>
    <row r="282" spans="2:23">
      <c r="B282" s="233" t="s">
        <v>725</v>
      </c>
      <c r="C282" s="252">
        <v>329</v>
      </c>
      <c r="D282" s="252">
        <v>4.4299999999999999E-2</v>
      </c>
      <c r="E282" s="233" t="s">
        <v>721</v>
      </c>
      <c r="T282" s="6"/>
      <c r="U282" s="6"/>
      <c r="V282" s="6"/>
      <c r="W282" s="6"/>
    </row>
    <row r="283" spans="2:23">
      <c r="B283" s="233" t="s">
        <v>726</v>
      </c>
      <c r="C283" s="252">
        <v>78</v>
      </c>
      <c r="D283" s="252">
        <v>1.0500000000000001E-2</v>
      </c>
      <c r="E283" s="233" t="s">
        <v>727</v>
      </c>
      <c r="T283" s="6"/>
      <c r="U283" s="6"/>
      <c r="V283" s="6"/>
      <c r="W283" s="6"/>
    </row>
    <row r="284" spans="2:23">
      <c r="B284" s="233" t="s">
        <v>728</v>
      </c>
      <c r="C284" s="252">
        <v>147</v>
      </c>
      <c r="D284" s="252">
        <v>1.9800000000000002E-2</v>
      </c>
      <c r="E284" s="233" t="s">
        <v>727</v>
      </c>
      <c r="T284" s="6"/>
      <c r="U284" s="6"/>
      <c r="V284" s="6"/>
      <c r="W284" s="6"/>
    </row>
    <row r="285" spans="2:23">
      <c r="B285" s="233" t="s">
        <v>729</v>
      </c>
      <c r="C285" s="252">
        <v>253</v>
      </c>
      <c r="D285" s="252">
        <v>3.4099999999999998E-2</v>
      </c>
      <c r="E285" s="233" t="s">
        <v>727</v>
      </c>
      <c r="T285" s="6"/>
      <c r="U285" s="6"/>
      <c r="V285" s="6"/>
      <c r="W285" s="6"/>
    </row>
    <row r="286" spans="2:23">
      <c r="B286" s="233" t="s">
        <v>730</v>
      </c>
      <c r="C286" s="252">
        <v>422</v>
      </c>
      <c r="D286" s="252">
        <v>5.6899999999999999E-2</v>
      </c>
      <c r="E286" s="233" t="s">
        <v>727</v>
      </c>
      <c r="T286" s="6"/>
      <c r="U286" s="6"/>
      <c r="V286" s="6"/>
      <c r="W286" s="6"/>
    </row>
    <row r="287" spans="2:23">
      <c r="B287" s="233" t="s">
        <v>731</v>
      </c>
      <c r="C287" s="252">
        <v>730</v>
      </c>
      <c r="D287" s="252">
        <v>9.8400000000000001E-2</v>
      </c>
      <c r="E287" s="233" t="s">
        <v>727</v>
      </c>
      <c r="T287" s="6"/>
      <c r="U287" s="6"/>
      <c r="V287" s="6"/>
      <c r="W287" s="6"/>
    </row>
    <row r="288" spans="2:23">
      <c r="B288" s="233" t="s">
        <v>732</v>
      </c>
      <c r="C288" s="252">
        <v>5</v>
      </c>
      <c r="D288" s="252">
        <v>6.9999999999999999E-4</v>
      </c>
      <c r="E288" s="233" t="s">
        <v>733</v>
      </c>
      <c r="T288" s="6"/>
      <c r="U288" s="6"/>
      <c r="V288" s="6"/>
      <c r="W288" s="6"/>
    </row>
    <row r="289" spans="2:23">
      <c r="B289" s="233" t="s">
        <v>734</v>
      </c>
      <c r="C289" s="252">
        <v>6</v>
      </c>
      <c r="D289" s="252">
        <v>8.0000000000000004E-4</v>
      </c>
      <c r="E289" s="233" t="s">
        <v>733</v>
      </c>
      <c r="T289" s="6"/>
      <c r="U289" s="6"/>
      <c r="V289" s="6"/>
      <c r="W289" s="6"/>
    </row>
    <row r="290" spans="2:23">
      <c r="B290" s="233" t="s">
        <v>735</v>
      </c>
      <c r="C290" s="252">
        <v>9</v>
      </c>
      <c r="D290" s="252">
        <v>1.1999999999999999E-3</v>
      </c>
      <c r="E290" s="233" t="s">
        <v>733</v>
      </c>
      <c r="T290" s="6"/>
      <c r="U290" s="6"/>
      <c r="V290" s="6"/>
      <c r="W290" s="6"/>
    </row>
    <row r="291" spans="2:23">
      <c r="B291" s="233" t="s">
        <v>736</v>
      </c>
      <c r="C291" s="252">
        <v>8</v>
      </c>
      <c r="D291" s="252">
        <v>1.1000000000000001E-3</v>
      </c>
      <c r="E291" s="233" t="s">
        <v>733</v>
      </c>
      <c r="T291" s="6"/>
      <c r="U291" s="6"/>
      <c r="V291" s="6"/>
      <c r="W291" s="6"/>
    </row>
    <row r="292" spans="2:23">
      <c r="B292" s="233" t="s">
        <v>737</v>
      </c>
      <c r="C292" s="252">
        <v>22</v>
      </c>
      <c r="D292" s="252">
        <v>3.0000000000000001E-3</v>
      </c>
      <c r="E292" s="233" t="s">
        <v>733</v>
      </c>
      <c r="T292" s="6"/>
      <c r="U292" s="6"/>
      <c r="V292" s="6"/>
      <c r="W292" s="6"/>
    </row>
    <row r="293" spans="2:23">
      <c r="B293" s="233" t="s">
        <v>738</v>
      </c>
      <c r="C293" s="252">
        <v>11</v>
      </c>
      <c r="D293" s="252">
        <v>1.5E-3</v>
      </c>
      <c r="U293" s="6"/>
      <c r="V293" s="6"/>
      <c r="W293" s="6"/>
    </row>
    <row r="294" spans="2:23">
      <c r="B294" s="233" t="s">
        <v>739</v>
      </c>
      <c r="C294" s="252">
        <v>12</v>
      </c>
      <c r="D294" s="252">
        <v>1.6000000000000001E-3</v>
      </c>
      <c r="U294" s="6"/>
      <c r="V294" s="6"/>
      <c r="W294" s="6"/>
    </row>
    <row r="295" spans="2:23">
      <c r="C295" s="112"/>
      <c r="D295" s="112"/>
      <c r="U295" s="6"/>
      <c r="V295" s="6"/>
      <c r="W295" s="6"/>
    </row>
    <row r="296" spans="2:23" ht="18.75" thickBot="1">
      <c r="B296" s="87" t="s">
        <v>8</v>
      </c>
      <c r="C296" s="88"/>
      <c r="D296" s="88"/>
      <c r="E296" s="88"/>
      <c r="F296" s="88"/>
      <c r="G296" s="88"/>
      <c r="H296" s="88"/>
      <c r="I296" s="88"/>
      <c r="J296" s="88"/>
      <c r="U296" s="6"/>
      <c r="V296" s="6"/>
      <c r="W296" s="6"/>
    </row>
    <row r="297" spans="2:23">
      <c r="C297" s="112"/>
      <c r="D297" s="112"/>
      <c r="U297" s="6"/>
      <c r="V297" s="6"/>
      <c r="W297" s="6"/>
    </row>
    <row r="298" spans="2:23">
      <c r="B298" s="825" t="s">
        <v>740</v>
      </c>
      <c r="C298" s="825" t="s">
        <v>465</v>
      </c>
      <c r="D298" s="825" t="s">
        <v>741</v>
      </c>
      <c r="E298" s="825" t="s">
        <v>742</v>
      </c>
      <c r="U298" s="6"/>
      <c r="V298" s="6"/>
      <c r="W298" s="6"/>
    </row>
    <row r="299" spans="2:23">
      <c r="B299" s="825"/>
      <c r="C299" s="825"/>
      <c r="D299" s="825"/>
      <c r="E299" s="825"/>
      <c r="U299" s="6"/>
      <c r="V299" s="6"/>
      <c r="W299" s="6"/>
    </row>
    <row r="300" spans="2:23">
      <c r="B300" s="23" t="s">
        <v>743</v>
      </c>
      <c r="C300" s="111" t="s">
        <v>744</v>
      </c>
      <c r="D300" s="111">
        <v>392</v>
      </c>
      <c r="E300" s="1">
        <v>5.2699999999999997E-2</v>
      </c>
      <c r="U300" s="6"/>
      <c r="V300" s="6"/>
      <c r="W300" s="6"/>
    </row>
    <row r="301" spans="2:23">
      <c r="B301" s="23" t="s">
        <v>743</v>
      </c>
      <c r="C301" s="111" t="s">
        <v>745</v>
      </c>
      <c r="D301" s="111">
        <v>237</v>
      </c>
      <c r="E301" s="1">
        <v>3.1899999999999998E-2</v>
      </c>
      <c r="U301" s="6"/>
      <c r="V301" s="6"/>
      <c r="W301" s="6"/>
    </row>
    <row r="302" spans="2:23">
      <c r="B302" s="23"/>
      <c r="C302" s="111"/>
      <c r="D302" s="111"/>
      <c r="U302" s="6"/>
      <c r="V302" s="6"/>
      <c r="W302" s="6"/>
    </row>
    <row r="303" spans="2:23">
      <c r="B303" s="23"/>
      <c r="C303" s="111"/>
      <c r="D303" s="111"/>
      <c r="U303" s="6"/>
      <c r="V303" s="6"/>
      <c r="W303" s="6"/>
    </row>
    <row r="305" spans="2:26" ht="18.75" thickBot="1">
      <c r="B305" s="87" t="s">
        <v>746</v>
      </c>
      <c r="C305" s="88"/>
      <c r="D305" s="88"/>
      <c r="E305" s="88"/>
      <c r="F305" s="88"/>
      <c r="G305" s="88"/>
      <c r="H305" s="88"/>
      <c r="I305" s="88"/>
    </row>
    <row r="306" spans="2:26" ht="18">
      <c r="B306" s="86"/>
      <c r="J306" s="451"/>
      <c r="K306" s="451"/>
      <c r="L306" s="451"/>
      <c r="P306" s="171"/>
    </row>
    <row r="307" spans="2:26" ht="15">
      <c r="B307" s="413" t="s">
        <v>747</v>
      </c>
      <c r="I307"/>
      <c r="J307" s="539"/>
      <c r="K307" s="452"/>
      <c r="L307" s="452"/>
      <c r="P307" s="282"/>
    </row>
    <row r="308" spans="2:26">
      <c r="B308" s="138" t="s">
        <v>748</v>
      </c>
      <c r="C308" s="138" t="s">
        <v>80</v>
      </c>
      <c r="D308" s="138" t="s">
        <v>749</v>
      </c>
      <c r="E308" s="138" t="s">
        <v>750</v>
      </c>
      <c r="F308" s="537" t="s">
        <v>751</v>
      </c>
      <c r="G308" s="540" t="s">
        <v>752</v>
      </c>
      <c r="H308" s="537" t="s">
        <v>519</v>
      </c>
      <c r="J308" s="539"/>
      <c r="K308" s="453"/>
      <c r="L308" s="452"/>
      <c r="P308" s="282"/>
      <c r="X308" s="1"/>
      <c r="Y308" s="1"/>
      <c r="Z308" s="143"/>
    </row>
    <row r="309" spans="2:26">
      <c r="B309" s="541" t="s">
        <v>753</v>
      </c>
      <c r="C309" s="541" t="str">
        <f>C326</f>
        <v>Multifamily</v>
      </c>
      <c r="D309" s="542" t="str">
        <f t="shared" ref="D309:D318" si="40">CONCATENATE(C309," ",B309)</f>
        <v>Multifamily Electric Hot Water Heater, Electric Dryer</v>
      </c>
      <c r="E309" s="542">
        <v>168</v>
      </c>
      <c r="F309" s="543">
        <v>2.4E-2</v>
      </c>
      <c r="G309" s="544">
        <v>2.3400000000000001E-2</v>
      </c>
      <c r="H309" s="543">
        <f t="shared" ref="H309:H318" si="41">AVERAGE(F309,G309)</f>
        <v>2.3699999999999999E-2</v>
      </c>
      <c r="J309" s="539"/>
      <c r="K309" s="453"/>
      <c r="L309" s="452"/>
      <c r="M309"/>
      <c r="P309" s="282"/>
      <c r="X309" s="1"/>
      <c r="Y309" s="1"/>
      <c r="Z309" s="143"/>
    </row>
    <row r="310" spans="2:26">
      <c r="B310" s="541" t="s">
        <v>754</v>
      </c>
      <c r="C310" s="541" t="str">
        <f>C326</f>
        <v>Multifamily</v>
      </c>
      <c r="D310" s="542" t="str">
        <f t="shared" si="40"/>
        <v>Multifamily Electric Hot Water Heater, Gas Dryer</v>
      </c>
      <c r="E310" s="542">
        <v>56</v>
      </c>
      <c r="F310" s="543">
        <v>8.0000000000000002E-3</v>
      </c>
      <c r="G310" s="544">
        <v>8.0000000000000002E-3</v>
      </c>
      <c r="H310" s="543">
        <f t="shared" si="41"/>
        <v>8.0000000000000002E-3</v>
      </c>
      <c r="J310" s="539"/>
      <c r="K310" s="453"/>
      <c r="L310" s="452"/>
      <c r="P310" s="282"/>
      <c r="X310" s="1"/>
      <c r="Y310" s="1"/>
      <c r="Z310" s="143"/>
    </row>
    <row r="311" spans="2:26">
      <c r="B311" s="541" t="s">
        <v>755</v>
      </c>
      <c r="C311" s="541" t="str">
        <f>C326</f>
        <v>Multifamily</v>
      </c>
      <c r="D311" s="542" t="str">
        <f t="shared" si="40"/>
        <v>Multifamily Gas Hot Water Heater, Electric Dryer</v>
      </c>
      <c r="E311" s="542">
        <v>112</v>
      </c>
      <c r="F311" s="544">
        <v>1.6E-2</v>
      </c>
      <c r="G311" s="544">
        <v>1.6E-2</v>
      </c>
      <c r="H311" s="543">
        <f t="shared" si="41"/>
        <v>1.6E-2</v>
      </c>
      <c r="J311" s="539"/>
      <c r="K311" s="453"/>
      <c r="L311" s="452"/>
      <c r="P311" s="282"/>
      <c r="X311" s="1"/>
      <c r="Y311" s="1"/>
      <c r="Z311" s="143"/>
    </row>
    <row r="312" spans="2:26">
      <c r="B312" s="541" t="s">
        <v>756</v>
      </c>
      <c r="C312" s="541" t="str">
        <f>C326</f>
        <v>Multifamily</v>
      </c>
      <c r="D312" s="542" t="str">
        <f t="shared" si="40"/>
        <v>Multifamily Gas Hot Water Heater, Gas Dryer</v>
      </c>
      <c r="E312" s="542">
        <v>0</v>
      </c>
      <c r="F312" s="545">
        <v>0</v>
      </c>
      <c r="G312" s="544">
        <v>0</v>
      </c>
      <c r="H312" s="543">
        <f t="shared" si="41"/>
        <v>0</v>
      </c>
      <c r="J312" s="539"/>
      <c r="K312" s="453"/>
      <c r="L312" s="452"/>
      <c r="P312" s="282"/>
      <c r="X312" s="1"/>
      <c r="Y312" s="1"/>
      <c r="Z312" s="143"/>
    </row>
    <row r="313" spans="2:26">
      <c r="B313" s="541" t="s">
        <v>757</v>
      </c>
      <c r="C313" s="541" t="str">
        <f>C326</f>
        <v>Multifamily</v>
      </c>
      <c r="D313" s="542" t="str">
        <f t="shared" si="40"/>
        <v>Multifamily Default (49% Electric WH 57% Electric Dryer)</v>
      </c>
      <c r="E313" s="542">
        <v>91.23</v>
      </c>
      <c r="F313" s="543">
        <v>1.2999999999999999E-2</v>
      </c>
      <c r="G313" s="544">
        <v>1.2999999999999999E-2</v>
      </c>
      <c r="H313" s="543">
        <f t="shared" si="41"/>
        <v>1.2999999999999999E-2</v>
      </c>
      <c r="J313" s="539"/>
      <c r="K313" s="453"/>
      <c r="L313" s="452"/>
      <c r="P313" s="282"/>
      <c r="X313" s="1"/>
      <c r="Z313" s="143"/>
    </row>
    <row r="314" spans="2:26">
      <c r="B314" s="541" t="s">
        <v>753</v>
      </c>
      <c r="C314" s="541" t="str">
        <f>C327</f>
        <v>Laundromat</v>
      </c>
      <c r="D314" s="542" t="str">
        <f t="shared" si="40"/>
        <v>Laundromat Electric Hot Water Heater, Electric Dryer</v>
      </c>
      <c r="E314" s="542">
        <v>232</v>
      </c>
      <c r="F314" s="543">
        <v>3.4000000000000002E-2</v>
      </c>
      <c r="G314" s="544">
        <v>3.3000000000000002E-2</v>
      </c>
      <c r="H314" s="543">
        <f t="shared" si="41"/>
        <v>3.3500000000000002E-2</v>
      </c>
      <c r="J314" s="539"/>
      <c r="K314" s="453"/>
      <c r="L314" s="452"/>
      <c r="P314" s="282"/>
      <c r="X314" s="1"/>
      <c r="Z314" s="143"/>
    </row>
    <row r="315" spans="2:26">
      <c r="B315" s="541" t="s">
        <v>754</v>
      </c>
      <c r="C315" s="541" t="str">
        <f>C327</f>
        <v>Laundromat</v>
      </c>
      <c r="D315" s="542" t="str">
        <f t="shared" si="40"/>
        <v>Laundromat Electric Hot Water Heater, Gas Dryer</v>
      </c>
      <c r="E315" s="542">
        <v>77</v>
      </c>
      <c r="F315" s="543">
        <v>1.0999999999999999E-2</v>
      </c>
      <c r="G315" s="544">
        <v>1.0999999999999999E-2</v>
      </c>
      <c r="H315" s="543">
        <f t="shared" si="41"/>
        <v>1.0999999999999999E-2</v>
      </c>
      <c r="J315" s="173"/>
      <c r="K315" s="454"/>
      <c r="L315" s="451"/>
      <c r="P315" s="282"/>
      <c r="X315" s="1"/>
      <c r="Z315" s="143"/>
    </row>
    <row r="316" spans="2:26">
      <c r="B316" s="541" t="s">
        <v>755</v>
      </c>
      <c r="C316" s="541" t="str">
        <f>C327</f>
        <v>Laundromat</v>
      </c>
      <c r="D316" s="542" t="str">
        <f t="shared" si="40"/>
        <v>Laundromat Gas Hot Water Heater, Electric Dryer</v>
      </c>
      <c r="E316" s="542">
        <v>154</v>
      </c>
      <c r="F316" s="544">
        <v>2.1999999999999999E-2</v>
      </c>
      <c r="G316" s="544">
        <v>2.1999999999999999E-2</v>
      </c>
      <c r="H316" s="543">
        <f t="shared" si="41"/>
        <v>2.1999999999999999E-2</v>
      </c>
      <c r="J316" s="173"/>
      <c r="K316" s="454"/>
      <c r="L316" s="451"/>
      <c r="X316" s="1"/>
      <c r="Z316" s="143"/>
    </row>
    <row r="317" spans="2:26">
      <c r="B317" s="541" t="s">
        <v>756</v>
      </c>
      <c r="C317" s="541" t="str">
        <f>C327</f>
        <v>Laundromat</v>
      </c>
      <c r="D317" s="542" t="str">
        <f t="shared" si="40"/>
        <v>Laundromat Gas Hot Water Heater, Gas Dryer</v>
      </c>
      <c r="E317" s="542">
        <v>0</v>
      </c>
      <c r="F317" s="544">
        <v>0</v>
      </c>
      <c r="G317" s="544">
        <v>0</v>
      </c>
      <c r="H317" s="543">
        <f t="shared" si="41"/>
        <v>0</v>
      </c>
      <c r="J317" s="173"/>
      <c r="K317" s="454"/>
      <c r="L317" s="451"/>
      <c r="P317" s="282"/>
      <c r="X317" s="1"/>
      <c r="Z317" s="143"/>
    </row>
    <row r="318" spans="2:26" ht="12.95" customHeight="1">
      <c r="B318" s="541" t="s">
        <v>757</v>
      </c>
      <c r="C318" s="541" t="str">
        <f>C327</f>
        <v>Laundromat</v>
      </c>
      <c r="D318" s="542" t="str">
        <f t="shared" si="40"/>
        <v>Laundromat Default (49% Electric WH 57% Electric Dryer)</v>
      </c>
      <c r="E318" s="542">
        <v>125.97</v>
      </c>
      <c r="F318" s="544">
        <v>1.7999999999999999E-2</v>
      </c>
      <c r="G318" s="544">
        <v>1.7999999999999999E-2</v>
      </c>
      <c r="H318" s="543">
        <f t="shared" si="41"/>
        <v>1.7999999999999999E-2</v>
      </c>
      <c r="J318" s="173"/>
      <c r="K318" s="454"/>
      <c r="L318" s="451"/>
      <c r="P318" s="282"/>
      <c r="X318" s="1"/>
      <c r="Z318" s="143"/>
    </row>
    <row r="319" spans="2:26" ht="14.25" customHeight="1">
      <c r="J319" s="539"/>
      <c r="K319" s="453"/>
      <c r="L319" s="452"/>
      <c r="P319" s="283"/>
      <c r="W319" s="6"/>
    </row>
    <row r="320" spans="2:26">
      <c r="J320" s="539"/>
      <c r="K320" s="453"/>
      <c r="L320" s="452"/>
      <c r="P320" s="283"/>
      <c r="W320" s="6"/>
    </row>
    <row r="321" spans="2:32">
      <c r="P321" s="283"/>
      <c r="W321" s="6"/>
    </row>
    <row r="322" spans="2:32">
      <c r="W322" s="6"/>
    </row>
    <row r="323" spans="2:32">
      <c r="T323" s="6"/>
      <c r="U323" s="143"/>
      <c r="V323" s="6"/>
      <c r="W323" s="6"/>
      <c r="X323" s="6"/>
    </row>
    <row r="324" spans="2:32" ht="15">
      <c r="B324" s="413" t="s">
        <v>382</v>
      </c>
      <c r="T324" s="6"/>
      <c r="U324" s="143"/>
      <c r="V324" s="6"/>
      <c r="W324" s="6"/>
      <c r="X324" s="6"/>
    </row>
    <row r="325" spans="2:32" ht="15">
      <c r="B325" s="253" t="s">
        <v>758</v>
      </c>
      <c r="C325" s="253" t="s">
        <v>759</v>
      </c>
      <c r="D325" s="253" t="s">
        <v>760</v>
      </c>
      <c r="E325" s="455" t="s">
        <v>761</v>
      </c>
      <c r="F325" s="253" t="s">
        <v>439</v>
      </c>
      <c r="G325" s="546" t="s">
        <v>123</v>
      </c>
      <c r="H325" s="253" t="s">
        <v>440</v>
      </c>
      <c r="I325" s="253" t="s">
        <v>441</v>
      </c>
      <c r="J325" s="253" t="s">
        <v>121</v>
      </c>
      <c r="K325" s="456"/>
      <c r="X325" s="1"/>
      <c r="Y325" s="1"/>
      <c r="Z325" s="1"/>
      <c r="AB325" s="143"/>
    </row>
    <row r="326" spans="2:32">
      <c r="B326" s="254" t="s">
        <v>762</v>
      </c>
      <c r="C326" s="547" t="s">
        <v>763</v>
      </c>
      <c r="D326" s="548" t="str">
        <f>IF(AND('ENERGY STAR Clothes Washer'!E8=Calculations!$B$328,'ENERGY STAR Clothes Washer'!G8=Calculations!$B$328),CONCATENATE('ENERGY STAR Clothes Washer'!D8," ",Calculations!$B$328),IF('ENERGY STAR Clothes Washer'!F8="","",CONCATENATE('ENERGY STAR Clothes Washer'!D8," ",'ENERGY STAR Clothes Washer'!E8," Hot Water Heater",", ",'ENERGY STAR Clothes Washer'!G8," Dryer")))</f>
        <v/>
      </c>
      <c r="E326" s="549" t="str">
        <f>IF(D326="","",CONCATENATE('ENERGY STAR Clothes Washer'!E8," Hot Water Heater",", ",'ENERGY STAR Clothes Washer'!G8," Dryer"))</f>
        <v/>
      </c>
      <c r="F326" s="550">
        <f>'ENERGY STAR Clothes Washer'!F8</f>
        <v>0</v>
      </c>
      <c r="G326" s="551" t="e">
        <f>VLOOKUP(D326,D309:E318,2,FALSE)*F326</f>
        <v>#N/A</v>
      </c>
      <c r="H326" s="552" t="e">
        <f>VLOOKUP(D326,D309:F318,3,FALSE)*F326</f>
        <v>#N/A</v>
      </c>
      <c r="I326" s="553" t="e">
        <f>VLOOKUP(D326,D309:G318,4,FALSE)*F326</f>
        <v>#N/A</v>
      </c>
      <c r="J326" s="554" t="e">
        <f>AVERAGE(H326:I326)</f>
        <v>#N/A</v>
      </c>
      <c r="K326" s="457"/>
      <c r="X326" s="1"/>
      <c r="Y326" s="1"/>
      <c r="Z326" s="1"/>
      <c r="AB326" s="143"/>
    </row>
    <row r="327" spans="2:32">
      <c r="B327" s="254" t="s">
        <v>764</v>
      </c>
      <c r="C327" s="555" t="s">
        <v>765</v>
      </c>
      <c r="D327" s="548" t="str">
        <f>IF(AND('ENERGY STAR Clothes Washer'!E9=Calculations!$B$328,'ENERGY STAR Clothes Washer'!G9=Calculations!$B$328),CONCATENATE('ENERGY STAR Clothes Washer'!D9," ",Calculations!$B$328),IF('ENERGY STAR Clothes Washer'!F9="","",CONCATENATE('ENERGY STAR Clothes Washer'!D9," ",'ENERGY STAR Clothes Washer'!E9," Hot Water Heater",", ",'ENERGY STAR Clothes Washer'!G9," Dryer")))</f>
        <v/>
      </c>
      <c r="E327" s="556" t="str">
        <f>IF(D327="","",CONCATENATE('ENERGY STAR Clothes Washer'!E9," Hot Water Heater",", ",'ENERGY STAR Clothes Washer'!G9," Dryer"))</f>
        <v/>
      </c>
      <c r="F327" s="550">
        <f>'ENERGY STAR Clothes Washer'!F9</f>
        <v>0</v>
      </c>
      <c r="G327" s="551" t="e">
        <f>VLOOKUP(D327,D310:E319,2,FALSE)*F327</f>
        <v>#N/A</v>
      </c>
      <c r="H327" s="552" t="e">
        <f>VLOOKUP(D327,D310:F319,3,FALSE)*F327</f>
        <v>#N/A</v>
      </c>
      <c r="I327" s="553" t="e">
        <f>VLOOKUP(D327,D310:G319,4,FALSE)*F327</f>
        <v>#N/A</v>
      </c>
      <c r="J327" s="554" t="e">
        <f>AVERAGE(H327:I327)</f>
        <v>#N/A</v>
      </c>
      <c r="K327" s="457"/>
      <c r="X327" s="1"/>
      <c r="Y327" s="1"/>
      <c r="Z327" s="1"/>
      <c r="AA327" s="1"/>
      <c r="AC327" s="143"/>
    </row>
    <row r="328" spans="2:32">
      <c r="B328" s="247" t="s">
        <v>757</v>
      </c>
      <c r="D328" s="548" t="str">
        <f>IF(AND('ENERGY STAR Clothes Washer'!E10=Calculations!$B$328,'ENERGY STAR Clothes Washer'!G10=Calculations!$B$328),CONCATENATE('ENERGY STAR Clothes Washer'!D10," ",Calculations!$B$328),IF('ENERGY STAR Clothes Washer'!F10="","",CONCATENATE('ENERGY STAR Clothes Washer'!D10," ",'ENERGY STAR Clothes Washer'!E10," Hot Water Heater",", ",'ENERGY STAR Clothes Washer'!G10," Dryer")))</f>
        <v/>
      </c>
      <c r="E328" s="556" t="str">
        <f>IF(D328="","",CONCATENATE('ENERGY STAR Clothes Washer'!E10," Hot Water Heater",", ",'ENERGY STAR Clothes Washer'!G10," Dryer"))</f>
        <v/>
      </c>
      <c r="F328" s="550">
        <f>'ENERGY STAR Clothes Washer'!F10</f>
        <v>0</v>
      </c>
      <c r="G328" s="551" t="e">
        <f>VLOOKUP(D328,D311:E320,2,FALSE)*F328</f>
        <v>#N/A</v>
      </c>
      <c r="H328" s="552" t="e">
        <f>VLOOKUP(D328,D311:F320,3,FALSE)*F328</f>
        <v>#N/A</v>
      </c>
      <c r="I328" s="553" t="e">
        <f>VLOOKUP(D328,D311:G320,4,FALSE)*F328</f>
        <v>#N/A</v>
      </c>
      <c r="J328" s="554" t="e">
        <f>AVERAGE(H328:I328)</f>
        <v>#N/A</v>
      </c>
      <c r="K328" s="457"/>
      <c r="X328" s="1"/>
      <c r="Y328" s="1"/>
      <c r="Z328" s="1"/>
      <c r="AB328" s="143"/>
    </row>
    <row r="329" spans="2:32">
      <c r="D329" s="548" t="str">
        <f>IF(AND('ENERGY STAR Clothes Washer'!E11=Calculations!$B$328,'ENERGY STAR Clothes Washer'!G11=Calculations!$B$328),CONCATENATE('ENERGY STAR Clothes Washer'!D11," ",Calculations!$B$328),IF('ENERGY STAR Clothes Washer'!F11="","",CONCATENATE('ENERGY STAR Clothes Washer'!D11," ",'ENERGY STAR Clothes Washer'!E11," Hot Water Heater",", ",'ENERGY STAR Clothes Washer'!G11," Dryer")))</f>
        <v/>
      </c>
      <c r="E329" s="556" t="str">
        <f>IF(D329="","",CONCATENATE('ENERGY STAR Clothes Washer'!E11," Hot Water Heater",", ",'ENERGY STAR Clothes Washer'!G11," Dryer"))</f>
        <v/>
      </c>
      <c r="F329" s="550">
        <f>'ENERGY STAR Clothes Washer'!F11</f>
        <v>0</v>
      </c>
      <c r="G329" s="551" t="e">
        <f>VLOOKUP(D329,D312:E321,2,FALSE)*F329</f>
        <v>#N/A</v>
      </c>
      <c r="H329" s="552" t="e">
        <f>VLOOKUP(D329,D312:F321,3,FALSE)*F329</f>
        <v>#N/A</v>
      </c>
      <c r="I329" s="553" t="e">
        <f>VLOOKUP(D329,D312:G321,4,FALSE)*F329</f>
        <v>#N/A</v>
      </c>
      <c r="J329" s="554" t="e">
        <f>AVERAGE(H329:I329)</f>
        <v>#N/A</v>
      </c>
      <c r="K329" s="457"/>
      <c r="P329" s="6"/>
      <c r="Q329" s="6"/>
      <c r="R329" s="6"/>
      <c r="S329" s="6"/>
      <c r="T329" s="6"/>
      <c r="U329" s="6"/>
      <c r="V329" s="6"/>
      <c r="W329" s="6"/>
      <c r="X329" s="6"/>
    </row>
    <row r="330" spans="2:32">
      <c r="Q330" s="6"/>
      <c r="R330" s="143"/>
      <c r="S330" s="6"/>
      <c r="T330" s="6"/>
      <c r="U330" s="6"/>
      <c r="V330" s="6"/>
      <c r="W330" s="6"/>
      <c r="X330" s="6"/>
    </row>
    <row r="331" spans="2:32">
      <c r="D331"/>
      <c r="E331" s="286"/>
      <c r="T331" s="6"/>
      <c r="U331" s="143"/>
      <c r="V331" s="6"/>
      <c r="W331" s="6"/>
      <c r="X331" s="6"/>
    </row>
    <row r="332" spans="2:32">
      <c r="D332" s="286"/>
      <c r="F332" s="286"/>
      <c r="G332" s="144"/>
      <c r="H332" s="144"/>
      <c r="I332" s="144"/>
      <c r="X332" s="1"/>
      <c r="Y332" s="1"/>
      <c r="Z332" s="143"/>
      <c r="AA332" s="1"/>
      <c r="AB332" s="1"/>
      <c r="AC332" s="1"/>
      <c r="AD332" s="1"/>
      <c r="AE332" s="1"/>
    </row>
    <row r="333" spans="2:32">
      <c r="C333" s="286"/>
      <c r="D333" s="286"/>
      <c r="E333" s="286"/>
      <c r="F333" s="286"/>
      <c r="G333" s="144"/>
      <c r="H333" s="144"/>
      <c r="I333" s="144"/>
      <c r="X333" s="1"/>
      <c r="Y333" s="1"/>
      <c r="Z333" s="143"/>
      <c r="AA333" s="1"/>
      <c r="AB333" s="1"/>
      <c r="AC333" s="1"/>
      <c r="AD333" s="1"/>
      <c r="AE333" s="1"/>
      <c r="AF333" s="1"/>
    </row>
    <row r="334" spans="2:32" ht="18.75" thickBot="1">
      <c r="B334" s="431" t="s">
        <v>766</v>
      </c>
      <c r="C334" s="88"/>
      <c r="D334" s="88"/>
      <c r="E334" s="88"/>
      <c r="F334" s="88"/>
      <c r="G334" s="88"/>
      <c r="H334" s="88"/>
      <c r="I334" s="88"/>
      <c r="J334" s="88"/>
      <c r="X334" s="1"/>
      <c r="Y334" s="1"/>
      <c r="Z334" s="143"/>
      <c r="AA334" s="1"/>
      <c r="AB334" s="1"/>
      <c r="AC334" s="1"/>
      <c r="AD334" s="1"/>
      <c r="AE334" s="1"/>
      <c r="AF334" s="1"/>
    </row>
    <row r="335" spans="2:32" ht="18">
      <c r="B335" s="429"/>
      <c r="X335" s="1"/>
      <c r="Y335" s="1"/>
      <c r="Z335" s="143"/>
      <c r="AA335" s="1"/>
      <c r="AB335" s="1"/>
      <c r="AC335" s="1"/>
      <c r="AD335" s="1"/>
      <c r="AE335" s="1"/>
      <c r="AF335" s="1"/>
    </row>
    <row r="336" spans="2:32" ht="19.5">
      <c r="B336" s="7" t="s">
        <v>366</v>
      </c>
      <c r="F336" s="7" t="s">
        <v>767</v>
      </c>
      <c r="X336" s="1"/>
      <c r="Y336" s="1"/>
      <c r="Z336" s="143"/>
      <c r="AA336" s="1"/>
      <c r="AB336" s="1"/>
      <c r="AC336" s="1"/>
      <c r="AD336" s="1"/>
      <c r="AE336" s="1"/>
      <c r="AF336" s="1"/>
    </row>
    <row r="337" spans="2:73">
      <c r="B337" s="224" t="s">
        <v>377</v>
      </c>
      <c r="C337" s="224">
        <v>365</v>
      </c>
      <c r="D337" s="224" t="s">
        <v>378</v>
      </c>
      <c r="F337" s="224" t="s">
        <v>768</v>
      </c>
      <c r="G337" s="224">
        <v>70</v>
      </c>
      <c r="X337" s="1"/>
      <c r="Y337" s="1"/>
      <c r="Z337" s="143"/>
      <c r="AA337" s="1"/>
      <c r="AB337" s="1"/>
      <c r="AC337" s="1"/>
      <c r="AD337" s="1"/>
      <c r="AE337" s="1"/>
      <c r="AF337" s="1"/>
    </row>
    <row r="338" spans="2:73">
      <c r="B338" s="224" t="s">
        <v>396</v>
      </c>
      <c r="C338" s="224">
        <v>18</v>
      </c>
      <c r="D338" s="224" t="s">
        <v>683</v>
      </c>
      <c r="F338" s="224" t="s">
        <v>769</v>
      </c>
      <c r="G338" s="224">
        <v>40</v>
      </c>
      <c r="X338" s="1"/>
      <c r="Y338" s="1"/>
      <c r="Z338" s="143"/>
      <c r="AA338" s="1"/>
      <c r="AB338" s="1"/>
      <c r="AC338" s="1"/>
      <c r="AD338" s="1"/>
      <c r="AE338" s="1"/>
      <c r="AF338" s="1"/>
    </row>
    <row r="339" spans="2:73">
      <c r="B339" s="224" t="s">
        <v>770</v>
      </c>
      <c r="C339" s="224">
        <v>0.98</v>
      </c>
      <c r="D339" s="224"/>
      <c r="X339" s="1"/>
      <c r="Y339" s="1"/>
      <c r="Z339" s="143"/>
      <c r="AA339" s="1"/>
      <c r="AB339" s="1"/>
      <c r="AC339" s="1"/>
      <c r="AD339" s="1"/>
      <c r="AE339" s="1"/>
      <c r="AF339" s="1"/>
    </row>
    <row r="340" spans="2:73">
      <c r="B340" s="224" t="s">
        <v>771</v>
      </c>
      <c r="C340" s="224">
        <v>8.2070000000000007</v>
      </c>
      <c r="D340" s="224" t="s">
        <v>772</v>
      </c>
      <c r="X340" s="1"/>
      <c r="Y340" s="1"/>
      <c r="Z340" s="143"/>
      <c r="AA340" s="1"/>
      <c r="AB340" s="1"/>
      <c r="AC340" s="1"/>
      <c r="AD340" s="1"/>
      <c r="AE340" s="1"/>
      <c r="AF340" s="1"/>
    </row>
    <row r="341" spans="2:73">
      <c r="B341" s="224" t="s">
        <v>773</v>
      </c>
      <c r="C341" s="224">
        <v>1</v>
      </c>
      <c r="D341" s="224" t="s">
        <v>774</v>
      </c>
      <c r="X341" s="1"/>
      <c r="Y341" s="1"/>
      <c r="Z341" s="143"/>
      <c r="AA341" s="1"/>
      <c r="AB341" s="1"/>
      <c r="AC341" s="1"/>
      <c r="AD341" s="1"/>
      <c r="AE341" s="1"/>
      <c r="AF341" s="1"/>
    </row>
    <row r="342" spans="2:73">
      <c r="B342" s="224" t="s">
        <v>775</v>
      </c>
      <c r="C342" s="224">
        <v>3412</v>
      </c>
      <c r="D342" s="224" t="s">
        <v>776</v>
      </c>
      <c r="X342" s="1"/>
      <c r="Y342" s="1"/>
      <c r="Z342" s="143"/>
      <c r="AA342" s="1"/>
      <c r="AB342" s="1"/>
      <c r="AC342" s="1"/>
      <c r="AD342" s="1"/>
      <c r="AE342" s="1"/>
      <c r="AF342" s="1"/>
    </row>
    <row r="343" spans="2:73">
      <c r="B343" s="224" t="s">
        <v>777</v>
      </c>
      <c r="C343" s="224">
        <v>60</v>
      </c>
      <c r="D343" s="224" t="s">
        <v>778</v>
      </c>
      <c r="X343" s="1"/>
      <c r="Y343" s="1"/>
      <c r="Z343" s="143"/>
      <c r="AA343" s="1"/>
      <c r="AB343" s="1"/>
      <c r="AC343" s="1"/>
      <c r="AD343" s="1"/>
      <c r="AE343" s="1"/>
      <c r="AF343" s="1"/>
    </row>
    <row r="344" spans="2:73">
      <c r="B344" s="224" t="s">
        <v>401</v>
      </c>
      <c r="C344" s="224">
        <v>1.863E-4</v>
      </c>
      <c r="D344" s="224" t="s">
        <v>380</v>
      </c>
      <c r="X344" s="1"/>
      <c r="Y344" s="1"/>
      <c r="Z344" s="143"/>
      <c r="AA344" s="1"/>
      <c r="AB344" s="1"/>
      <c r="AC344" s="1"/>
      <c r="AD344" s="1"/>
      <c r="AE344" s="1"/>
      <c r="AF344" s="1"/>
    </row>
    <row r="345" spans="2:73">
      <c r="B345" s="224" t="s">
        <v>402</v>
      </c>
      <c r="C345" s="224">
        <v>1.192E-4</v>
      </c>
      <c r="D345" s="224" t="s">
        <v>380</v>
      </c>
      <c r="X345" s="1"/>
      <c r="Y345" s="1"/>
      <c r="Z345" s="143"/>
      <c r="AA345" s="1"/>
      <c r="AB345" s="1"/>
      <c r="AC345" s="1"/>
      <c r="AD345" s="1"/>
      <c r="AE345" s="1"/>
      <c r="AF345" s="1"/>
    </row>
    <row r="346" spans="2:73">
      <c r="X346" s="1"/>
      <c r="Y346" s="1"/>
      <c r="Z346" s="143"/>
      <c r="AA346" s="1"/>
      <c r="AB346" s="1"/>
      <c r="AC346" s="1"/>
      <c r="AD346" s="1"/>
      <c r="AE346" s="1"/>
      <c r="AF346" s="1"/>
    </row>
    <row r="347" spans="2:73">
      <c r="X347" s="1"/>
      <c r="Y347" s="1"/>
      <c r="Z347" s="143"/>
      <c r="AA347" s="1"/>
      <c r="AB347" s="1"/>
      <c r="AC347" s="1"/>
      <c r="AD347" s="1"/>
      <c r="AE347" s="1"/>
      <c r="AF347" s="1"/>
    </row>
    <row r="348" spans="2:73">
      <c r="X348" s="1"/>
      <c r="Y348" s="1"/>
      <c r="Z348" s="143"/>
      <c r="AA348" s="1"/>
      <c r="AB348" s="1"/>
      <c r="AC348" s="1"/>
      <c r="AD348" s="1"/>
      <c r="AE348" s="1"/>
      <c r="AF348" s="1"/>
    </row>
    <row r="349" spans="2:73" ht="18.75" thickBot="1">
      <c r="B349" s="7" t="s">
        <v>779</v>
      </c>
      <c r="X349" s="1"/>
      <c r="Y349" s="1"/>
      <c r="Z349" s="143"/>
      <c r="AA349" s="1"/>
      <c r="AB349" s="1"/>
      <c r="AC349" s="1"/>
      <c r="AD349" s="1"/>
      <c r="AE349" s="1"/>
      <c r="AF349" s="1"/>
    </row>
    <row r="350" spans="2:73" ht="19.5" thickBot="1">
      <c r="B350" s="205" t="s">
        <v>780</v>
      </c>
      <c r="C350" s="206" t="s">
        <v>781</v>
      </c>
      <c r="D350" s="206" t="s">
        <v>749</v>
      </c>
      <c r="E350" s="206" t="s">
        <v>782</v>
      </c>
      <c r="F350" s="206" t="s">
        <v>783</v>
      </c>
      <c r="G350" s="206" t="s">
        <v>784</v>
      </c>
      <c r="H350" s="207" t="s">
        <v>785</v>
      </c>
      <c r="I350" s="206" t="s">
        <v>786</v>
      </c>
      <c r="J350" s="557" t="s">
        <v>787</v>
      </c>
      <c r="X350" s="1"/>
      <c r="Y350" s="1"/>
      <c r="Z350" s="143"/>
      <c r="AA350" s="1"/>
      <c r="AB350" s="1"/>
      <c r="AC350" s="1"/>
      <c r="AD350" s="1"/>
      <c r="AE350" s="1"/>
      <c r="AF350" s="1"/>
    </row>
    <row r="351" spans="2:73">
      <c r="B351" s="189" t="str">
        <f>$M$359</f>
        <v>Low Temperature</v>
      </c>
      <c r="C351" s="558" t="s">
        <v>788</v>
      </c>
      <c r="D351" s="558" t="str">
        <f t="shared" ref="D351:D359" si="42">_xlfn.CONCAT(B351," ", C351)</f>
        <v>Low Temperature Under Counter</v>
      </c>
      <c r="E351" s="559">
        <v>1.73</v>
      </c>
      <c r="F351" s="559">
        <v>1.19</v>
      </c>
      <c r="G351" s="559">
        <v>75</v>
      </c>
      <c r="H351" s="559">
        <v>2</v>
      </c>
      <c r="I351" s="559">
        <v>0.5</v>
      </c>
      <c r="J351" s="560">
        <v>0.25</v>
      </c>
      <c r="X351" s="1"/>
      <c r="Y351" s="1"/>
      <c r="Z351" s="143"/>
      <c r="AA351" s="1"/>
      <c r="AB351" s="1"/>
      <c r="AC351" s="1"/>
      <c r="AD351" s="1"/>
      <c r="AE351" s="1"/>
      <c r="AF351" s="1"/>
      <c r="BF351" s="285"/>
      <c r="BG351" s="1"/>
      <c r="BH351" s="1"/>
      <c r="BI351" s="1"/>
      <c r="BL351" s="1"/>
      <c r="BM351" s="1"/>
      <c r="BN351" s="1"/>
      <c r="BO351" s="1"/>
      <c r="BP351" s="1"/>
      <c r="BQ351" s="1"/>
      <c r="BR351" s="1"/>
      <c r="BS351" s="1"/>
      <c r="BU351" s="143"/>
    </row>
    <row r="352" spans="2:73">
      <c r="B352" s="193" t="str">
        <f>$M$359</f>
        <v>Low Temperature</v>
      </c>
      <c r="C352" s="561" t="s">
        <v>789</v>
      </c>
      <c r="D352" s="561" t="str">
        <f t="shared" si="42"/>
        <v>Low Temperature Stationary Single Tank Door</v>
      </c>
      <c r="E352" s="477">
        <v>2.1</v>
      </c>
      <c r="F352" s="477">
        <v>1.18</v>
      </c>
      <c r="G352" s="477">
        <v>280</v>
      </c>
      <c r="H352" s="477">
        <v>1.5</v>
      </c>
      <c r="I352" s="477">
        <v>0.6</v>
      </c>
      <c r="J352" s="562">
        <v>0.3</v>
      </c>
      <c r="X352" s="1"/>
      <c r="Y352" s="1"/>
      <c r="Z352" s="143"/>
      <c r="AA352" s="1"/>
      <c r="AB352" s="1"/>
      <c r="AC352" s="1"/>
      <c r="AD352" s="1"/>
      <c r="AE352" s="1"/>
      <c r="AF352" s="1"/>
      <c r="BD352" s="285"/>
      <c r="BE352" s="285"/>
      <c r="BJ352" s="1"/>
      <c r="BK352" s="1"/>
    </row>
    <row r="353" spans="2:55">
      <c r="B353" s="193" t="str">
        <f>$M$359</f>
        <v>Low Temperature</v>
      </c>
      <c r="C353" s="254" t="s">
        <v>790</v>
      </c>
      <c r="D353" s="561" t="str">
        <f t="shared" si="42"/>
        <v>Low Temperature Single Tank Conveyor</v>
      </c>
      <c r="E353" s="477">
        <v>1.31</v>
      </c>
      <c r="F353" s="477">
        <v>0.79</v>
      </c>
      <c r="G353" s="477">
        <v>400</v>
      </c>
      <c r="H353" s="477">
        <v>0.3</v>
      </c>
      <c r="I353" s="477">
        <v>1.6</v>
      </c>
      <c r="J353" s="562">
        <v>0.85</v>
      </c>
      <c r="X353" s="1"/>
      <c r="Y353" s="1"/>
      <c r="Z353" s="143"/>
      <c r="AA353" s="1"/>
      <c r="AB353" s="1"/>
      <c r="AC353" s="1"/>
      <c r="AD353" s="1"/>
      <c r="AE353" s="1"/>
      <c r="AF353" s="1"/>
    </row>
    <row r="354" spans="2:55" ht="15" thickBot="1">
      <c r="B354" s="194" t="str">
        <f>$M$359</f>
        <v>Low Temperature</v>
      </c>
      <c r="C354" s="195" t="s">
        <v>791</v>
      </c>
      <c r="D354" s="563" t="str">
        <f t="shared" si="42"/>
        <v>Low Temperature Multi Tank Conveyor</v>
      </c>
      <c r="E354" s="564">
        <v>1.04</v>
      </c>
      <c r="F354" s="564">
        <v>0.54</v>
      </c>
      <c r="G354" s="564">
        <v>600</v>
      </c>
      <c r="H354" s="564">
        <v>0.3</v>
      </c>
      <c r="I354" s="564">
        <v>2</v>
      </c>
      <c r="J354" s="565">
        <v>1</v>
      </c>
      <c r="X354" s="1"/>
      <c r="Y354" s="1"/>
      <c r="Z354" s="143"/>
      <c r="AA354" s="1"/>
      <c r="AB354" s="1"/>
      <c r="AC354" s="1"/>
      <c r="AD354" s="1"/>
      <c r="AE354" s="1"/>
      <c r="AF354" s="1"/>
    </row>
    <row r="355" spans="2:55">
      <c r="B355" s="198" t="str">
        <f>$M$360</f>
        <v>High Temperature</v>
      </c>
      <c r="C355" s="199" t="s">
        <v>788</v>
      </c>
      <c r="D355" s="558" t="str">
        <f t="shared" si="42"/>
        <v>High Temperature Under Counter</v>
      </c>
      <c r="E355" s="559">
        <v>1.0900000000000001</v>
      </c>
      <c r="F355" s="559">
        <v>0.86</v>
      </c>
      <c r="G355" s="559">
        <v>75</v>
      </c>
      <c r="H355" s="559">
        <v>2</v>
      </c>
      <c r="I355" s="559">
        <v>0.76</v>
      </c>
      <c r="J355" s="560">
        <v>0.3</v>
      </c>
      <c r="X355" s="1"/>
      <c r="Y355" s="1"/>
      <c r="Z355" s="143"/>
      <c r="AA355" s="1"/>
      <c r="AB355" s="1"/>
      <c r="AC355" s="1"/>
      <c r="AD355" s="1"/>
      <c r="AE355" s="1"/>
      <c r="AF355" s="1"/>
    </row>
    <row r="356" spans="2:55">
      <c r="B356" s="200" t="str">
        <f>$M$360</f>
        <v>High Temperature</v>
      </c>
      <c r="C356" s="254" t="s">
        <v>789</v>
      </c>
      <c r="D356" s="561" t="str">
        <f t="shared" si="42"/>
        <v>High Temperature Stationary Single Tank Door</v>
      </c>
      <c r="E356" s="477">
        <v>1.29</v>
      </c>
      <c r="F356" s="477">
        <v>0.89</v>
      </c>
      <c r="G356" s="477">
        <v>280</v>
      </c>
      <c r="H356" s="477">
        <v>1</v>
      </c>
      <c r="I356" s="477">
        <v>0.87</v>
      </c>
      <c r="J356" s="562">
        <v>0.55000000000000004</v>
      </c>
      <c r="Q356" s="1" t="s">
        <v>792</v>
      </c>
      <c r="X356" s="1"/>
      <c r="Y356" s="1"/>
      <c r="Z356" s="143"/>
      <c r="AA356" s="1"/>
      <c r="AB356" s="1"/>
      <c r="AC356" s="1"/>
      <c r="AD356" s="1"/>
      <c r="AE356" s="1"/>
      <c r="AF356" s="1"/>
    </row>
    <row r="357" spans="2:55" ht="18">
      <c r="B357" s="200" t="str">
        <f>$M$360</f>
        <v>High Temperature</v>
      </c>
      <c r="C357" s="254" t="s">
        <v>790</v>
      </c>
      <c r="D357" s="561" t="str">
        <f t="shared" si="42"/>
        <v>High Temperature Single Tank Conveyor</v>
      </c>
      <c r="E357" s="477">
        <v>0.87</v>
      </c>
      <c r="F357" s="477">
        <v>0.7</v>
      </c>
      <c r="G357" s="477">
        <v>400</v>
      </c>
      <c r="H357" s="477">
        <v>0.3</v>
      </c>
      <c r="I357" s="477">
        <v>1.93</v>
      </c>
      <c r="J357" s="562">
        <v>1.2</v>
      </c>
      <c r="M357" s="7" t="s">
        <v>793</v>
      </c>
      <c r="X357" s="1"/>
      <c r="Y357" s="1"/>
      <c r="Z357" s="143"/>
      <c r="AA357" s="1"/>
      <c r="AB357" s="1"/>
      <c r="AC357" s="1"/>
      <c r="AD357" s="1"/>
      <c r="AE357" s="1"/>
      <c r="AF357" s="1"/>
    </row>
    <row r="358" spans="2:55" ht="15">
      <c r="B358" s="200" t="str">
        <f>$M$360</f>
        <v>High Temperature</v>
      </c>
      <c r="C358" s="561" t="s">
        <v>791</v>
      </c>
      <c r="D358" s="561" t="str">
        <f t="shared" si="42"/>
        <v>High Temperature Multi Tank Conveyor</v>
      </c>
      <c r="E358" s="477">
        <v>0.97</v>
      </c>
      <c r="F358" s="477">
        <v>0.54</v>
      </c>
      <c r="G358" s="477">
        <v>600</v>
      </c>
      <c r="H358" s="477">
        <v>0.2</v>
      </c>
      <c r="I358" s="477">
        <v>2.59</v>
      </c>
      <c r="J358" s="562">
        <v>1.85</v>
      </c>
      <c r="M358" s="249" t="s">
        <v>794</v>
      </c>
      <c r="X358" s="1"/>
      <c r="Y358" s="1"/>
      <c r="Z358" s="143"/>
      <c r="AA358" s="1"/>
      <c r="AB358" s="1"/>
      <c r="AC358" s="1"/>
      <c r="AD358" s="1"/>
      <c r="AE358" s="1"/>
      <c r="AF358" s="1"/>
    </row>
    <row r="359" spans="2:55" ht="15" thickBot="1">
      <c r="B359" s="201" t="str">
        <f>$M$360</f>
        <v>High Temperature</v>
      </c>
      <c r="C359" s="563" t="s">
        <v>795</v>
      </c>
      <c r="D359" s="563" t="str">
        <f t="shared" si="42"/>
        <v>High Temperature Pot, Pan, and Utensil</v>
      </c>
      <c r="E359" s="564">
        <v>0.7</v>
      </c>
      <c r="F359" s="564">
        <v>0.57999999999999996</v>
      </c>
      <c r="G359" s="564">
        <v>280</v>
      </c>
      <c r="H359" s="564">
        <v>3</v>
      </c>
      <c r="I359" s="564">
        <v>1.2</v>
      </c>
      <c r="J359" s="565">
        <v>0.9</v>
      </c>
      <c r="M359" s="255" t="s">
        <v>796</v>
      </c>
      <c r="X359" s="1"/>
      <c r="Y359" s="1"/>
      <c r="Z359" s="1"/>
      <c r="AA359" s="1"/>
      <c r="AB359" s="143"/>
      <c r="AC359" s="1"/>
      <c r="AD359" s="1"/>
      <c r="AE359" s="1"/>
      <c r="AF359" s="1"/>
      <c r="AG359" s="1"/>
      <c r="AH359" s="1"/>
      <c r="BB359" s="1"/>
      <c r="BC359" s="284"/>
    </row>
    <row r="360" spans="2:55">
      <c r="M360" s="255" t="s">
        <v>797</v>
      </c>
      <c r="X360" s="1"/>
      <c r="Y360" s="1"/>
      <c r="Z360" s="1"/>
      <c r="AA360" s="1"/>
      <c r="AB360" s="143"/>
      <c r="AC360" s="1"/>
      <c r="AD360" s="1"/>
      <c r="AE360" s="1"/>
      <c r="AF360" s="1"/>
      <c r="AG360" s="1"/>
      <c r="AH360" s="1"/>
    </row>
    <row r="361" spans="2:55" ht="14.25" customHeight="1" thickBot="1">
      <c r="B361" s="7" t="s">
        <v>687</v>
      </c>
      <c r="X361" s="1"/>
      <c r="Y361" s="1"/>
      <c r="Z361" s="1"/>
      <c r="AA361" s="1"/>
      <c r="AB361" s="143"/>
      <c r="AC361" s="1"/>
      <c r="AD361" s="1"/>
      <c r="AE361" s="1"/>
      <c r="AF361" s="1"/>
      <c r="AG361" s="1"/>
    </row>
    <row r="362" spans="2:55" ht="14.25" customHeight="1" thickBot="1">
      <c r="B362" s="205" t="s">
        <v>780</v>
      </c>
      <c r="C362" s="206" t="s">
        <v>781</v>
      </c>
      <c r="D362" s="206" t="s">
        <v>749</v>
      </c>
      <c r="E362" s="206" t="s">
        <v>798</v>
      </c>
      <c r="F362" s="207" t="s">
        <v>799</v>
      </c>
      <c r="G362" s="207" t="s">
        <v>800</v>
      </c>
      <c r="H362" s="207" t="s">
        <v>801</v>
      </c>
      <c r="I362" s="208" t="s">
        <v>387</v>
      </c>
      <c r="J362" s="208" t="s">
        <v>388</v>
      </c>
      <c r="K362" s="209" t="s">
        <v>121</v>
      </c>
      <c r="M362" s="249" t="s">
        <v>760</v>
      </c>
      <c r="N362" s="249" t="s">
        <v>123</v>
      </c>
      <c r="O362" s="204" t="s">
        <v>802</v>
      </c>
      <c r="P362" s="204" t="s">
        <v>803</v>
      </c>
      <c r="Q362" s="249" t="s">
        <v>121</v>
      </c>
      <c r="X362" s="1"/>
      <c r="Y362" s="1"/>
      <c r="Z362" s="1"/>
      <c r="AA362" s="1"/>
      <c r="AB362" s="143"/>
      <c r="AC362" s="1"/>
      <c r="AD362" s="1"/>
      <c r="AE362" s="1"/>
      <c r="AF362" s="1"/>
      <c r="AG362" s="1"/>
    </row>
    <row r="363" spans="2:55" ht="14.25" customHeight="1">
      <c r="B363" s="189" t="str">
        <f>$M$359</f>
        <v>Low Temperature</v>
      </c>
      <c r="C363" s="190" t="s">
        <v>788</v>
      </c>
      <c r="D363" s="190" t="str">
        <f t="shared" ref="D363:D371" si="43">_xlfn.CONCAT(B363," ", C363)</f>
        <v>Low Temperature Under Counter</v>
      </c>
      <c r="E363" s="191">
        <v>2540</v>
      </c>
      <c r="F363" s="192" t="s">
        <v>348</v>
      </c>
      <c r="G363" s="192">
        <v>1414</v>
      </c>
      <c r="H363" s="566">
        <v>3954</v>
      </c>
      <c r="I363" s="199">
        <v>0.74</v>
      </c>
      <c r="J363" s="199">
        <v>0.47</v>
      </c>
      <c r="K363" s="567">
        <f>IFERROR(ROUND(AVERAGE(I363,J363),4),0)</f>
        <v>0.60499999999999998</v>
      </c>
      <c r="M363" s="254" t="str">
        <f>_xlfn.CONCAT('Commercial Dishwasher'!E7," ",'Commercial Dishwasher'!F7)</f>
        <v xml:space="preserve"> </v>
      </c>
      <c r="N363" s="254">
        <f>IFERROR(VLOOKUP(M363,$D$363:$K$371,5,FALSE),0)</f>
        <v>0</v>
      </c>
      <c r="O363" s="572">
        <f>IFERROR(VLOOKUP(M363,$D$363:$K$371,6,FALSE),0)</f>
        <v>0</v>
      </c>
      <c r="P363" s="572">
        <f t="shared" ref="P363:P370" si="44">IFERROR(VLOOKUP(M363,$D$363:$K$371,7,FALSE),0)</f>
        <v>0</v>
      </c>
      <c r="Q363" s="572">
        <f t="shared" ref="Q363:Q370" si="45">IFERROR(VLOOKUP(M363,$D$363:$K$371,8,FALSE),0)</f>
        <v>0</v>
      </c>
      <c r="X363" s="1"/>
      <c r="Y363" s="1"/>
      <c r="Z363" s="1"/>
      <c r="AA363" s="1"/>
      <c r="AB363" s="143"/>
      <c r="AC363" s="1"/>
      <c r="AD363" s="1"/>
      <c r="AE363" s="1"/>
      <c r="AF363" s="1"/>
      <c r="AG363" s="1"/>
    </row>
    <row r="364" spans="2:55" ht="14.25" customHeight="1">
      <c r="B364" s="193" t="str">
        <f>$M$359</f>
        <v>Low Temperature</v>
      </c>
      <c r="C364" s="256" t="s">
        <v>789</v>
      </c>
      <c r="D364" s="256" t="str">
        <f t="shared" si="43"/>
        <v>Low Temperature Stationary Single Tank Door</v>
      </c>
      <c r="E364" s="257">
        <v>16153</v>
      </c>
      <c r="F364" s="258" t="s">
        <v>348</v>
      </c>
      <c r="G364" s="258">
        <v>1205</v>
      </c>
      <c r="H364" s="568">
        <v>17358</v>
      </c>
      <c r="I364" s="254">
        <v>3.23</v>
      </c>
      <c r="J364" s="254">
        <v>2.0699999999999998</v>
      </c>
      <c r="K364" s="569">
        <f t="shared" ref="K364:K366" si="46">IFERROR(ROUND(AVERAGE(I364,J364),4),0)</f>
        <v>2.65</v>
      </c>
      <c r="M364" s="254" t="str">
        <f>_xlfn.CONCAT('Commercial Dishwasher'!E8," ",'Commercial Dishwasher'!F8)</f>
        <v xml:space="preserve"> </v>
      </c>
      <c r="N364" s="254">
        <f t="shared" ref="N364:N370" si="47">IFERROR(VLOOKUP(M364,$D$363:$K$371,5,FALSE),0)</f>
        <v>0</v>
      </c>
      <c r="O364" s="572">
        <f t="shared" ref="O364:O370" si="48">IFERROR(VLOOKUP(M364,$D$363:$K$371,6,FALSE),0)</f>
        <v>0</v>
      </c>
      <c r="P364" s="572">
        <f t="shared" si="44"/>
        <v>0</v>
      </c>
      <c r="Q364" s="572">
        <f t="shared" si="45"/>
        <v>0</v>
      </c>
      <c r="X364" s="1"/>
      <c r="Y364" s="1"/>
      <c r="Z364" s="1"/>
      <c r="AA364" s="1"/>
      <c r="AB364" s="143"/>
      <c r="AC364" s="1"/>
      <c r="AD364" s="1"/>
      <c r="AE364" s="1"/>
      <c r="AF364" s="1"/>
      <c r="AG364" s="1"/>
    </row>
    <row r="365" spans="2:55" ht="14.25" customHeight="1">
      <c r="B365" s="193" t="str">
        <f>$M$359</f>
        <v>Low Temperature</v>
      </c>
      <c r="C365" s="254" t="s">
        <v>790</v>
      </c>
      <c r="D365" s="256" t="str">
        <f t="shared" si="43"/>
        <v>Low Temperature Single Tank Conveyor</v>
      </c>
      <c r="E365" s="258">
        <v>13042</v>
      </c>
      <c r="F365" s="258" t="s">
        <v>348</v>
      </c>
      <c r="G365" s="258">
        <v>4380</v>
      </c>
      <c r="H365" s="568">
        <v>17422</v>
      </c>
      <c r="I365" s="254">
        <v>3.25</v>
      </c>
      <c r="J365" s="254">
        <v>2.08</v>
      </c>
      <c r="K365" s="569">
        <f t="shared" si="46"/>
        <v>2.665</v>
      </c>
      <c r="M365" s="254" t="str">
        <f>_xlfn.CONCAT('Commercial Dishwasher'!E9," ",'Commercial Dishwasher'!F9)</f>
        <v xml:space="preserve"> </v>
      </c>
      <c r="N365" s="254">
        <f t="shared" si="47"/>
        <v>0</v>
      </c>
      <c r="O365" s="572">
        <f t="shared" si="48"/>
        <v>0</v>
      </c>
      <c r="P365" s="572">
        <f t="shared" si="44"/>
        <v>0</v>
      </c>
      <c r="Q365" s="572">
        <f t="shared" si="45"/>
        <v>0</v>
      </c>
      <c r="X365" s="1"/>
      <c r="Y365" s="1"/>
      <c r="Z365" s="1"/>
      <c r="AA365" s="1"/>
      <c r="AB365" s="143"/>
      <c r="AC365" s="1"/>
      <c r="AD365" s="1"/>
      <c r="AE365" s="1"/>
      <c r="AF365" s="1"/>
      <c r="AG365" s="1"/>
    </row>
    <row r="366" spans="2:55" ht="14.25" customHeight="1" thickBot="1">
      <c r="B366" s="194" t="str">
        <f>$M$359</f>
        <v>Low Temperature</v>
      </c>
      <c r="C366" s="195" t="s">
        <v>791</v>
      </c>
      <c r="D366" s="196" t="str">
        <f t="shared" si="43"/>
        <v>Low Temperature Multi Tank Conveyor</v>
      </c>
      <c r="E366" s="197">
        <v>18811</v>
      </c>
      <c r="F366" s="197" t="s">
        <v>348</v>
      </c>
      <c r="G366" s="197">
        <v>5475</v>
      </c>
      <c r="H366" s="570">
        <v>24286</v>
      </c>
      <c r="I366" s="195">
        <v>4.5199999999999996</v>
      </c>
      <c r="J366" s="195">
        <v>2.89</v>
      </c>
      <c r="K366" s="569">
        <f t="shared" si="46"/>
        <v>3.7050000000000001</v>
      </c>
      <c r="M366" s="254" t="str">
        <f>_xlfn.CONCAT('Commercial Dishwasher'!E10," ",'Commercial Dishwasher'!F10)</f>
        <v xml:space="preserve"> </v>
      </c>
      <c r="N366" s="254">
        <f t="shared" si="47"/>
        <v>0</v>
      </c>
      <c r="O366" s="572">
        <f t="shared" si="48"/>
        <v>0</v>
      </c>
      <c r="P366" s="572">
        <f t="shared" si="44"/>
        <v>0</v>
      </c>
      <c r="Q366" s="572">
        <f t="shared" si="45"/>
        <v>0</v>
      </c>
      <c r="X366" s="1"/>
      <c r="Y366" s="1"/>
      <c r="Z366" s="1"/>
      <c r="AA366" s="1"/>
      <c r="AB366" s="143"/>
      <c r="AC366" s="1"/>
      <c r="AD366" s="1"/>
      <c r="AE366" s="1"/>
      <c r="AF366" s="1"/>
      <c r="AG366" s="1"/>
    </row>
    <row r="367" spans="2:55" ht="14.25" customHeight="1">
      <c r="B367" s="198" t="str">
        <f>$M$360</f>
        <v>High Temperature</v>
      </c>
      <c r="C367" s="199" t="s">
        <v>788</v>
      </c>
      <c r="D367" s="190" t="str">
        <f t="shared" si="43"/>
        <v>High Temperature Under Counter</v>
      </c>
      <c r="E367" s="192">
        <v>1082</v>
      </c>
      <c r="F367" s="192">
        <v>618</v>
      </c>
      <c r="G367" s="192">
        <v>2602</v>
      </c>
      <c r="H367" s="566">
        <v>4302</v>
      </c>
      <c r="I367" s="199">
        <v>0.8</v>
      </c>
      <c r="J367" s="199">
        <v>0.51</v>
      </c>
      <c r="K367" s="567">
        <v>0.46</v>
      </c>
      <c r="M367" s="254" t="str">
        <f>_xlfn.CONCAT('Commercial Dishwasher'!E11," ",'Commercial Dishwasher'!F11)</f>
        <v xml:space="preserve"> </v>
      </c>
      <c r="N367" s="254">
        <f t="shared" si="47"/>
        <v>0</v>
      </c>
      <c r="O367" s="572">
        <f t="shared" si="48"/>
        <v>0</v>
      </c>
      <c r="P367" s="572">
        <f t="shared" si="44"/>
        <v>0</v>
      </c>
      <c r="Q367" s="572">
        <f t="shared" si="45"/>
        <v>0</v>
      </c>
      <c r="X367" s="1"/>
      <c r="Y367" s="1"/>
      <c r="Z367" s="1"/>
      <c r="AA367" s="1"/>
      <c r="AB367" s="143"/>
      <c r="AC367" s="1"/>
      <c r="AD367" s="1"/>
      <c r="AE367" s="1"/>
      <c r="AF367" s="1"/>
      <c r="AG367" s="1"/>
    </row>
    <row r="368" spans="2:55" ht="14.25" customHeight="1">
      <c r="B368" s="200" t="str">
        <f>$M$360</f>
        <v>High Temperature</v>
      </c>
      <c r="C368" s="254" t="s">
        <v>789</v>
      </c>
      <c r="D368" s="256" t="str">
        <f t="shared" si="43"/>
        <v>High Temperature Stationary Single Tank Door</v>
      </c>
      <c r="E368" s="258">
        <v>7023</v>
      </c>
      <c r="F368" s="258">
        <v>4013</v>
      </c>
      <c r="G368" s="258">
        <v>1557</v>
      </c>
      <c r="H368" s="568">
        <v>12593</v>
      </c>
      <c r="I368" s="254">
        <v>2.35</v>
      </c>
      <c r="J368" s="254">
        <v>1.5</v>
      </c>
      <c r="K368" s="569">
        <v>0.32</v>
      </c>
      <c r="M368" s="254" t="str">
        <f>_xlfn.CONCAT('Commercial Dishwasher'!J12," ",'Commercial Dishwasher'!K12)</f>
        <v xml:space="preserve"> </v>
      </c>
      <c r="N368" s="254">
        <f t="shared" si="47"/>
        <v>0</v>
      </c>
      <c r="O368" s="572">
        <f t="shared" si="48"/>
        <v>0</v>
      </c>
      <c r="P368" s="572">
        <f t="shared" si="44"/>
        <v>0</v>
      </c>
      <c r="Q368" s="572">
        <f t="shared" si="45"/>
        <v>0</v>
      </c>
      <c r="X368" s="1"/>
      <c r="Y368" s="1"/>
      <c r="Z368" s="143"/>
      <c r="AA368" s="1"/>
      <c r="AB368" s="1"/>
      <c r="AC368" s="1"/>
      <c r="AD368" s="1"/>
      <c r="AE368" s="1"/>
    </row>
    <row r="369" spans="2:31" ht="14.25" customHeight="1">
      <c r="B369" s="200" t="str">
        <f>$M$360</f>
        <v>High Temperature</v>
      </c>
      <c r="C369" s="254" t="s">
        <v>790</v>
      </c>
      <c r="D369" s="256" t="str">
        <f t="shared" si="43"/>
        <v>High Temperature Single Tank Conveyor</v>
      </c>
      <c r="E369" s="258">
        <v>4264</v>
      </c>
      <c r="F369" s="258">
        <v>2436</v>
      </c>
      <c r="G369" s="258">
        <v>4263</v>
      </c>
      <c r="H369" s="568">
        <v>10963</v>
      </c>
      <c r="I369" s="254">
        <v>2.04</v>
      </c>
      <c r="J369" s="254">
        <v>1.31</v>
      </c>
      <c r="K369" s="569">
        <v>0.73</v>
      </c>
      <c r="M369" s="254" t="str">
        <f>_xlfn.CONCAT('Commercial Dishwasher'!J13," ",'Commercial Dishwasher'!K13)</f>
        <v xml:space="preserve"> </v>
      </c>
      <c r="N369" s="254">
        <f t="shared" si="47"/>
        <v>0</v>
      </c>
      <c r="O369" s="572">
        <f t="shared" si="48"/>
        <v>0</v>
      </c>
      <c r="P369" s="572">
        <f t="shared" si="44"/>
        <v>0</v>
      </c>
      <c r="Q369" s="572">
        <f t="shared" si="45"/>
        <v>0</v>
      </c>
    </row>
    <row r="370" spans="2:31" ht="14.25" customHeight="1">
      <c r="B370" s="200" t="str">
        <f>$M$360</f>
        <v>High Temperature</v>
      </c>
      <c r="C370" s="256" t="s">
        <v>791</v>
      </c>
      <c r="D370" s="256" t="str">
        <f t="shared" si="43"/>
        <v>High Temperature Multi Tank Conveyor</v>
      </c>
      <c r="E370" s="257">
        <v>16178</v>
      </c>
      <c r="F370" s="258">
        <v>9244</v>
      </c>
      <c r="G370" s="258">
        <v>4322</v>
      </c>
      <c r="H370" s="568">
        <v>29743</v>
      </c>
      <c r="I370" s="254">
        <v>5.54</v>
      </c>
      <c r="J370" s="254">
        <v>3.55</v>
      </c>
      <c r="K370" s="569">
        <v>0.74</v>
      </c>
      <c r="M370" s="254" t="str">
        <f>_xlfn.CONCAT('Commercial Dishwasher'!J14," ",'Commercial Dishwasher'!K14)</f>
        <v xml:space="preserve"> </v>
      </c>
      <c r="N370" s="254">
        <f t="shared" si="47"/>
        <v>0</v>
      </c>
      <c r="O370" s="572">
        <f t="shared" si="48"/>
        <v>0</v>
      </c>
      <c r="P370" s="572">
        <f t="shared" si="44"/>
        <v>0</v>
      </c>
      <c r="Q370" s="572">
        <f t="shared" si="45"/>
        <v>0</v>
      </c>
      <c r="X370" s="1"/>
      <c r="Y370" s="1"/>
      <c r="Z370" s="143"/>
      <c r="AA370" s="1"/>
      <c r="AB370" s="1"/>
      <c r="AC370" s="1"/>
      <c r="AD370" s="1"/>
      <c r="AE370" s="1"/>
    </row>
    <row r="371" spans="2:31" ht="14.25" customHeight="1" thickBot="1">
      <c r="B371" s="201" t="str">
        <f>$M$360</f>
        <v>High Temperature</v>
      </c>
      <c r="C371" s="196" t="s">
        <v>795</v>
      </c>
      <c r="D371" s="196" t="str">
        <f t="shared" si="43"/>
        <v>High Temperature Pot, Pan, and Utensil</v>
      </c>
      <c r="E371" s="202">
        <v>2107</v>
      </c>
      <c r="F371" s="197">
        <v>1204</v>
      </c>
      <c r="G371" s="203">
        <v>438</v>
      </c>
      <c r="H371" s="570">
        <v>3749</v>
      </c>
      <c r="I371" s="195">
        <v>0.7</v>
      </c>
      <c r="J371" s="195">
        <v>0.7</v>
      </c>
      <c r="K371" s="571">
        <v>0.3</v>
      </c>
      <c r="X371" s="1"/>
      <c r="Y371" s="1"/>
      <c r="Z371" s="143"/>
      <c r="AA371" s="1"/>
      <c r="AB371" s="1"/>
      <c r="AC371" s="1"/>
      <c r="AD371" s="1"/>
      <c r="AE371" s="1"/>
    </row>
    <row r="372" spans="2:31" ht="14.25" customHeight="1">
      <c r="X372" s="1"/>
      <c r="Y372" s="1"/>
      <c r="Z372" s="143"/>
      <c r="AA372" s="1"/>
      <c r="AB372" s="1"/>
      <c r="AC372" s="1"/>
      <c r="AD372" s="1"/>
      <c r="AE372" s="1"/>
    </row>
    <row r="373" spans="2:31" ht="14.25" customHeight="1">
      <c r="B373" s="7" t="s">
        <v>382</v>
      </c>
      <c r="X373" s="1"/>
      <c r="Y373" s="1"/>
      <c r="Z373" s="143"/>
      <c r="AA373" s="1"/>
      <c r="AB373" s="1"/>
      <c r="AC373" s="1"/>
      <c r="AD373" s="1"/>
      <c r="AE373" s="1"/>
    </row>
    <row r="374" spans="2:31" ht="14.25" customHeight="1">
      <c r="B374" s="249" t="s">
        <v>780</v>
      </c>
      <c r="C374" s="249" t="s">
        <v>781</v>
      </c>
      <c r="D374" s="249" t="s">
        <v>110</v>
      </c>
      <c r="E374" s="249" t="s">
        <v>760</v>
      </c>
      <c r="F374" s="249" t="s">
        <v>782</v>
      </c>
      <c r="G374" s="249" t="s">
        <v>783</v>
      </c>
      <c r="H374" s="249" t="s">
        <v>784</v>
      </c>
      <c r="I374" s="249" t="s">
        <v>785</v>
      </c>
      <c r="J374" s="249" t="s">
        <v>786</v>
      </c>
      <c r="K374" s="249" t="s">
        <v>787</v>
      </c>
      <c r="L374" s="249" t="s">
        <v>804</v>
      </c>
      <c r="M374" s="249" t="s">
        <v>805</v>
      </c>
      <c r="N374" s="249" t="s">
        <v>806</v>
      </c>
      <c r="O374" s="249" t="s">
        <v>123</v>
      </c>
      <c r="P374" s="249" t="s">
        <v>807</v>
      </c>
      <c r="Q374" s="249" t="s">
        <v>808</v>
      </c>
      <c r="R374" s="249" t="s">
        <v>121</v>
      </c>
      <c r="X374" s="1"/>
      <c r="Y374" s="1"/>
      <c r="Z374" s="143"/>
      <c r="AA374" s="1"/>
      <c r="AB374" s="1"/>
      <c r="AC374" s="1"/>
      <c r="AD374" s="1"/>
      <c r="AE374" s="1"/>
    </row>
    <row r="375" spans="2:31" ht="14.25" customHeight="1">
      <c r="B375" s="254">
        <f>'Commercial Dishwasher'!$E7</f>
        <v>0</v>
      </c>
      <c r="C375" s="254">
        <f>'Commercial Dishwasher'!$F7</f>
        <v>0</v>
      </c>
      <c r="D375" s="254">
        <f>'Commercial Dishwasher'!$G7</f>
        <v>0</v>
      </c>
      <c r="E375" s="254" t="str">
        <f>_xlfn.CONCAT('Commercial Dishwasher'!E7," ",'Commercial Dishwasher'!F7)</f>
        <v xml:space="preserve"> </v>
      </c>
      <c r="F375" s="254" t="e">
        <f t="shared" ref="F375:F382" si="49">VLOOKUP($E375,$D$351:$J$359,2,0)</f>
        <v>#N/A</v>
      </c>
      <c r="G375" s="254" t="e">
        <f>VLOOKUP($E375,$D$351:$J$359,3,0)</f>
        <v>#N/A</v>
      </c>
      <c r="H375" s="254" t="e">
        <f t="shared" ref="H375:H382" si="50">VLOOKUP($E375,$D$351:$J$359,4,0)</f>
        <v>#N/A</v>
      </c>
      <c r="I375" s="254" t="e">
        <f t="shared" ref="I375:I382" si="51">VLOOKUP($E375,$D$351:$J$359,5,0)</f>
        <v>#N/A</v>
      </c>
      <c r="J375" s="254" t="e">
        <f t="shared" ref="J375:J382" si="52">VLOOKUP($E375,$D$351:$J$359,6,0)</f>
        <v>#N/A</v>
      </c>
      <c r="K375" s="254" t="e">
        <f t="shared" ref="K375:K382" si="53">VLOOKUP($E375,$D$351:$J$359,7,0)</f>
        <v>#N/A</v>
      </c>
      <c r="L375" s="254" t="e">
        <f>($F375-$G375)*$H375*$C$337*$G$337*$C$341*$C$340/($C$339*$C$342)</f>
        <v>#N/A</v>
      </c>
      <c r="M375" s="254" t="e">
        <f>($F375-$G375)*$H375*$C$337*IF($B375="High Temperature",$G$338,0)*$C$341*$C$340/($C$339*$C$342)</f>
        <v>#N/A</v>
      </c>
      <c r="N375" s="254" t="e">
        <f>($J375*$C$337*($C$338-($H375*$I375/$C$343)))-($K375*$C$337*($C$338-($H375*$I375/$C$343)))</f>
        <v>#N/A</v>
      </c>
      <c r="O375" s="254">
        <f t="shared" ref="O375:O382" si="54">IFERROR($D375*SUM($L375,$M375,$N375), 0)</f>
        <v>0</v>
      </c>
      <c r="P375" s="254">
        <f t="shared" ref="P375:P382" si="55">$O375*$C$344</f>
        <v>0</v>
      </c>
      <c r="Q375" s="254">
        <f t="shared" ref="Q375:Q382" si="56">$O375*$C$345</f>
        <v>0</v>
      </c>
      <c r="R375" s="254">
        <f>AVERAGE(P375:Q375)</f>
        <v>0</v>
      </c>
      <c r="X375" s="1"/>
      <c r="Y375" s="1"/>
      <c r="Z375" s="143"/>
      <c r="AA375" s="1"/>
      <c r="AB375" s="1"/>
      <c r="AC375" s="1"/>
      <c r="AD375" s="1"/>
      <c r="AE375" s="1"/>
    </row>
    <row r="376" spans="2:31" ht="14.25" customHeight="1">
      <c r="B376" s="254">
        <f>'Commercial Dishwasher'!$E8</f>
        <v>0</v>
      </c>
      <c r="C376" s="254">
        <f>'Commercial Dishwasher'!$F8</f>
        <v>0</v>
      </c>
      <c r="D376" s="254">
        <f>'Commercial Dishwasher'!$G8</f>
        <v>0</v>
      </c>
      <c r="E376" s="254" t="str">
        <f>_xlfn.CONCAT('Commercial Dishwasher'!E8," ",'Commercial Dishwasher'!F8)</f>
        <v xml:space="preserve"> </v>
      </c>
      <c r="F376" s="254" t="e">
        <f t="shared" si="49"/>
        <v>#N/A</v>
      </c>
      <c r="G376" s="254" t="e">
        <f t="shared" ref="G376:G382" si="57">VLOOKUP($E376,$D$351:$J$359,3,0)</f>
        <v>#N/A</v>
      </c>
      <c r="H376" s="254" t="e">
        <f t="shared" si="50"/>
        <v>#N/A</v>
      </c>
      <c r="I376" s="254" t="e">
        <f t="shared" si="51"/>
        <v>#N/A</v>
      </c>
      <c r="J376" s="254" t="e">
        <f t="shared" si="52"/>
        <v>#N/A</v>
      </c>
      <c r="K376" s="254" t="e">
        <f t="shared" si="53"/>
        <v>#N/A</v>
      </c>
      <c r="L376" s="254" t="e">
        <f t="shared" ref="L376:L382" si="58">($F376-$G376)*$H376*$C$337*$G$337*$C$341*$C$340/($C$339*$C$342)</f>
        <v>#N/A</v>
      </c>
      <c r="M376" s="254" t="e">
        <f t="shared" ref="M376:M382" si="59">($F376-$G376)*$H376*$C$337*IF($B376="High Temperature",$G$338,0)*$C$341*$C$340/($C$339*$C$342)</f>
        <v>#N/A</v>
      </c>
      <c r="N376" s="254" t="e">
        <f>($J376*$C$337*($C$338-($H376*$I376/$C$343)))-($K376*$C$337*($C$338-($H376*$I376/$C$343)))</f>
        <v>#N/A</v>
      </c>
      <c r="O376" s="254">
        <f t="shared" si="54"/>
        <v>0</v>
      </c>
      <c r="P376" s="254">
        <f t="shared" si="55"/>
        <v>0</v>
      </c>
      <c r="Q376" s="254">
        <f t="shared" si="56"/>
        <v>0</v>
      </c>
      <c r="R376" s="254">
        <f t="shared" ref="R376:R382" si="60">AVERAGE(P376:Q376)</f>
        <v>0</v>
      </c>
      <c r="X376" s="1"/>
      <c r="Y376" s="1"/>
      <c r="Z376" s="143"/>
      <c r="AA376" s="1"/>
      <c r="AB376" s="1"/>
      <c r="AC376" s="1"/>
      <c r="AD376" s="1"/>
      <c r="AE376" s="1"/>
    </row>
    <row r="377" spans="2:31" ht="14.25" customHeight="1">
      <c r="B377" s="254">
        <f>'Commercial Dishwasher'!$E9</f>
        <v>0</v>
      </c>
      <c r="C377" s="254">
        <f>'Commercial Dishwasher'!$F9</f>
        <v>0</v>
      </c>
      <c r="D377" s="254">
        <f>'Commercial Dishwasher'!$G9</f>
        <v>0</v>
      </c>
      <c r="E377" s="254" t="str">
        <f>_xlfn.CONCAT('Commercial Dishwasher'!E9," ",'Commercial Dishwasher'!F9)</f>
        <v xml:space="preserve"> </v>
      </c>
      <c r="F377" s="254" t="e">
        <f t="shared" si="49"/>
        <v>#N/A</v>
      </c>
      <c r="G377" s="254" t="e">
        <f t="shared" si="57"/>
        <v>#N/A</v>
      </c>
      <c r="H377" s="254" t="e">
        <f t="shared" si="50"/>
        <v>#N/A</v>
      </c>
      <c r="I377" s="254" t="e">
        <f t="shared" si="51"/>
        <v>#N/A</v>
      </c>
      <c r="J377" s="254" t="e">
        <f t="shared" si="52"/>
        <v>#N/A</v>
      </c>
      <c r="K377" s="254" t="e">
        <f t="shared" si="53"/>
        <v>#N/A</v>
      </c>
      <c r="L377" s="254" t="e">
        <f t="shared" si="58"/>
        <v>#N/A</v>
      </c>
      <c r="M377" s="254" t="e">
        <f t="shared" si="59"/>
        <v>#N/A</v>
      </c>
      <c r="N377" s="254" t="e">
        <f t="shared" ref="N377:N382" si="61">($J377*$C$337*($C$338-($H377*$I377/$C$343)))-($K377*$C$337*($C$338-($H377*$I377/$C$343)))</f>
        <v>#N/A</v>
      </c>
      <c r="O377" s="254">
        <f t="shared" si="54"/>
        <v>0</v>
      </c>
      <c r="P377" s="254">
        <f t="shared" si="55"/>
        <v>0</v>
      </c>
      <c r="Q377" s="254">
        <f t="shared" si="56"/>
        <v>0</v>
      </c>
      <c r="R377" s="254">
        <f t="shared" si="60"/>
        <v>0</v>
      </c>
      <c r="X377" s="1"/>
      <c r="Y377" s="1"/>
      <c r="Z377" s="143"/>
      <c r="AA377" s="1"/>
      <c r="AB377" s="1"/>
      <c r="AC377" s="1"/>
      <c r="AD377" s="1"/>
      <c r="AE377" s="1"/>
    </row>
    <row r="378" spans="2:31" ht="14.25" customHeight="1">
      <c r="B378" s="254">
        <f>'Commercial Dishwasher'!$E10</f>
        <v>0</v>
      </c>
      <c r="C378" s="254">
        <f>'Commercial Dishwasher'!$F10</f>
        <v>0</v>
      </c>
      <c r="D378" s="254">
        <f>'Commercial Dishwasher'!$G10</f>
        <v>0</v>
      </c>
      <c r="E378" s="254" t="str">
        <f>_xlfn.CONCAT('Commercial Dishwasher'!E10," ",'Commercial Dishwasher'!F10)</f>
        <v xml:space="preserve"> </v>
      </c>
      <c r="F378" s="254" t="e">
        <f t="shared" si="49"/>
        <v>#N/A</v>
      </c>
      <c r="G378" s="254" t="e">
        <f t="shared" si="57"/>
        <v>#N/A</v>
      </c>
      <c r="H378" s="254" t="e">
        <f t="shared" si="50"/>
        <v>#N/A</v>
      </c>
      <c r="I378" s="254" t="e">
        <f t="shared" si="51"/>
        <v>#N/A</v>
      </c>
      <c r="J378" s="254" t="e">
        <f t="shared" si="52"/>
        <v>#N/A</v>
      </c>
      <c r="K378" s="254" t="e">
        <f t="shared" si="53"/>
        <v>#N/A</v>
      </c>
      <c r="L378" s="254" t="e">
        <f t="shared" si="58"/>
        <v>#N/A</v>
      </c>
      <c r="M378" s="254" t="e">
        <f t="shared" si="59"/>
        <v>#N/A</v>
      </c>
      <c r="N378" s="254" t="e">
        <f t="shared" si="61"/>
        <v>#N/A</v>
      </c>
      <c r="O378" s="254">
        <f t="shared" si="54"/>
        <v>0</v>
      </c>
      <c r="P378" s="254">
        <f t="shared" si="55"/>
        <v>0</v>
      </c>
      <c r="Q378" s="254">
        <f t="shared" si="56"/>
        <v>0</v>
      </c>
      <c r="R378" s="254">
        <f t="shared" si="60"/>
        <v>0</v>
      </c>
      <c r="X378" s="1"/>
      <c r="Y378" s="1"/>
      <c r="Z378" s="143"/>
      <c r="AA378" s="1"/>
      <c r="AB378" s="1"/>
      <c r="AC378" s="1"/>
      <c r="AD378" s="1"/>
      <c r="AE378" s="1"/>
    </row>
    <row r="379" spans="2:31">
      <c r="B379" s="254"/>
      <c r="C379" s="254"/>
      <c r="D379" s="254"/>
      <c r="E379" s="254" t="str">
        <f>_xlfn.CONCAT('Commercial Dishwasher'!E11," ",'Commercial Dishwasher'!F11)</f>
        <v xml:space="preserve"> </v>
      </c>
      <c r="F379" s="254" t="e">
        <f t="shared" si="49"/>
        <v>#N/A</v>
      </c>
      <c r="G379" s="254" t="e">
        <f t="shared" si="57"/>
        <v>#N/A</v>
      </c>
      <c r="H379" s="254" t="e">
        <f t="shared" si="50"/>
        <v>#N/A</v>
      </c>
      <c r="I379" s="254" t="e">
        <f t="shared" si="51"/>
        <v>#N/A</v>
      </c>
      <c r="J379" s="254" t="e">
        <f t="shared" si="52"/>
        <v>#N/A</v>
      </c>
      <c r="K379" s="254" t="e">
        <f t="shared" si="53"/>
        <v>#N/A</v>
      </c>
      <c r="L379" s="254" t="e">
        <f t="shared" si="58"/>
        <v>#N/A</v>
      </c>
      <c r="M379" s="254" t="e">
        <f t="shared" si="59"/>
        <v>#N/A</v>
      </c>
      <c r="N379" s="254" t="e">
        <f t="shared" si="61"/>
        <v>#N/A</v>
      </c>
      <c r="O379" s="254">
        <f t="shared" si="54"/>
        <v>0</v>
      </c>
      <c r="P379" s="254">
        <f t="shared" si="55"/>
        <v>0</v>
      </c>
      <c r="Q379" s="254">
        <f t="shared" si="56"/>
        <v>0</v>
      </c>
      <c r="R379" s="254">
        <f t="shared" si="60"/>
        <v>0</v>
      </c>
      <c r="X379" s="1"/>
      <c r="Y379" s="1"/>
      <c r="Z379" s="143"/>
      <c r="AA379" s="1"/>
      <c r="AB379" s="1"/>
      <c r="AC379" s="1"/>
      <c r="AD379" s="1"/>
      <c r="AE379" s="1"/>
    </row>
    <row r="380" spans="2:31">
      <c r="B380" s="254"/>
      <c r="C380" s="254"/>
      <c r="D380" s="254"/>
      <c r="E380" s="254" t="str">
        <f>_xlfn.CONCAT('Commercial Dishwasher'!K12," ",'Commercial Dishwasher'!L12)</f>
        <v xml:space="preserve"> </v>
      </c>
      <c r="F380" s="254" t="e">
        <f t="shared" si="49"/>
        <v>#N/A</v>
      </c>
      <c r="G380" s="254" t="e">
        <f t="shared" si="57"/>
        <v>#N/A</v>
      </c>
      <c r="H380" s="254" t="e">
        <f t="shared" si="50"/>
        <v>#N/A</v>
      </c>
      <c r="I380" s="254" t="e">
        <f t="shared" si="51"/>
        <v>#N/A</v>
      </c>
      <c r="J380" s="254" t="e">
        <f t="shared" si="52"/>
        <v>#N/A</v>
      </c>
      <c r="K380" s="254" t="e">
        <f t="shared" si="53"/>
        <v>#N/A</v>
      </c>
      <c r="L380" s="254" t="e">
        <f t="shared" si="58"/>
        <v>#N/A</v>
      </c>
      <c r="M380" s="254" t="e">
        <f t="shared" si="59"/>
        <v>#N/A</v>
      </c>
      <c r="N380" s="254" t="e">
        <f t="shared" si="61"/>
        <v>#N/A</v>
      </c>
      <c r="O380" s="254">
        <f t="shared" si="54"/>
        <v>0</v>
      </c>
      <c r="P380" s="254">
        <f t="shared" si="55"/>
        <v>0</v>
      </c>
      <c r="Q380" s="254">
        <f t="shared" si="56"/>
        <v>0</v>
      </c>
      <c r="R380" s="254">
        <f t="shared" si="60"/>
        <v>0</v>
      </c>
      <c r="X380" s="1"/>
      <c r="Y380" s="1"/>
      <c r="Z380" s="143"/>
      <c r="AA380" s="1"/>
      <c r="AB380" s="1"/>
      <c r="AC380" s="1"/>
      <c r="AD380" s="1"/>
      <c r="AE380" s="1"/>
    </row>
    <row r="381" spans="2:31">
      <c r="B381" s="254"/>
      <c r="C381" s="254"/>
      <c r="D381" s="254"/>
      <c r="E381" s="254" t="str">
        <f>_xlfn.CONCAT('Commercial Dishwasher'!K13," ",'Commercial Dishwasher'!L13)</f>
        <v xml:space="preserve"> </v>
      </c>
      <c r="F381" s="254" t="e">
        <f t="shared" si="49"/>
        <v>#N/A</v>
      </c>
      <c r="G381" s="254" t="e">
        <f t="shared" si="57"/>
        <v>#N/A</v>
      </c>
      <c r="H381" s="254" t="e">
        <f t="shared" si="50"/>
        <v>#N/A</v>
      </c>
      <c r="I381" s="254" t="e">
        <f t="shared" si="51"/>
        <v>#N/A</v>
      </c>
      <c r="J381" s="254" t="e">
        <f t="shared" si="52"/>
        <v>#N/A</v>
      </c>
      <c r="K381" s="254" t="e">
        <f t="shared" si="53"/>
        <v>#N/A</v>
      </c>
      <c r="L381" s="254" t="e">
        <f t="shared" si="58"/>
        <v>#N/A</v>
      </c>
      <c r="M381" s="254" t="e">
        <f t="shared" si="59"/>
        <v>#N/A</v>
      </c>
      <c r="N381" s="254" t="e">
        <f t="shared" si="61"/>
        <v>#N/A</v>
      </c>
      <c r="O381" s="254">
        <f t="shared" si="54"/>
        <v>0</v>
      </c>
      <c r="P381" s="254">
        <f t="shared" si="55"/>
        <v>0</v>
      </c>
      <c r="Q381" s="254">
        <f t="shared" si="56"/>
        <v>0</v>
      </c>
      <c r="R381" s="254">
        <f t="shared" si="60"/>
        <v>0</v>
      </c>
      <c r="X381" s="1"/>
      <c r="Y381" s="1"/>
      <c r="Z381" s="143"/>
      <c r="AA381" s="1"/>
      <c r="AB381" s="1"/>
      <c r="AC381" s="1"/>
      <c r="AD381" s="1"/>
      <c r="AE381" s="1"/>
    </row>
    <row r="382" spans="2:31">
      <c r="B382" s="254"/>
      <c r="C382" s="254"/>
      <c r="D382" s="254"/>
      <c r="E382" s="254" t="str">
        <f>_xlfn.CONCAT('Commercial Dishwasher'!K14," ",'Commercial Dishwasher'!L14)</f>
        <v xml:space="preserve"> </v>
      </c>
      <c r="F382" s="254" t="e">
        <f t="shared" si="49"/>
        <v>#N/A</v>
      </c>
      <c r="G382" s="254" t="e">
        <f t="shared" si="57"/>
        <v>#N/A</v>
      </c>
      <c r="H382" s="254" t="e">
        <f t="shared" si="50"/>
        <v>#N/A</v>
      </c>
      <c r="I382" s="254" t="e">
        <f t="shared" si="51"/>
        <v>#N/A</v>
      </c>
      <c r="J382" s="254" t="e">
        <f t="shared" si="52"/>
        <v>#N/A</v>
      </c>
      <c r="K382" s="254" t="e">
        <f t="shared" si="53"/>
        <v>#N/A</v>
      </c>
      <c r="L382" s="254" t="e">
        <f t="shared" si="58"/>
        <v>#N/A</v>
      </c>
      <c r="M382" s="254" t="e">
        <f t="shared" si="59"/>
        <v>#N/A</v>
      </c>
      <c r="N382" s="254" t="e">
        <f t="shared" si="61"/>
        <v>#N/A</v>
      </c>
      <c r="O382" s="254">
        <f t="shared" si="54"/>
        <v>0</v>
      </c>
      <c r="P382" s="254">
        <f t="shared" si="55"/>
        <v>0</v>
      </c>
      <c r="Q382" s="254">
        <f t="shared" si="56"/>
        <v>0</v>
      </c>
      <c r="R382" s="254">
        <f t="shared" si="60"/>
        <v>0</v>
      </c>
      <c r="X382" s="1"/>
      <c r="Y382" s="1"/>
      <c r="Z382" s="143"/>
      <c r="AA382" s="1"/>
      <c r="AB382" s="1"/>
      <c r="AC382" s="1"/>
      <c r="AD382" s="1"/>
      <c r="AE382" s="1"/>
    </row>
    <row r="383" spans="2:31">
      <c r="X383" s="1"/>
      <c r="Y383" s="1"/>
      <c r="Z383" s="143"/>
      <c r="AA383" s="1"/>
      <c r="AB383" s="1"/>
      <c r="AC383" s="1"/>
      <c r="AD383" s="1"/>
      <c r="AE383" s="1"/>
    </row>
    <row r="384" spans="2:31">
      <c r="X384" s="1"/>
      <c r="Y384" s="1"/>
      <c r="Z384" s="143"/>
      <c r="AA384" s="1"/>
      <c r="AB384" s="1"/>
      <c r="AC384" s="1"/>
      <c r="AD384" s="1"/>
      <c r="AE384" s="1"/>
    </row>
    <row r="385" spans="2:31">
      <c r="X385" s="1"/>
      <c r="Y385" s="1"/>
      <c r="Z385" s="143"/>
      <c r="AA385" s="1"/>
      <c r="AB385" s="1"/>
      <c r="AC385" s="1"/>
      <c r="AD385" s="1"/>
      <c r="AE385" s="1"/>
    </row>
    <row r="386" spans="2:31">
      <c r="X386" s="1"/>
      <c r="Y386" s="1"/>
      <c r="Z386" s="143"/>
      <c r="AA386" s="1"/>
      <c r="AB386" s="1"/>
      <c r="AC386" s="1"/>
      <c r="AD386" s="1"/>
      <c r="AE386" s="1"/>
    </row>
    <row r="387" spans="2:31">
      <c r="D387" s="107"/>
      <c r="E387" s="107"/>
      <c r="G387" s="107"/>
      <c r="H387" s="107"/>
      <c r="I387" s="107"/>
      <c r="J387" s="107"/>
      <c r="X387" s="1"/>
      <c r="Y387" s="1"/>
      <c r="Z387" s="143"/>
      <c r="AA387" s="1"/>
      <c r="AB387" s="1"/>
      <c r="AC387" s="1"/>
      <c r="AD387" s="1"/>
      <c r="AE387" s="1"/>
    </row>
    <row r="388" spans="2:31" ht="18.75" thickBot="1">
      <c r="B388" s="573" t="s">
        <v>809</v>
      </c>
      <c r="C388" s="88"/>
      <c r="D388" s="88"/>
      <c r="E388" s="88"/>
      <c r="F388" s="88"/>
      <c r="G388" s="88"/>
      <c r="H388" s="88"/>
      <c r="I388" s="88"/>
      <c r="J388" s="88"/>
      <c r="X388" s="1"/>
      <c r="Y388" s="1"/>
      <c r="Z388" s="143"/>
      <c r="AA388" s="1"/>
      <c r="AB388" s="1"/>
      <c r="AC388" s="1"/>
      <c r="AD388" s="1"/>
      <c r="AE388" s="1"/>
    </row>
    <row r="389" spans="2:31" ht="18">
      <c r="B389" s="7" t="s">
        <v>810</v>
      </c>
      <c r="C389" s="171"/>
      <c r="D389" s="171"/>
      <c r="F389" s="7" t="s">
        <v>366</v>
      </c>
      <c r="H389" s="107"/>
      <c r="I389" s="107"/>
      <c r="K389" s="107"/>
      <c r="L389" s="107"/>
      <c r="X389" s="1"/>
      <c r="Y389" s="1"/>
      <c r="Z389" s="143"/>
      <c r="AA389" s="1"/>
      <c r="AB389" s="1"/>
      <c r="AC389" s="1"/>
      <c r="AD389" s="1"/>
      <c r="AE389" s="1"/>
    </row>
    <row r="390" spans="2:31">
      <c r="B390" s="224" t="s">
        <v>123</v>
      </c>
      <c r="C390" s="224">
        <v>11.4</v>
      </c>
      <c r="D390" s="224" t="s">
        <v>811</v>
      </c>
      <c r="F390" s="224" t="s">
        <v>466</v>
      </c>
      <c r="G390" s="224">
        <v>128</v>
      </c>
      <c r="H390" s="224" t="s">
        <v>812</v>
      </c>
      <c r="I390" s="107"/>
      <c r="X390" s="1"/>
      <c r="Y390" s="1"/>
      <c r="Z390" s="143"/>
      <c r="AA390" s="1"/>
      <c r="AB390" s="1"/>
      <c r="AC390" s="1"/>
      <c r="AD390" s="1"/>
      <c r="AE390" s="1"/>
    </row>
    <row r="391" spans="2:31" ht="18.75">
      <c r="B391" s="224" t="s">
        <v>813</v>
      </c>
      <c r="C391" s="224">
        <v>2.1199999999999999E-3</v>
      </c>
      <c r="D391" s="224" t="s">
        <v>814</v>
      </c>
      <c r="F391" s="224" t="s">
        <v>368</v>
      </c>
      <c r="G391" s="224">
        <v>3.7999999999999999E-2</v>
      </c>
      <c r="H391" s="224" t="s">
        <v>815</v>
      </c>
      <c r="I391" s="107"/>
      <c r="X391" s="1"/>
      <c r="Y391" s="1"/>
      <c r="Z391" s="143"/>
      <c r="AA391" s="1"/>
      <c r="AB391" s="1"/>
      <c r="AC391" s="1"/>
      <c r="AD391" s="1"/>
      <c r="AE391" s="1"/>
    </row>
    <row r="392" spans="2:31" ht="18.75">
      <c r="B392" s="224" t="s">
        <v>816</v>
      </c>
      <c r="C392" s="224">
        <v>1.3600000000000001E-3</v>
      </c>
      <c r="D392" s="224" t="s">
        <v>817</v>
      </c>
      <c r="F392" s="224" t="s">
        <v>818</v>
      </c>
      <c r="G392" s="224">
        <v>1.863E-4</v>
      </c>
      <c r="H392" s="224"/>
      <c r="I392" s="107"/>
      <c r="K392" s="107"/>
      <c r="L392" s="107"/>
      <c r="X392" s="1"/>
      <c r="Y392" s="1"/>
      <c r="Z392" s="143"/>
      <c r="AA392" s="1"/>
      <c r="AB392" s="1"/>
      <c r="AC392" s="1"/>
      <c r="AD392" s="1"/>
      <c r="AE392" s="1"/>
    </row>
    <row r="393" spans="2:31" ht="18.75">
      <c r="B393" s="224" t="s">
        <v>819</v>
      </c>
      <c r="C393" s="244">
        <v>0.85</v>
      </c>
      <c r="D393" s="224" t="s">
        <v>424</v>
      </c>
      <c r="F393" s="224" t="s">
        <v>820</v>
      </c>
      <c r="G393" s="224">
        <v>1.192E-4</v>
      </c>
      <c r="H393" s="224"/>
      <c r="I393" s="107"/>
      <c r="K393" s="107"/>
      <c r="L393" s="107"/>
      <c r="X393" s="1"/>
      <c r="Y393" s="1"/>
      <c r="Z393" s="143"/>
      <c r="AA393" s="1"/>
      <c r="AB393" s="1"/>
      <c r="AC393" s="1"/>
      <c r="AD393" s="1"/>
      <c r="AE393" s="1"/>
    </row>
    <row r="394" spans="2:31" ht="18.75">
      <c r="B394" s="224" t="s">
        <v>821</v>
      </c>
      <c r="C394" s="244">
        <v>0.8</v>
      </c>
      <c r="D394" s="224" t="s">
        <v>424</v>
      </c>
      <c r="F394" s="224" t="s">
        <v>377</v>
      </c>
      <c r="G394" s="224">
        <v>312</v>
      </c>
      <c r="H394" s="224" t="s">
        <v>475</v>
      </c>
      <c r="I394" s="107"/>
      <c r="K394" s="107"/>
      <c r="L394" s="107"/>
      <c r="X394" s="1"/>
      <c r="Y394" s="1"/>
      <c r="Z394" s="143"/>
      <c r="AA394" s="1"/>
      <c r="AB394" s="1"/>
      <c r="AC394" s="1"/>
      <c r="AD394" s="1"/>
      <c r="AE394" s="1"/>
    </row>
    <row r="395" spans="2:31">
      <c r="F395" s="224" t="s">
        <v>822</v>
      </c>
      <c r="G395" s="224">
        <v>0.10249999999999999</v>
      </c>
      <c r="H395" s="224" t="s">
        <v>424</v>
      </c>
      <c r="I395" s="107"/>
      <c r="K395" s="107"/>
      <c r="L395" s="107"/>
      <c r="X395" s="1"/>
      <c r="Y395" s="143"/>
      <c r="Z395" s="1"/>
      <c r="AA395" s="1"/>
      <c r="AB395" s="1"/>
      <c r="AC395" s="1"/>
      <c r="AD395" s="1"/>
    </row>
    <row r="396" spans="2:31">
      <c r="B396" s="107"/>
      <c r="C396" s="107"/>
      <c r="D396" s="107"/>
      <c r="E396" s="107"/>
      <c r="G396" s="107"/>
      <c r="H396" s="107"/>
      <c r="I396" s="107"/>
      <c r="J396" s="107"/>
      <c r="X396" s="1"/>
      <c r="Y396" s="143"/>
      <c r="Z396" s="1"/>
      <c r="AA396" s="1"/>
      <c r="AB396" s="1"/>
      <c r="AC396" s="1"/>
      <c r="AD396" s="1"/>
    </row>
    <row r="397" spans="2:31" ht="18">
      <c r="B397" s="7" t="s">
        <v>382</v>
      </c>
      <c r="D397" s="107"/>
      <c r="E397" s="107"/>
      <c r="G397" s="107"/>
      <c r="H397" s="107"/>
      <c r="I397" s="107"/>
      <c r="J397" s="107"/>
      <c r="X397" s="1"/>
      <c r="Y397" s="143"/>
      <c r="Z397" s="1"/>
      <c r="AA397" s="1"/>
      <c r="AB397" s="1"/>
      <c r="AC397" s="1"/>
      <c r="AD397" s="1"/>
    </row>
    <row r="398" spans="2:31" ht="15">
      <c r="B398" s="176" t="s">
        <v>823</v>
      </c>
      <c r="C398" s="176" t="s">
        <v>110</v>
      </c>
      <c r="D398" s="176" t="s">
        <v>123</v>
      </c>
      <c r="E398" s="176" t="s">
        <v>824</v>
      </c>
      <c r="F398" s="176" t="s">
        <v>825</v>
      </c>
      <c r="G398" s="176" t="s">
        <v>121</v>
      </c>
      <c r="H398" s="107"/>
      <c r="I398" s="107"/>
      <c r="X398" s="1"/>
      <c r="Y398" s="143"/>
      <c r="Z398" s="1"/>
      <c r="AA398" s="1"/>
      <c r="AB398" s="1"/>
      <c r="AC398" s="1"/>
      <c r="AD398" s="1"/>
    </row>
    <row r="399" spans="2:31">
      <c r="B399" s="463" t="str">
        <f>IF('Commercial Induction Cooktops'!D7="","",'Commercial Induction Cooktops'!D7)</f>
        <v/>
      </c>
      <c r="C399" s="463" t="str">
        <f>IF('Commercial Induction Cooktops'!E7="","",'Commercial Induction Cooktops'!E7)</f>
        <v/>
      </c>
      <c r="D399" s="224">
        <f>IFERROR($G$390*$G$391*((1/$C$394)-(1/$C$393))*$G$394*B399*$G$395*C399, 0)</f>
        <v>0</v>
      </c>
      <c r="E399" s="574">
        <f>D399*$G$392</f>
        <v>0</v>
      </c>
      <c r="F399" s="224">
        <f>D399*$G$393</f>
        <v>0</v>
      </c>
      <c r="G399" s="465">
        <f>IFERROR(ROUND(AVERAGE(E399,F399),4),0)</f>
        <v>0</v>
      </c>
      <c r="H399" s="107"/>
      <c r="I399" s="107"/>
      <c r="X399" s="1"/>
      <c r="Y399" s="143"/>
      <c r="Z399" s="1"/>
      <c r="AA399" s="1"/>
      <c r="AB399" s="1"/>
      <c r="AC399" s="1"/>
      <c r="AD399" s="1"/>
    </row>
    <row r="400" spans="2:31">
      <c r="B400" s="463" t="str">
        <f>IF('Commercial Induction Cooktops'!D8="","",'Commercial Induction Cooktops'!D8)</f>
        <v/>
      </c>
      <c r="C400" s="463" t="str">
        <f>IF('Commercial Induction Cooktops'!E8="","",'Commercial Induction Cooktops'!E8)</f>
        <v/>
      </c>
      <c r="D400" s="224">
        <f>IFERROR($G$390*$G$391*((1/$C$394)-(1/$C$393))*$G$394*B400*$G$395*C400, 0)</f>
        <v>0</v>
      </c>
      <c r="E400" s="574">
        <f>D400*$G$392</f>
        <v>0</v>
      </c>
      <c r="F400" s="224">
        <f>D400*$G$393</f>
        <v>0</v>
      </c>
      <c r="G400" s="465">
        <f>IFERROR(ROUND(AVERAGE(E400,F400),4),0)</f>
        <v>0</v>
      </c>
      <c r="H400" s="107"/>
      <c r="I400" s="107"/>
      <c r="X400" s="1"/>
      <c r="Y400" s="1"/>
      <c r="Z400" s="143"/>
      <c r="AA400" s="1"/>
      <c r="AB400" s="1"/>
      <c r="AC400" s="1"/>
      <c r="AD400" s="1"/>
      <c r="AE400" s="1"/>
    </row>
    <row r="401" spans="2:31">
      <c r="B401" s="463" t="str">
        <f>IF('Commercial Induction Cooktops'!D9="","",'Commercial Induction Cooktops'!D9)</f>
        <v/>
      </c>
      <c r="C401" s="463" t="str">
        <f>IF('Commercial Induction Cooktops'!E9="","",'Commercial Induction Cooktops'!E9)</f>
        <v/>
      </c>
      <c r="D401" s="224">
        <f>IFERROR($G$390*$G$391*((1/$C$394)-(1/$C$393))*$G$394*B401*$G$395*C401, 0)</f>
        <v>0</v>
      </c>
      <c r="E401" s="574">
        <f>D401*$G$392</f>
        <v>0</v>
      </c>
      <c r="F401" s="224">
        <f>D401*$G$393</f>
        <v>0</v>
      </c>
      <c r="G401" s="465">
        <f>IFERROR(ROUND(AVERAGE(E401,F401),4),0)</f>
        <v>0</v>
      </c>
      <c r="H401" s="107"/>
      <c r="I401" s="107"/>
      <c r="X401" s="1"/>
      <c r="Y401" s="1"/>
      <c r="Z401" s="143"/>
      <c r="AA401" s="1"/>
      <c r="AB401" s="1"/>
      <c r="AC401" s="1"/>
      <c r="AD401" s="1"/>
      <c r="AE401" s="1"/>
    </row>
    <row r="402" spans="2:31">
      <c r="B402" s="463" t="str">
        <f>IF('Commercial Induction Cooktops'!D10="","",'Commercial Induction Cooktops'!D10)</f>
        <v/>
      </c>
      <c r="C402" s="463" t="str">
        <f>IF('Commercial Induction Cooktops'!E10="","",'Commercial Induction Cooktops'!E10)</f>
        <v/>
      </c>
      <c r="D402" s="224">
        <f>IFERROR($G$390*$G$391*((1/$C$394)-(1/$C$393))*$G$394*B402*$G$395*C402, 0)</f>
        <v>0</v>
      </c>
      <c r="E402" s="574">
        <f>D402*$G$392</f>
        <v>0</v>
      </c>
      <c r="F402" s="224">
        <f>D402*$G$393</f>
        <v>0</v>
      </c>
      <c r="G402" s="465">
        <f>IFERROR(ROUND(AVERAGE(E402,F402),4),0)</f>
        <v>0</v>
      </c>
      <c r="H402" s="107"/>
      <c r="I402" s="107"/>
      <c r="X402" s="1"/>
      <c r="Y402" s="1"/>
      <c r="Z402" s="143"/>
      <c r="AA402" s="1"/>
      <c r="AB402" s="1"/>
      <c r="AC402" s="1"/>
      <c r="AD402" s="1"/>
      <c r="AE402" s="1"/>
    </row>
    <row r="403" spans="2:31">
      <c r="D403" s="107"/>
      <c r="E403" s="107"/>
      <c r="G403" s="107"/>
      <c r="H403" s="107"/>
      <c r="I403" s="107"/>
      <c r="J403" s="107"/>
      <c r="Y403" s="1"/>
      <c r="Z403" s="1"/>
      <c r="AA403" s="1"/>
      <c r="AB403" s="1"/>
      <c r="AC403" s="1"/>
    </row>
    <row r="404" spans="2:31">
      <c r="D404" s="107"/>
      <c r="E404" s="107"/>
      <c r="G404" s="107"/>
      <c r="H404" s="107"/>
      <c r="I404" s="107"/>
      <c r="J404" s="107"/>
      <c r="Y404" s="1"/>
      <c r="Z404" s="1"/>
      <c r="AA404" s="1"/>
      <c r="AB404" s="1"/>
    </row>
    <row r="405" spans="2:31">
      <c r="D405" s="107"/>
      <c r="E405" s="107"/>
      <c r="G405" s="107"/>
      <c r="H405" s="107"/>
      <c r="I405" s="107"/>
      <c r="J405" s="107"/>
      <c r="W405" s="6"/>
    </row>
    <row r="406" spans="2:31">
      <c r="D406" s="107"/>
      <c r="E406" s="107"/>
      <c r="G406" s="107"/>
      <c r="H406" s="107"/>
      <c r="X406" s="1"/>
      <c r="Z406" s="143"/>
    </row>
    <row r="407" spans="2:31" ht="18.75" thickBot="1">
      <c r="B407" s="87" t="s">
        <v>826</v>
      </c>
      <c r="C407" s="88"/>
      <c r="D407" s="88"/>
      <c r="E407" s="88"/>
      <c r="F407" s="88"/>
      <c r="G407" s="88"/>
      <c r="H407" s="88"/>
      <c r="I407" s="88"/>
      <c r="J407" s="88"/>
      <c r="K407" s="88"/>
      <c r="L407" s="88"/>
      <c r="M407" s="88"/>
      <c r="N407" s="88"/>
      <c r="O407" s="88"/>
      <c r="P407" s="88"/>
      <c r="W407" s="6"/>
    </row>
    <row r="408" spans="2:31" ht="18">
      <c r="B408" s="420"/>
      <c r="W408" s="6"/>
    </row>
    <row r="409" spans="2:31">
      <c r="B409" s="1" t="s">
        <v>382</v>
      </c>
      <c r="D409" s="107"/>
      <c r="E409" s="172"/>
      <c r="G409" s="107"/>
      <c r="K409" s="1" t="s">
        <v>366</v>
      </c>
      <c r="W409" s="6"/>
    </row>
    <row r="410" spans="2:31" ht="15">
      <c r="B410" s="294" t="s">
        <v>827</v>
      </c>
      <c r="C410" s="294" t="s">
        <v>828</v>
      </c>
      <c r="D410" s="294" t="s">
        <v>829</v>
      </c>
      <c r="E410" s="253" t="s">
        <v>439</v>
      </c>
      <c r="F410" s="176" t="s">
        <v>123</v>
      </c>
      <c r="G410" s="176" t="s">
        <v>121</v>
      </c>
      <c r="H410" s="246" t="s">
        <v>440</v>
      </c>
      <c r="I410" s="246" t="s">
        <v>441</v>
      </c>
      <c r="K410" s="296" t="s">
        <v>463</v>
      </c>
      <c r="L410" s="245" t="s">
        <v>464</v>
      </c>
      <c r="M410" s="245" t="s">
        <v>465</v>
      </c>
      <c r="X410" s="6"/>
      <c r="Y410" s="143"/>
    </row>
    <row r="411" spans="2:31">
      <c r="B411" s="575">
        <f>'ENERGY STAR Bath Fans'!F7</f>
        <v>0</v>
      </c>
      <c r="C411" s="575">
        <f>'ENERGY STAR Bath Fans'!E7</f>
        <v>0</v>
      </c>
      <c r="D411" s="575">
        <f>'ENERGY STAR Bath Fans'!G7</f>
        <v>0</v>
      </c>
      <c r="E411" s="233">
        <f>'ENERGY STAR Bath Fans'!H7</f>
        <v>0</v>
      </c>
      <c r="F411" s="487" t="e">
        <f>(B411*(1/$L$411-1/D411)*C411*$L$412)*E411</f>
        <v>#DIV/0!</v>
      </c>
      <c r="G411" s="576" t="e">
        <f>AVERAGE(H411,I411)</f>
        <v>#DIV/0!</v>
      </c>
      <c r="H411" s="577" t="e">
        <f>(F411*$L$414)</f>
        <v>#DIV/0!</v>
      </c>
      <c r="I411" s="578" t="e">
        <f>(F411*$L$413)</f>
        <v>#DIV/0!</v>
      </c>
      <c r="K411" s="247" t="s">
        <v>830</v>
      </c>
      <c r="L411" s="247">
        <v>2.6</v>
      </c>
      <c r="M411" s="247" t="s">
        <v>831</v>
      </c>
      <c r="X411" s="6"/>
      <c r="Y411" s="143"/>
    </row>
    <row r="412" spans="2:31">
      <c r="B412" s="575">
        <f>'ENERGY STAR Bath Fans'!F8</f>
        <v>0</v>
      </c>
      <c r="C412" s="575">
        <f>'ENERGY STAR Bath Fans'!E8</f>
        <v>0</v>
      </c>
      <c r="D412" s="575">
        <f>'ENERGY STAR Bath Fans'!G8</f>
        <v>0</v>
      </c>
      <c r="E412" s="233">
        <f>'ENERGY STAR Bath Fans'!H8</f>
        <v>0</v>
      </c>
      <c r="F412" s="487" t="e">
        <f>(B412*(1/$L$411-1/D412)*C412*$L$412)*E412</f>
        <v>#DIV/0!</v>
      </c>
      <c r="G412" s="576" t="e">
        <f t="shared" ref="G412:G414" si="62">AVERAGE(H412,I412)</f>
        <v>#DIV/0!</v>
      </c>
      <c r="H412" s="577" t="e">
        <f>(F412*$L$414)</f>
        <v>#DIV/0!</v>
      </c>
      <c r="I412" s="578" t="e">
        <f>(F412*$L$413)</f>
        <v>#DIV/0!</v>
      </c>
      <c r="K412" s="297" t="s">
        <v>832</v>
      </c>
      <c r="L412" s="247">
        <v>1E-3</v>
      </c>
      <c r="M412" s="247" t="s">
        <v>685</v>
      </c>
      <c r="X412" s="6"/>
      <c r="Y412" s="143"/>
    </row>
    <row r="413" spans="2:31">
      <c r="B413" s="575">
        <f>'ENERGY STAR Bath Fans'!F9</f>
        <v>0</v>
      </c>
      <c r="C413" s="575">
        <f>'ENERGY STAR Bath Fans'!E9</f>
        <v>0</v>
      </c>
      <c r="D413" s="575">
        <f>'ENERGY STAR Bath Fans'!G9</f>
        <v>0</v>
      </c>
      <c r="E413" s="233">
        <f>'ENERGY STAR Bath Fans'!H9</f>
        <v>0</v>
      </c>
      <c r="F413" s="487" t="e">
        <f>(B413*(1/$L$411-1/D413)*C413*$L$412)*E413</f>
        <v>#DIV/0!</v>
      </c>
      <c r="G413" s="576" t="e">
        <f t="shared" si="62"/>
        <v>#DIV/0!</v>
      </c>
      <c r="H413" s="577" t="e">
        <f>(F413*$L$414)</f>
        <v>#DIV/0!</v>
      </c>
      <c r="I413" s="578" t="e">
        <f>(F413*$L$413)</f>
        <v>#DIV/0!</v>
      </c>
      <c r="K413" s="298" t="s">
        <v>429</v>
      </c>
      <c r="L413" s="247">
        <v>1.3019999999999999E-4</v>
      </c>
      <c r="M413" s="247" t="s">
        <v>380</v>
      </c>
      <c r="X413" s="6"/>
      <c r="Y413" s="143"/>
    </row>
    <row r="414" spans="2:31">
      <c r="B414" s="575">
        <f>'ENERGY STAR Bath Fans'!F10</f>
        <v>0</v>
      </c>
      <c r="C414" s="575">
        <f>'ENERGY STAR Bath Fans'!E10</f>
        <v>0</v>
      </c>
      <c r="D414" s="575">
        <f>'ENERGY STAR Bath Fans'!G10</f>
        <v>0</v>
      </c>
      <c r="E414" s="233">
        <f>'ENERGY STAR Bath Fans'!H10</f>
        <v>0</v>
      </c>
      <c r="F414" s="487" t="e">
        <f>(B414*(1/$L$411-1/D414)*C414*$L$412)*E414</f>
        <v>#DIV/0!</v>
      </c>
      <c r="G414" s="576" t="e">
        <f t="shared" si="62"/>
        <v>#DIV/0!</v>
      </c>
      <c r="H414" s="577" t="e">
        <f>(F414*$L$414)</f>
        <v>#DIV/0!</v>
      </c>
      <c r="I414" s="578" t="e">
        <f>(F414*$L$413)</f>
        <v>#DIV/0!</v>
      </c>
      <c r="K414" s="247" t="s">
        <v>428</v>
      </c>
      <c r="L414" s="301">
        <v>1.7650000000000001E-4</v>
      </c>
      <c r="M414" s="247" t="s">
        <v>380</v>
      </c>
      <c r="X414" s="6"/>
      <c r="Y414" s="143"/>
    </row>
    <row r="415" spans="2:31">
      <c r="C415" s="52"/>
      <c r="D415" s="107"/>
      <c r="E415" s="107"/>
      <c r="G415" s="107"/>
      <c r="K415" s="295"/>
      <c r="W415" s="6"/>
    </row>
    <row r="416" spans="2:31">
      <c r="D416" s="107"/>
      <c r="E416" s="107"/>
      <c r="G416" s="107"/>
      <c r="W416" s="6"/>
    </row>
    <row r="417" spans="2:23" ht="18.75" thickBot="1">
      <c r="B417" s="573" t="s">
        <v>343</v>
      </c>
      <c r="C417" s="88"/>
      <c r="D417" s="88"/>
      <c r="E417" s="88"/>
      <c r="F417" s="88"/>
      <c r="G417" s="88"/>
      <c r="H417" s="88"/>
      <c r="I417" s="88"/>
      <c r="J417" s="88"/>
      <c r="W417" s="6"/>
    </row>
    <row r="418" spans="2:23">
      <c r="D418" s="107"/>
      <c r="E418" s="107"/>
      <c r="G418" s="107"/>
      <c r="W418" s="6"/>
    </row>
    <row r="419" spans="2:23" ht="18">
      <c r="B419" s="7" t="s">
        <v>810</v>
      </c>
      <c r="C419" s="6"/>
      <c r="D419" s="6"/>
      <c r="E419" s="6"/>
      <c r="F419" s="7" t="s">
        <v>779</v>
      </c>
      <c r="G419" s="107"/>
      <c r="W419" s="6"/>
    </row>
    <row r="420" spans="2:23" ht="18.75">
      <c r="B420" s="224" t="s">
        <v>377</v>
      </c>
      <c r="C420" s="224">
        <v>365</v>
      </c>
      <c r="D420" s="224" t="s">
        <v>418</v>
      </c>
      <c r="E420" s="6"/>
      <c r="F420" s="138" t="s">
        <v>833</v>
      </c>
      <c r="G420" s="138" t="s">
        <v>821</v>
      </c>
      <c r="H420" s="138" t="s">
        <v>819</v>
      </c>
      <c r="I420" s="138" t="s">
        <v>834</v>
      </c>
      <c r="J420" s="138" t="s">
        <v>835</v>
      </c>
      <c r="W420" s="6"/>
    </row>
    <row r="421" spans="2:23">
      <c r="B421" s="224" t="s">
        <v>836</v>
      </c>
      <c r="C421" s="224">
        <v>100</v>
      </c>
      <c r="D421" s="224" t="s">
        <v>467</v>
      </c>
      <c r="E421" s="6"/>
      <c r="F421" s="580" t="s">
        <v>837</v>
      </c>
      <c r="G421" s="467">
        <v>0.65</v>
      </c>
      <c r="H421" s="467">
        <v>0.7</v>
      </c>
      <c r="I421" s="224">
        <v>5.83</v>
      </c>
      <c r="J421" s="224">
        <v>6.67</v>
      </c>
      <c r="W421" s="6"/>
    </row>
    <row r="422" spans="2:23">
      <c r="B422" s="224" t="s">
        <v>468</v>
      </c>
      <c r="C422" s="224">
        <v>139</v>
      </c>
      <c r="D422" s="224" t="s">
        <v>421</v>
      </c>
      <c r="E422" s="6"/>
      <c r="F422" s="580" t="s">
        <v>838</v>
      </c>
      <c r="G422" s="467">
        <v>0.65</v>
      </c>
      <c r="H422" s="467">
        <v>0.72</v>
      </c>
      <c r="I422" s="224">
        <v>11.67</v>
      </c>
      <c r="J422" s="224">
        <v>13.92</v>
      </c>
      <c r="W422" s="6"/>
    </row>
    <row r="423" spans="2:23" ht="23.25" customHeight="1">
      <c r="B423" s="224" t="s">
        <v>839</v>
      </c>
      <c r="C423" s="579">
        <v>400</v>
      </c>
      <c r="D423" s="224" t="s">
        <v>840</v>
      </c>
      <c r="E423" s="6"/>
      <c r="W423" s="6"/>
    </row>
    <row r="424" spans="2:23" ht="18.75">
      <c r="B424" s="224" t="s">
        <v>841</v>
      </c>
      <c r="C424" s="579">
        <v>320</v>
      </c>
      <c r="D424" s="224" t="s">
        <v>840</v>
      </c>
      <c r="E424" s="6"/>
      <c r="W424" s="6"/>
    </row>
    <row r="425" spans="2:23">
      <c r="B425" s="224" t="s">
        <v>51</v>
      </c>
      <c r="C425" s="579">
        <v>6</v>
      </c>
      <c r="D425" s="224" t="s">
        <v>842</v>
      </c>
      <c r="E425" s="6"/>
      <c r="W425" s="6"/>
    </row>
    <row r="426" spans="2:23">
      <c r="B426" s="224" t="s">
        <v>843</v>
      </c>
      <c r="C426" s="579">
        <v>12</v>
      </c>
      <c r="D426" s="224" t="s">
        <v>844</v>
      </c>
      <c r="E426" s="6"/>
      <c r="W426" s="6"/>
    </row>
    <row r="427" spans="2:23">
      <c r="B427" s="224" t="s">
        <v>845</v>
      </c>
      <c r="C427" s="579">
        <v>1</v>
      </c>
      <c r="D427" s="224" t="s">
        <v>846</v>
      </c>
      <c r="E427" s="6"/>
      <c r="W427" s="6"/>
    </row>
    <row r="428" spans="2:23">
      <c r="B428" s="224" t="s">
        <v>847</v>
      </c>
      <c r="C428" s="579">
        <v>15</v>
      </c>
      <c r="D428" s="224" t="s">
        <v>848</v>
      </c>
      <c r="E428" s="6"/>
      <c r="F428" s="6"/>
      <c r="G428" s="107"/>
      <c r="W428" s="6"/>
    </row>
    <row r="429" spans="2:23" ht="18.75">
      <c r="B429" s="224" t="s">
        <v>849</v>
      </c>
      <c r="C429" s="579">
        <v>4000</v>
      </c>
      <c r="D429" s="224" t="s">
        <v>850</v>
      </c>
      <c r="E429" s="6"/>
      <c r="F429" s="7" t="s">
        <v>851</v>
      </c>
      <c r="G429" s="107"/>
      <c r="W429" s="6"/>
    </row>
    <row r="430" spans="2:23" ht="20.25" customHeight="1">
      <c r="B430" s="224" t="s">
        <v>852</v>
      </c>
      <c r="C430" s="579">
        <v>2000</v>
      </c>
      <c r="D430" s="224" t="s">
        <v>850</v>
      </c>
      <c r="E430" s="6"/>
      <c r="F430" s="138" t="s">
        <v>833</v>
      </c>
      <c r="G430" s="138" t="s">
        <v>853</v>
      </c>
      <c r="H430" s="138" t="s">
        <v>854</v>
      </c>
      <c r="I430" s="138" t="s">
        <v>855</v>
      </c>
      <c r="J430" s="138" t="s">
        <v>856</v>
      </c>
      <c r="K430" s="138" t="s">
        <v>857</v>
      </c>
      <c r="L430" s="138" t="s">
        <v>858</v>
      </c>
      <c r="W430" s="6"/>
    </row>
    <row r="431" spans="2:23" ht="18.75">
      <c r="B431" s="224" t="s">
        <v>818</v>
      </c>
      <c r="C431" s="579">
        <v>1.863E-4</v>
      </c>
      <c r="D431" s="224" t="s">
        <v>380</v>
      </c>
      <c r="E431" s="6"/>
      <c r="F431" s="356" t="s">
        <v>837</v>
      </c>
      <c r="G431" s="356">
        <v>1527</v>
      </c>
      <c r="H431" s="356">
        <v>3583</v>
      </c>
      <c r="I431" s="356">
        <v>2000</v>
      </c>
      <c r="J431" s="356">
        <v>2595</v>
      </c>
      <c r="K431" s="356">
        <v>0.48</v>
      </c>
      <c r="L431" s="356">
        <v>0.31</v>
      </c>
      <c r="W431" s="6"/>
    </row>
    <row r="432" spans="2:23" ht="18.75">
      <c r="B432" s="224" t="s">
        <v>820</v>
      </c>
      <c r="C432" s="579">
        <v>1.192E-4</v>
      </c>
      <c r="D432" s="224" t="s">
        <v>380</v>
      </c>
      <c r="E432" s="6"/>
      <c r="F432" s="356" t="s">
        <v>838</v>
      </c>
      <c r="G432" s="356">
        <v>2079</v>
      </c>
      <c r="H432" s="356">
        <v>4631</v>
      </c>
      <c r="I432" s="356">
        <v>2000</v>
      </c>
      <c r="J432" s="356">
        <v>3179</v>
      </c>
      <c r="K432" s="356">
        <v>0.59</v>
      </c>
      <c r="L432" s="356">
        <v>0.38</v>
      </c>
      <c r="W432" s="6"/>
    </row>
    <row r="433" spans="2:29">
      <c r="E433" s="6"/>
      <c r="F433" s="6"/>
      <c r="G433" s="107"/>
      <c r="W433" s="6"/>
    </row>
    <row r="434" spans="2:29">
      <c r="E434" s="6"/>
      <c r="F434" s="6"/>
      <c r="G434" s="107"/>
      <c r="W434" s="6"/>
    </row>
    <row r="435" spans="2:29">
      <c r="E435" s="6"/>
      <c r="F435" s="6"/>
      <c r="G435" s="107"/>
      <c r="W435" s="6"/>
    </row>
    <row r="436" spans="2:29" ht="18">
      <c r="B436" s="7" t="s">
        <v>382</v>
      </c>
      <c r="E436" s="6"/>
      <c r="F436" s="6"/>
      <c r="G436" s="107"/>
      <c r="W436" s="6"/>
    </row>
    <row r="437" spans="2:29" ht="18.75">
      <c r="B437" s="176" t="s">
        <v>833</v>
      </c>
      <c r="C437" s="176" t="s">
        <v>110</v>
      </c>
      <c r="D437" s="376" t="s">
        <v>859</v>
      </c>
      <c r="E437" s="376" t="s">
        <v>860</v>
      </c>
      <c r="F437" s="376" t="s">
        <v>861</v>
      </c>
      <c r="G437" s="376" t="s">
        <v>862</v>
      </c>
      <c r="H437" s="376" t="s">
        <v>853</v>
      </c>
      <c r="I437" s="432" t="s">
        <v>863</v>
      </c>
      <c r="J437" s="176" t="s">
        <v>855</v>
      </c>
      <c r="K437" s="176" t="s">
        <v>864</v>
      </c>
      <c r="L437" s="176" t="s">
        <v>807</v>
      </c>
      <c r="M437" s="176" t="s">
        <v>808</v>
      </c>
      <c r="N437" s="176" t="s">
        <v>121</v>
      </c>
      <c r="X437" s="1"/>
      <c r="Y437" s="1"/>
      <c r="Z437" s="1"/>
      <c r="AA437" s="1"/>
      <c r="AC437" s="143"/>
    </row>
    <row r="438" spans="2:29">
      <c r="B438" s="463" t="str">
        <f>IF('ENERGY STAR Griddle'!E7="","",'ENERGY STAR Griddle'!E7)</f>
        <v/>
      </c>
      <c r="C438" s="463" t="str">
        <f>IF('ENERGY STAR Griddle'!F7="","",'ENERGY STAR Griddle'!F7)</f>
        <v/>
      </c>
      <c r="D438" s="463" t="e">
        <f>(VLOOKUP(B438,$F$421:$J$422,2,FALSE))</f>
        <v>#N/A</v>
      </c>
      <c r="E438" s="463" t="e">
        <f>(VLOOKUP(B438,$F$421:$J$422,3,FALSE))</f>
        <v>#N/A</v>
      </c>
      <c r="F438" s="463" t="e">
        <f>(VLOOKUP(B438,$F$421:$J$422,4,FALSE))</f>
        <v>#N/A</v>
      </c>
      <c r="G438" s="463" t="e">
        <f>(VLOOKUP(B438,$F$421:$J$422,5,FALSE))</f>
        <v>#N/A</v>
      </c>
      <c r="H438" s="224" t="e">
        <f>ROUND($C$421*$C$422*((1/VLOOKUP(B438,$F$421:$J$422,2,FALSE))-(1/VLOOKUP(B438,$F$421:$J$422,3,FALSE))),2)</f>
        <v>#N/A</v>
      </c>
      <c r="I438" s="243" t="e">
        <f>ROUND(($C$423*$C$425*($C$426-($C$421/($F438*$C$425))-($C$427*$C$428/60))) - ($C$424*$C$425*($C$426-$C$421/($G438*$C$425)-$C$427*$C$428/60)),2)</f>
        <v>#N/A</v>
      </c>
      <c r="J438" s="224">
        <f>($C$429-$C$430)*$C$427</f>
        <v>2000</v>
      </c>
      <c r="K438" s="465">
        <f>IF($C438 = " ",0,IFERROR(ROUND((SUM(H438:J438))*$C$420*0.001*$C438,4),0))</f>
        <v>0</v>
      </c>
      <c r="L438" s="465">
        <f>IFERROR(ROUND(K438*$C$431,2),0)</f>
        <v>0</v>
      </c>
      <c r="M438" s="465">
        <f>IFERROR(ROUND(K438*$C$432,2),0)</f>
        <v>0</v>
      </c>
      <c r="N438" s="465">
        <f>IFERROR(ROUND(AVERAGE(L438,M438),4),0)</f>
        <v>0</v>
      </c>
      <c r="X438" s="1"/>
      <c r="Y438" s="1"/>
      <c r="Z438" s="1"/>
      <c r="AA438" s="1"/>
      <c r="AC438" s="143"/>
    </row>
    <row r="439" spans="2:29">
      <c r="B439" s="463" t="str">
        <f>IF('ENERGY STAR Griddle'!E8="","",'ENERGY STAR Griddle'!E8)</f>
        <v/>
      </c>
      <c r="C439" s="463" t="str">
        <f>IF('ENERGY STAR Griddle'!F8="","",'ENERGY STAR Griddle'!F8)</f>
        <v/>
      </c>
      <c r="D439" s="463" t="e">
        <f t="shared" ref="D439:D441" si="63">(VLOOKUP(B439,$F$421:$J$422,2,FALSE))</f>
        <v>#N/A</v>
      </c>
      <c r="E439" s="463" t="e">
        <f t="shared" ref="E439:E441" si="64">(VLOOKUP(B439,$F$421:$J$422,3,FALSE))</f>
        <v>#N/A</v>
      </c>
      <c r="F439" s="463" t="e">
        <f t="shared" ref="F439:F441" si="65">(VLOOKUP(B439,$F$421:$J$422,4,FALSE))</f>
        <v>#N/A</v>
      </c>
      <c r="G439" s="463" t="e">
        <f t="shared" ref="G439:G441" si="66">(VLOOKUP(B439,$F$421:$J$422,5,FALSE))</f>
        <v>#N/A</v>
      </c>
      <c r="H439" s="224" t="e">
        <f>ROUND($C$421*$C$422*((1/VLOOKUP(B439,$F$421:$J$422,2,FALSE))-(1/VLOOKUP(B439,$F$421:$J$422,3,FALSE))),2)</f>
        <v>#N/A</v>
      </c>
      <c r="I439" s="243" t="e">
        <f t="shared" ref="I439:I441" si="67">ROUND(($C$423*$C$425*($C$426-($C$421/($F439*$C$425))-($C$427*$C$428/60))) - ($C$424*$C$425*($C$426-$C$421/($G439*$C$425)-$C$427*$C$428/60)),2)</f>
        <v>#N/A</v>
      </c>
      <c r="J439" s="224">
        <f t="shared" ref="J439:J441" si="68">($C$429-$C$430)*$C$427</f>
        <v>2000</v>
      </c>
      <c r="K439" s="465">
        <f>IF($C439 = " ",0,IFERROR(ROUND((SUM(H439:J439))*$C$420*0.001*$C439,4),0))</f>
        <v>0</v>
      </c>
      <c r="L439" s="465">
        <f t="shared" ref="L439:L441" si="69">IFERROR(ROUND(K439*$C$431,2),0)</f>
        <v>0</v>
      </c>
      <c r="M439" s="465">
        <f t="shared" ref="M439:M441" si="70">IFERROR(ROUND(K439*$C$432,2),0)</f>
        <v>0</v>
      </c>
      <c r="N439" s="465">
        <f t="shared" ref="N439:N441" si="71">IFERROR(ROUND(AVERAGE(L439,M439),4),0)</f>
        <v>0</v>
      </c>
      <c r="X439" s="1"/>
      <c r="Y439" s="1"/>
      <c r="Z439" s="1"/>
      <c r="AA439" s="1"/>
      <c r="AC439" s="143"/>
    </row>
    <row r="440" spans="2:29">
      <c r="B440" s="463" t="str">
        <f>IF('ENERGY STAR Griddle'!E9="","",'ENERGY STAR Griddle'!E9)</f>
        <v/>
      </c>
      <c r="C440" s="463" t="str">
        <f>IF('ENERGY STAR Griddle'!F9="","",'ENERGY STAR Griddle'!F9)</f>
        <v/>
      </c>
      <c r="D440" s="463" t="e">
        <f t="shared" si="63"/>
        <v>#N/A</v>
      </c>
      <c r="E440" s="463" t="e">
        <f t="shared" si="64"/>
        <v>#N/A</v>
      </c>
      <c r="F440" s="463" t="e">
        <f t="shared" si="65"/>
        <v>#N/A</v>
      </c>
      <c r="G440" s="463" t="e">
        <f t="shared" si="66"/>
        <v>#N/A</v>
      </c>
      <c r="H440" s="224" t="e">
        <f>ROUND($C$421*$C$422*((1/VLOOKUP(B440,$F$421:$J$422,2,FALSE))-(1/VLOOKUP(B440,$F$421:$J$422,3,FALSE))),2)</f>
        <v>#N/A</v>
      </c>
      <c r="I440" s="243" t="e">
        <f t="shared" si="67"/>
        <v>#N/A</v>
      </c>
      <c r="J440" s="224">
        <f t="shared" si="68"/>
        <v>2000</v>
      </c>
      <c r="K440" s="465">
        <f>IF($C440 = " ",0,IFERROR(ROUND((SUM(H440:J440))*$C$420*0.001*$C440,4),0))</f>
        <v>0</v>
      </c>
      <c r="L440" s="465">
        <f t="shared" si="69"/>
        <v>0</v>
      </c>
      <c r="M440" s="465">
        <f t="shared" si="70"/>
        <v>0</v>
      </c>
      <c r="N440" s="465">
        <f t="shared" si="71"/>
        <v>0</v>
      </c>
      <c r="X440" s="1"/>
      <c r="Y440" s="1"/>
      <c r="Z440" s="1"/>
      <c r="AA440" s="1"/>
      <c r="AC440" s="143"/>
    </row>
    <row r="441" spans="2:29">
      <c r="B441" s="463" t="str">
        <f>IF('ENERGY STAR Griddle'!E10="","",'ENERGY STAR Griddle'!E10)</f>
        <v/>
      </c>
      <c r="C441" s="463" t="str">
        <f>IF('ENERGY STAR Griddle'!F10="","",'ENERGY STAR Griddle'!F10)</f>
        <v/>
      </c>
      <c r="D441" s="463" t="e">
        <f t="shared" si="63"/>
        <v>#N/A</v>
      </c>
      <c r="E441" s="463" t="e">
        <f t="shared" si="64"/>
        <v>#N/A</v>
      </c>
      <c r="F441" s="463" t="e">
        <f t="shared" si="65"/>
        <v>#N/A</v>
      </c>
      <c r="G441" s="463" t="e">
        <f t="shared" si="66"/>
        <v>#N/A</v>
      </c>
      <c r="H441" s="224" t="e">
        <f>ROUND($C$421*$C$422*((1/VLOOKUP(B441,$F$421:$J$422,2,FALSE))-(1/VLOOKUP(B441,$F$421:$J$422,3,FALSE))),2)</f>
        <v>#N/A</v>
      </c>
      <c r="I441" s="243" t="e">
        <f t="shared" si="67"/>
        <v>#N/A</v>
      </c>
      <c r="J441" s="224">
        <f t="shared" si="68"/>
        <v>2000</v>
      </c>
      <c r="K441" s="465">
        <f>IF($C441 = " ",0,IFERROR(ROUND((SUM(H441:J441))*$C$420*0.001*$C441,4),0))</f>
        <v>0</v>
      </c>
      <c r="L441" s="465">
        <f t="shared" si="69"/>
        <v>0</v>
      </c>
      <c r="M441" s="465">
        <f t="shared" si="70"/>
        <v>0</v>
      </c>
      <c r="N441" s="465">
        <f t="shared" si="71"/>
        <v>0</v>
      </c>
      <c r="X441" s="1"/>
      <c r="Y441" s="1"/>
      <c r="Z441" s="1"/>
      <c r="AA441" s="1"/>
      <c r="AC441" s="143"/>
    </row>
    <row r="442" spans="2:29">
      <c r="C442" s="6"/>
      <c r="D442" s="6"/>
      <c r="E442" s="6"/>
      <c r="F442" s="6"/>
      <c r="G442" s="107"/>
      <c r="W442" s="6"/>
    </row>
    <row r="443" spans="2:29">
      <c r="D443" s="107"/>
      <c r="E443" s="404"/>
      <c r="F443" s="404"/>
      <c r="G443" s="404"/>
      <c r="W443" s="6"/>
    </row>
    <row r="444" spans="2:29">
      <c r="D444" s="107"/>
      <c r="E444" s="107"/>
      <c r="G444" s="107"/>
      <c r="W444" s="6"/>
    </row>
    <row r="445" spans="2:29">
      <c r="D445" s="107"/>
      <c r="E445" s="107"/>
      <c r="G445" s="107"/>
      <c r="W445" s="6"/>
    </row>
    <row r="446" spans="2:29">
      <c r="D446" s="107"/>
      <c r="E446" s="107"/>
      <c r="G446" s="107"/>
      <c r="W446" s="6"/>
    </row>
    <row r="447" spans="2:29" ht="18.75" thickBot="1">
      <c r="B447" s="87" t="s">
        <v>865</v>
      </c>
      <c r="C447" s="88"/>
      <c r="D447" s="88"/>
      <c r="E447" s="88"/>
      <c r="F447" s="88"/>
      <c r="G447" s="88"/>
      <c r="H447" s="88"/>
      <c r="I447" s="88"/>
      <c r="J447" s="88"/>
      <c r="W447" s="6"/>
    </row>
    <row r="448" spans="2:29" ht="18">
      <c r="B448" s="86"/>
      <c r="W448" s="6"/>
    </row>
    <row r="449" spans="2:23" ht="18">
      <c r="B449" s="347" t="s">
        <v>366</v>
      </c>
      <c r="C449"/>
      <c r="D449"/>
      <c r="E449"/>
      <c r="F449"/>
      <c r="G449"/>
      <c r="H449" s="290"/>
      <c r="I449" s="290"/>
      <c r="J449" s="290"/>
      <c r="K449" s="290"/>
      <c r="L449" s="290"/>
      <c r="M449" s="290"/>
      <c r="N449" s="290"/>
      <c r="O449" s="290"/>
      <c r="W449" s="6"/>
    </row>
    <row r="450" spans="2:23">
      <c r="B450" s="138" t="s">
        <v>463</v>
      </c>
      <c r="C450" s="138" t="s">
        <v>465</v>
      </c>
      <c r="D450" s="138" t="s">
        <v>464</v>
      </c>
      <c r="E450"/>
      <c r="F450"/>
      <c r="G450"/>
      <c r="H450" s="290"/>
      <c r="I450" s="290"/>
      <c r="J450" s="290"/>
      <c r="K450" s="290"/>
      <c r="L450" s="290"/>
      <c r="M450" s="290"/>
      <c r="N450" s="290"/>
      <c r="O450" s="290"/>
      <c r="W450" s="6"/>
    </row>
    <row r="451" spans="2:23">
      <c r="B451" s="259" t="s">
        <v>866</v>
      </c>
      <c r="C451" s="259" t="s">
        <v>380</v>
      </c>
      <c r="D451" s="322">
        <v>1.181E-4</v>
      </c>
      <c r="E451"/>
      <c r="F451"/>
      <c r="G451"/>
      <c r="H451" s="290"/>
      <c r="I451" s="290"/>
      <c r="J451" s="290"/>
      <c r="K451" s="290"/>
      <c r="L451" s="290"/>
      <c r="M451" s="290"/>
      <c r="N451" s="290"/>
      <c r="O451" s="290"/>
      <c r="W451" s="6"/>
    </row>
    <row r="452" spans="2:23">
      <c r="B452" s="259" t="s">
        <v>867</v>
      </c>
      <c r="C452" s="259" t="s">
        <v>380</v>
      </c>
      <c r="D452" s="322">
        <v>1.227E-4</v>
      </c>
      <c r="E452"/>
      <c r="F452"/>
      <c r="G452"/>
      <c r="H452" s="290"/>
      <c r="I452" s="290"/>
      <c r="J452" s="290"/>
      <c r="K452" s="290"/>
      <c r="L452" s="290"/>
      <c r="M452" s="290"/>
      <c r="N452" s="290"/>
      <c r="O452" s="290"/>
      <c r="W452" s="6"/>
    </row>
    <row r="453" spans="2:23">
      <c r="B453"/>
      <c r="C453"/>
      <c r="D453"/>
      <c r="E453"/>
      <c r="F453"/>
      <c r="G453"/>
      <c r="H453" s="290"/>
      <c r="I453" s="290"/>
      <c r="J453" s="290"/>
      <c r="K453" s="290"/>
      <c r="L453" s="290"/>
      <c r="M453" s="290"/>
      <c r="N453" s="290"/>
      <c r="O453" s="290"/>
      <c r="W453" s="6"/>
    </row>
    <row r="454" spans="2:23">
      <c r="B454"/>
      <c r="C454"/>
      <c r="D454"/>
      <c r="E454"/>
      <c r="F454"/>
      <c r="G454"/>
      <c r="H454" s="290"/>
      <c r="I454" s="290"/>
      <c r="J454" s="290"/>
      <c r="K454" s="290"/>
      <c r="L454" s="290"/>
      <c r="M454" s="290"/>
      <c r="N454" s="290"/>
      <c r="O454" s="290"/>
      <c r="W454" s="6"/>
    </row>
    <row r="455" spans="2:23" ht="18">
      <c r="B455" s="347" t="s">
        <v>868</v>
      </c>
      <c r="C455"/>
      <c r="D455"/>
      <c r="E455"/>
      <c r="F455"/>
      <c r="G455"/>
      <c r="H455" s="290"/>
      <c r="I455" s="290"/>
      <c r="J455" s="290"/>
      <c r="K455" s="290"/>
      <c r="L455" s="290"/>
      <c r="M455" s="290"/>
      <c r="N455" s="290"/>
      <c r="O455" s="290"/>
      <c r="W455" s="6"/>
    </row>
    <row r="456" spans="2:23">
      <c r="B456" s="348" t="s">
        <v>869</v>
      </c>
      <c r="C456" s="348" t="s">
        <v>509</v>
      </c>
      <c r="D456" s="348" t="s">
        <v>870</v>
      </c>
      <c r="E456" s="348" t="s">
        <v>123</v>
      </c>
      <c r="F456" s="348" t="s">
        <v>326</v>
      </c>
      <c r="G456" s="348" t="s">
        <v>325</v>
      </c>
      <c r="H456" s="290"/>
      <c r="I456" s="290"/>
      <c r="J456" s="290"/>
      <c r="K456" s="290"/>
      <c r="L456" s="290"/>
      <c r="M456" s="290"/>
      <c r="N456" s="290"/>
      <c r="O456" s="290"/>
      <c r="W456" s="6"/>
    </row>
    <row r="457" spans="2:23">
      <c r="B457" s="300" t="s">
        <v>871</v>
      </c>
      <c r="C457" s="349" t="s">
        <v>872</v>
      </c>
      <c r="D457" s="350" t="str" cm="1">
        <f t="array" ref="D457:D464">CONCATENATE(B457:B464,C457:C464)</f>
        <v>One Installed ProcessorRack</v>
      </c>
      <c r="E457" s="375">
        <v>1459</v>
      </c>
      <c r="F457" s="351" cm="1">
        <f t="array" ref="F457:F464">E457:E464*D451</f>
        <v>0.17230789999999999</v>
      </c>
      <c r="G457" s="351" cm="1">
        <f t="array" ref="G457:G464">E457:E464*D452</f>
        <v>0.17901929999999999</v>
      </c>
      <c r="H457" s="290"/>
      <c r="I457" s="290"/>
      <c r="J457" s="290"/>
      <c r="K457" s="290"/>
      <c r="L457" s="290"/>
      <c r="M457" s="290"/>
      <c r="N457" s="290"/>
      <c r="O457" s="290"/>
      <c r="W457" s="6"/>
    </row>
    <row r="458" spans="2:23">
      <c r="B458" s="300" t="s">
        <v>871</v>
      </c>
      <c r="C458" s="350" t="s">
        <v>873</v>
      </c>
      <c r="D458" s="350" t="str">
        <v>One Installed ProcessorTower</v>
      </c>
      <c r="E458" s="375">
        <v>723</v>
      </c>
      <c r="F458" s="351">
        <v>8.5386299999999998E-2</v>
      </c>
      <c r="G458" s="351">
        <v>8.8712100000000002E-2</v>
      </c>
      <c r="H458" s="290"/>
      <c r="I458" s="290"/>
      <c r="J458" s="290"/>
      <c r="K458" s="290"/>
      <c r="L458" s="290"/>
      <c r="M458" s="290"/>
      <c r="N458" s="290"/>
      <c r="O458" s="290"/>
      <c r="W458" s="6"/>
    </row>
    <row r="459" spans="2:23">
      <c r="B459" s="300" t="s">
        <v>871</v>
      </c>
      <c r="C459" s="352" t="s">
        <v>874</v>
      </c>
      <c r="D459" s="350" t="str">
        <v>One Installed ProcessorResilient</v>
      </c>
      <c r="E459" s="375">
        <v>1474</v>
      </c>
      <c r="F459" s="351">
        <v>0.1740794</v>
      </c>
      <c r="G459" s="351">
        <v>0.18085980000000001</v>
      </c>
      <c r="H459" s="290"/>
      <c r="I459" s="290"/>
      <c r="J459" s="290"/>
      <c r="K459" s="290"/>
      <c r="L459" s="290"/>
      <c r="M459" s="290"/>
      <c r="N459" s="290"/>
      <c r="O459" s="290"/>
      <c r="W459" s="6"/>
    </row>
    <row r="460" spans="2:23">
      <c r="B460" s="300" t="s">
        <v>875</v>
      </c>
      <c r="C460" s="352" t="s">
        <v>872</v>
      </c>
      <c r="D460" s="350" t="str">
        <v>Two Installed ProcessorsRack</v>
      </c>
      <c r="E460" s="375">
        <v>2542</v>
      </c>
      <c r="F460" s="351">
        <v>0.30021019999999998</v>
      </c>
      <c r="G460" s="351">
        <v>0.3119034</v>
      </c>
      <c r="H460" s="290"/>
      <c r="I460" s="290"/>
      <c r="J460" s="290"/>
      <c r="K460" s="290"/>
      <c r="L460" s="290"/>
      <c r="M460" s="290"/>
      <c r="N460" s="290"/>
      <c r="O460" s="290"/>
      <c r="W460" s="6"/>
    </row>
    <row r="461" spans="2:23">
      <c r="B461" s="352" t="s">
        <v>875</v>
      </c>
      <c r="C461" s="352" t="s">
        <v>873</v>
      </c>
      <c r="D461" s="350" t="str">
        <v>Two Installed ProcessorsTower</v>
      </c>
      <c r="E461" s="375">
        <v>2028</v>
      </c>
      <c r="F461" s="351">
        <v>0.23950679999999999</v>
      </c>
      <c r="G461" s="351">
        <v>0.24883559999999999</v>
      </c>
      <c r="H461" s="290"/>
      <c r="I461" s="290"/>
      <c r="J461" s="290"/>
      <c r="K461" s="290"/>
      <c r="L461" s="290"/>
      <c r="M461" s="290"/>
      <c r="N461" s="290"/>
      <c r="O461" s="290"/>
      <c r="W461" s="6"/>
    </row>
    <row r="462" spans="2:23">
      <c r="B462" s="352" t="s">
        <v>875</v>
      </c>
      <c r="C462" s="352" t="s">
        <v>876</v>
      </c>
      <c r="D462" s="350" t="str">
        <v>Two Installed ProcessorsBlade or Multi-node</v>
      </c>
      <c r="E462" s="375">
        <v>1574</v>
      </c>
      <c r="F462" s="351">
        <v>0.18588939999999998</v>
      </c>
      <c r="G462" s="351">
        <v>0.19312979999999999</v>
      </c>
      <c r="H462" s="290"/>
      <c r="I462" s="290"/>
      <c r="J462" s="290"/>
      <c r="K462" s="290"/>
      <c r="L462" s="290"/>
      <c r="M462" s="290"/>
      <c r="N462" s="290"/>
      <c r="O462" s="290"/>
      <c r="W462" s="6"/>
    </row>
    <row r="463" spans="2:23">
      <c r="B463" s="352" t="s">
        <v>877</v>
      </c>
      <c r="C463" s="352" t="s">
        <v>872</v>
      </c>
      <c r="D463" s="350" t="str">
        <v>Greater Than Two Installed ProcessorsRack</v>
      </c>
      <c r="E463" s="375">
        <v>10218</v>
      </c>
      <c r="F463" s="351">
        <v>1.2067458</v>
      </c>
      <c r="G463" s="351">
        <v>1.2537486</v>
      </c>
      <c r="H463" s="290"/>
      <c r="I463" s="290"/>
      <c r="J463" s="290"/>
      <c r="K463" s="290"/>
      <c r="L463" s="290"/>
      <c r="M463" s="290"/>
      <c r="N463" s="290"/>
      <c r="O463" s="290"/>
      <c r="W463" s="6"/>
    </row>
    <row r="464" spans="2:23">
      <c r="B464" s="352" t="s">
        <v>877</v>
      </c>
      <c r="C464" s="350" t="s">
        <v>876</v>
      </c>
      <c r="D464" s="350" t="str">
        <v>Greater Than Two Installed ProcessorsBlade or Multi-node</v>
      </c>
      <c r="E464" s="375">
        <v>3903</v>
      </c>
      <c r="F464" s="351">
        <v>0.46094429999999997</v>
      </c>
      <c r="G464" s="351">
        <v>0.47889809999999999</v>
      </c>
      <c r="H464" s="290"/>
      <c r="I464" s="290"/>
      <c r="J464" s="290"/>
      <c r="K464" s="290"/>
      <c r="L464" s="290"/>
      <c r="M464" s="290"/>
      <c r="N464" s="290"/>
      <c r="O464" s="290"/>
      <c r="W464" s="6"/>
    </row>
    <row r="465" spans="2:23">
      <c r="B465" s="353"/>
      <c r="C465" s="354"/>
      <c r="D465" s="354"/>
      <c r="E465"/>
      <c r="F465"/>
      <c r="G465"/>
      <c r="H465" s="290"/>
      <c r="I465" s="290"/>
      <c r="J465" s="290"/>
      <c r="K465" s="290"/>
      <c r="L465" s="290"/>
      <c r="M465" s="290"/>
      <c r="N465" s="290"/>
      <c r="O465" s="290"/>
      <c r="W465" s="6"/>
    </row>
    <row r="466" spans="2:23">
      <c r="B466" s="353"/>
      <c r="C466" s="354"/>
      <c r="D466" s="354"/>
      <c r="E466"/>
      <c r="F466"/>
      <c r="G466"/>
      <c r="H466" s="290"/>
      <c r="I466" s="290"/>
      <c r="J466" s="290"/>
      <c r="K466" s="290"/>
      <c r="L466" s="290"/>
      <c r="M466" s="290"/>
      <c r="N466" s="290"/>
      <c r="O466" s="290"/>
      <c r="W466" s="6"/>
    </row>
    <row r="467" spans="2:23" ht="18">
      <c r="B467" s="355" t="s">
        <v>382</v>
      </c>
      <c r="C467" s="354"/>
      <c r="D467" s="354"/>
      <c r="E467"/>
      <c r="F467"/>
      <c r="G467"/>
      <c r="H467" s="290"/>
      <c r="I467" s="290"/>
      <c r="J467" s="290"/>
      <c r="K467" s="290"/>
      <c r="L467" s="290"/>
      <c r="M467" s="290"/>
      <c r="N467" s="290"/>
      <c r="O467" s="290"/>
      <c r="W467" s="6"/>
    </row>
    <row r="468" spans="2:23">
      <c r="B468" s="348" t="s">
        <v>760</v>
      </c>
      <c r="C468" s="348" t="s">
        <v>439</v>
      </c>
      <c r="D468" s="348" t="s">
        <v>518</v>
      </c>
      <c r="E468" s="348" t="s">
        <v>878</v>
      </c>
      <c r="F468" s="348" t="s">
        <v>879</v>
      </c>
      <c r="G468" s="348" t="s">
        <v>880</v>
      </c>
      <c r="H468" s="369" t="s">
        <v>254</v>
      </c>
      <c r="I468" s="369" t="s">
        <v>881</v>
      </c>
      <c r="J468" s="290"/>
      <c r="K468" s="290"/>
      <c r="L468" s="290"/>
      <c r="M468" s="290"/>
      <c r="N468" s="290"/>
      <c r="O468" s="290"/>
      <c r="W468" s="6"/>
    </row>
    <row r="469" spans="2:23">
      <c r="B469" s="300" t="str">
        <f>CONCATENATE('ENERGY STAR Servers'!D7,'ENERGY STAR Servers'!E7)</f>
        <v/>
      </c>
      <c r="C469" s="358">
        <f>IFERROR('ENERGY STAR Servers'!F7,0)</f>
        <v>0</v>
      </c>
      <c r="D469" s="359">
        <f>IFERROR(ROUND(VLOOKUP(B469,D457:G464,2,FALSE)*C469,4),0)</f>
        <v>0</v>
      </c>
      <c r="E469" s="360">
        <f>IFERROR(ROUND(VLOOKUP(B469,D457:G464,3,FALSE)*C469,4),0)</f>
        <v>0</v>
      </c>
      <c r="F469" s="360">
        <f>IFERROR(ROUND(VLOOKUP(B469,D457:G464,4,FALSE)*C469,4),0)</f>
        <v>0</v>
      </c>
      <c r="G469" s="360">
        <f>IFERROR(ROUND(AVERAGE(E469:F469),4),0)</f>
        <v>0</v>
      </c>
      <c r="H469" s="372">
        <f>IFERROR(ROUND((D469*Incentives!C2)+(Calculations!G469*Incentives!C3),2),0)</f>
        <v>0</v>
      </c>
      <c r="I469" s="372">
        <f>IFERROR(ROUND(H469*Summary!G36/Summary!H36,2),0)</f>
        <v>0</v>
      </c>
      <c r="J469" s="290"/>
      <c r="K469" s="290"/>
      <c r="L469" s="290"/>
      <c r="M469" s="290"/>
      <c r="N469" s="290"/>
      <c r="O469" s="290"/>
      <c r="W469" s="6"/>
    </row>
    <row r="470" spans="2:23">
      <c r="B470" s="300" t="str">
        <f>CONCATENATE('ENERGY STAR Servers'!D8,'ENERGY STAR Servers'!E8)</f>
        <v/>
      </c>
      <c r="C470" s="358">
        <f>IFERROR('ENERGY STAR Servers'!F8,0)</f>
        <v>0</v>
      </c>
      <c r="D470" s="359">
        <f>IFERROR(ROUND(VLOOKUP(B470,D457:G464,2,FALSE)*C470,4),0)</f>
        <v>0</v>
      </c>
      <c r="E470" s="360">
        <f>IFERROR(ROUND(VLOOKUP(B470,D457:G464,3,FALSE)*C470,4),0)</f>
        <v>0</v>
      </c>
      <c r="F470" s="360">
        <f>IFERROR(ROUND(VLOOKUP(B470,D457:G464,4,FALSE)*C470,4),0)</f>
        <v>0</v>
      </c>
      <c r="G470" s="360">
        <f>IFERROR(ROUND(AVERAGE(E470:F470),4),0)</f>
        <v>0</v>
      </c>
      <c r="H470" s="372">
        <f>IFERROR(ROUND((D470*Incentives!C2)+(G470*Incentives!C3),2),0)</f>
        <v>0</v>
      </c>
      <c r="I470" s="372">
        <f>IFERROR(ROUND(H470*Summary!G36/Summary!H36,2),0)</f>
        <v>0</v>
      </c>
      <c r="J470" s="290"/>
      <c r="K470" s="290"/>
      <c r="L470" s="290"/>
      <c r="M470" s="290"/>
      <c r="N470" s="290"/>
      <c r="O470" s="290"/>
      <c r="W470" s="6"/>
    </row>
    <row r="471" spans="2:23">
      <c r="B471" s="300" t="str">
        <f>CONCATENATE('ENERGY STAR Servers'!D9,'ENERGY STAR Servers'!E9)</f>
        <v/>
      </c>
      <c r="C471" s="358">
        <f>IFERROR('ENERGY STAR Servers'!F9,0)</f>
        <v>0</v>
      </c>
      <c r="D471" s="359">
        <f>IFERROR(ROUND(VLOOKUP(B471,D457:G464,2,FALSE)*C471,4),0)</f>
        <v>0</v>
      </c>
      <c r="E471" s="360">
        <f>IFERROR(ROUND(VLOOKUP(B471,D457:G464,3,FALSE)*C471,4),0)</f>
        <v>0</v>
      </c>
      <c r="F471" s="360">
        <f>IFERROR(ROUND(VLOOKUP(B471,D457:G464,4,FALSE)*C471,4),0)</f>
        <v>0</v>
      </c>
      <c r="G471" s="360">
        <f>IFERROR(ROUND(AVERAGE(E471:F471),4),0)</f>
        <v>0</v>
      </c>
      <c r="H471" s="372">
        <f>IFERROR(ROUND((D471*Incentives!C2)+(G471*Incentives!C3),2),0)</f>
        <v>0</v>
      </c>
      <c r="I471" s="372">
        <f>IFERROR(ROUND(H471*Summary!G36/Summary!H36,2),0)</f>
        <v>0</v>
      </c>
      <c r="J471" s="290"/>
      <c r="K471" s="290"/>
      <c r="L471" s="290"/>
      <c r="M471" s="290"/>
      <c r="N471" s="290"/>
      <c r="O471" s="290"/>
      <c r="W471" s="6"/>
    </row>
    <row r="472" spans="2:23">
      <c r="B472" s="300" t="str">
        <f>CONCATENATE('ENERGY STAR Servers'!D10,'ENERGY STAR Servers'!E10)</f>
        <v/>
      </c>
      <c r="C472" s="358">
        <f>IFERROR('ENERGY STAR Servers'!F10,0)</f>
        <v>0</v>
      </c>
      <c r="D472" s="359">
        <f>IFERROR(ROUND(VLOOKUP(B472,D457:G464,2,FALSE)*C472,4),0)</f>
        <v>0</v>
      </c>
      <c r="E472" s="360">
        <f>IFERROR(ROUND(VLOOKUP(B472,D457:G464,3,FALSE)*C472,4),0)</f>
        <v>0</v>
      </c>
      <c r="F472" s="360">
        <f>IFERROR(ROUND(VLOOKUP(B472,D457:G464,4,FALSE)*C472,4),0)</f>
        <v>0</v>
      </c>
      <c r="G472" s="360">
        <f>IFERROR(ROUND(AVERAGE(E472:F472),4),0)</f>
        <v>0</v>
      </c>
      <c r="H472" s="372">
        <f>IFERROR(ROUND((D472*Incentives!C2)+(G472*Incentives!C3),2),0)</f>
        <v>0</v>
      </c>
      <c r="I472" s="372">
        <f>IFERROR(ROUND(H472*Summary!G36/Summary!H36,2),0)</f>
        <v>0</v>
      </c>
      <c r="J472" s="290"/>
      <c r="K472" s="290"/>
      <c r="L472" s="290"/>
      <c r="M472" s="290"/>
      <c r="N472" s="290"/>
      <c r="O472" s="290"/>
      <c r="W472" s="6"/>
    </row>
    <row r="473" spans="2:23">
      <c r="B473" s="290"/>
      <c r="C473" s="290"/>
      <c r="D473" s="290"/>
      <c r="E473" s="290"/>
      <c r="F473" s="290"/>
      <c r="G473" s="290"/>
      <c r="H473" s="290"/>
      <c r="I473" s="290"/>
      <c r="J473" s="290"/>
      <c r="K473" s="290"/>
      <c r="L473" s="290"/>
      <c r="M473" s="290"/>
      <c r="N473" s="290"/>
      <c r="O473" s="290"/>
      <c r="W473" s="6"/>
    </row>
    <row r="474" spans="2:23">
      <c r="B474" s="290"/>
      <c r="C474" s="290"/>
      <c r="D474" s="290"/>
      <c r="E474" s="290"/>
      <c r="F474" s="290"/>
      <c r="G474" s="290"/>
      <c r="H474" s="290"/>
      <c r="I474" s="290"/>
      <c r="J474" s="290"/>
      <c r="K474" s="290"/>
      <c r="L474" s="290"/>
      <c r="M474" s="290"/>
      <c r="N474" s="290"/>
      <c r="O474" s="290"/>
      <c r="W474" s="6"/>
    </row>
    <row r="475" spans="2:23">
      <c r="B475" s="290"/>
      <c r="C475" s="290"/>
      <c r="D475" s="290"/>
      <c r="E475" s="290"/>
      <c r="F475" s="290"/>
      <c r="G475" s="290"/>
      <c r="H475" s="290"/>
      <c r="I475" s="290"/>
      <c r="J475" s="290"/>
      <c r="K475" s="290"/>
      <c r="L475" s="290"/>
      <c r="M475" s="290"/>
      <c r="N475" s="290"/>
      <c r="O475" s="290"/>
      <c r="W475" s="6"/>
    </row>
    <row r="476" spans="2:23">
      <c r="D476" s="107"/>
      <c r="E476" s="107"/>
      <c r="G476" s="107"/>
      <c r="W476" s="6"/>
    </row>
    <row r="477" spans="2:23" ht="18.75" thickBot="1">
      <c r="B477" s="87" t="s">
        <v>349</v>
      </c>
      <c r="C477" s="88"/>
      <c r="D477" s="88"/>
      <c r="E477" s="88"/>
      <c r="F477" s="88"/>
      <c r="G477" s="88"/>
      <c r="H477" s="88"/>
      <c r="I477" s="88"/>
      <c r="J477" s="88"/>
      <c r="W477" s="6"/>
    </row>
    <row r="478" spans="2:23">
      <c r="D478" s="107"/>
      <c r="E478" s="107"/>
      <c r="F478" s="107"/>
      <c r="H478" s="107"/>
      <c r="W478" s="6"/>
    </row>
    <row r="479" spans="2:23" ht="18">
      <c r="B479" s="347" t="s">
        <v>366</v>
      </c>
      <c r="C479"/>
      <c r="D479"/>
      <c r="E479"/>
      <c r="F479"/>
      <c r="G479"/>
      <c r="H479"/>
      <c r="I479"/>
      <c r="J479"/>
      <c r="K479"/>
      <c r="L479"/>
      <c r="M479"/>
      <c r="N479"/>
      <c r="O479"/>
      <c r="P479"/>
      <c r="W479" s="6"/>
    </row>
    <row r="480" spans="2:23">
      <c r="B480" s="376" t="s">
        <v>463</v>
      </c>
      <c r="C480" s="376" t="s">
        <v>465</v>
      </c>
      <c r="D480" s="376" t="s">
        <v>464</v>
      </c>
      <c r="E480"/>
      <c r="F480"/>
      <c r="G480"/>
      <c r="H480"/>
      <c r="I480"/>
      <c r="J480"/>
      <c r="K480"/>
      <c r="L480"/>
      <c r="M480"/>
      <c r="N480"/>
      <c r="O480"/>
      <c r="P480"/>
      <c r="W480" s="6"/>
    </row>
    <row r="481" spans="2:23">
      <c r="B481" s="392" t="s">
        <v>882</v>
      </c>
      <c r="C481" s="392" t="s">
        <v>424</v>
      </c>
      <c r="D481" s="398">
        <v>0.09</v>
      </c>
      <c r="E481"/>
      <c r="F481"/>
      <c r="G481"/>
      <c r="H481"/>
      <c r="I481"/>
      <c r="J481"/>
      <c r="K481"/>
      <c r="L481"/>
      <c r="M481"/>
      <c r="N481"/>
      <c r="O481"/>
      <c r="P481"/>
      <c r="W481" s="6"/>
    </row>
    <row r="482" spans="2:23">
      <c r="B482" s="392" t="s">
        <v>883</v>
      </c>
      <c r="C482" s="392" t="s">
        <v>424</v>
      </c>
      <c r="D482" s="398">
        <v>0.5</v>
      </c>
      <c r="E482"/>
      <c r="F482"/>
      <c r="G482"/>
      <c r="H482"/>
      <c r="I482"/>
      <c r="J482"/>
      <c r="K482"/>
      <c r="L482"/>
      <c r="M482"/>
      <c r="N482"/>
      <c r="O482"/>
      <c r="P482"/>
      <c r="W482" s="6"/>
    </row>
    <row r="483" spans="2:23">
      <c r="B483" s="392" t="s">
        <v>884</v>
      </c>
      <c r="C483" s="392" t="s">
        <v>885</v>
      </c>
      <c r="D483" s="399">
        <v>8760</v>
      </c>
      <c r="E483"/>
      <c r="F483"/>
      <c r="G483"/>
      <c r="H483"/>
      <c r="I483"/>
      <c r="J483"/>
      <c r="K483"/>
      <c r="L483"/>
      <c r="M483"/>
      <c r="N483"/>
      <c r="O483"/>
      <c r="P483"/>
      <c r="W483" s="6"/>
    </row>
    <row r="484" spans="2:23">
      <c r="B484"/>
      <c r="C484"/>
      <c r="D484"/>
      <c r="E484"/>
      <c r="F484"/>
      <c r="G484"/>
      <c r="H484"/>
      <c r="I484"/>
      <c r="J484"/>
      <c r="K484"/>
      <c r="L484"/>
      <c r="M484"/>
      <c r="N484"/>
      <c r="O484"/>
      <c r="P484"/>
      <c r="W484" s="6"/>
    </row>
    <row r="485" spans="2:23">
      <c r="B485"/>
      <c r="C485"/>
      <c r="D485"/>
      <c r="E485"/>
      <c r="F485"/>
      <c r="G485"/>
      <c r="H485"/>
      <c r="I485"/>
      <c r="J485"/>
      <c r="K485"/>
      <c r="L485"/>
      <c r="M485"/>
      <c r="N485"/>
      <c r="O485"/>
      <c r="P485"/>
      <c r="W485" s="6"/>
    </row>
    <row r="486" spans="2:23" ht="18">
      <c r="B486" s="347" t="s">
        <v>886</v>
      </c>
      <c r="C486"/>
      <c r="D486"/>
      <c r="E486"/>
      <c r="F486"/>
      <c r="G486"/>
      <c r="H486"/>
      <c r="I486"/>
      <c r="J486"/>
      <c r="K486"/>
      <c r="L486"/>
      <c r="M486"/>
      <c r="N486"/>
      <c r="O486"/>
      <c r="P486"/>
      <c r="W486" s="6"/>
    </row>
    <row r="487" spans="2:23">
      <c r="B487" s="376" t="s">
        <v>887</v>
      </c>
      <c r="C487" s="376" t="s">
        <v>465</v>
      </c>
      <c r="D487" s="376" t="s">
        <v>888</v>
      </c>
      <c r="E487"/>
      <c r="F487"/>
      <c r="G487"/>
      <c r="H487"/>
      <c r="I487"/>
      <c r="J487"/>
      <c r="K487"/>
      <c r="L487"/>
      <c r="M487"/>
      <c r="N487"/>
      <c r="O487"/>
      <c r="P487"/>
      <c r="W487" s="6"/>
    </row>
    <row r="488" spans="2:23">
      <c r="B488" s="392" t="s">
        <v>889</v>
      </c>
      <c r="C488" s="392" t="s">
        <v>424</v>
      </c>
      <c r="D488" s="398">
        <v>0.52600000000000002</v>
      </c>
      <c r="E488"/>
      <c r="F488"/>
      <c r="G488"/>
      <c r="H488"/>
      <c r="I488"/>
      <c r="J488"/>
      <c r="K488"/>
      <c r="L488"/>
      <c r="M488"/>
      <c r="N488"/>
      <c r="O488"/>
      <c r="P488"/>
      <c r="W488" s="6"/>
    </row>
    <row r="489" spans="2:23">
      <c r="B489" s="392" t="s">
        <v>890</v>
      </c>
      <c r="C489" s="392" t="s">
        <v>424</v>
      </c>
      <c r="D489" s="398">
        <v>0.58499999999999996</v>
      </c>
      <c r="E489"/>
      <c r="F489"/>
      <c r="G489"/>
      <c r="H489"/>
      <c r="I489"/>
      <c r="J489"/>
      <c r="K489"/>
      <c r="L489"/>
      <c r="M489"/>
      <c r="N489"/>
      <c r="O489"/>
      <c r="P489"/>
      <c r="W489" s="6"/>
    </row>
    <row r="490" spans="2:23">
      <c r="B490"/>
      <c r="C490"/>
      <c r="D490"/>
      <c r="E490"/>
      <c r="F490"/>
      <c r="G490"/>
      <c r="H490"/>
      <c r="I490"/>
      <c r="J490"/>
      <c r="K490"/>
      <c r="L490"/>
      <c r="M490"/>
      <c r="N490"/>
      <c r="O490"/>
      <c r="P490"/>
      <c r="W490" s="6"/>
    </row>
    <row r="491" spans="2:23">
      <c r="B491"/>
      <c r="C491"/>
      <c r="D491"/>
      <c r="E491"/>
      <c r="F491"/>
      <c r="G491"/>
      <c r="H491"/>
      <c r="I491"/>
      <c r="J491"/>
      <c r="K491"/>
      <c r="L491"/>
      <c r="M491"/>
      <c r="N491"/>
      <c r="O491"/>
      <c r="P491"/>
      <c r="W491" s="6"/>
    </row>
    <row r="492" spans="2:23" ht="18">
      <c r="B492" s="347" t="s">
        <v>382</v>
      </c>
      <c r="C492"/>
      <c r="D492"/>
      <c r="E492"/>
      <c r="F492"/>
      <c r="G492"/>
      <c r="H492"/>
      <c r="I492"/>
      <c r="J492"/>
      <c r="K492"/>
      <c r="L492"/>
      <c r="M492"/>
      <c r="N492"/>
      <c r="O492"/>
      <c r="P492"/>
      <c r="W492" s="6"/>
    </row>
    <row r="493" spans="2:23">
      <c r="B493" s="376" t="s">
        <v>760</v>
      </c>
      <c r="C493" s="376" t="s">
        <v>891</v>
      </c>
      <c r="D493" s="394" t="s">
        <v>892</v>
      </c>
      <c r="E493" s="376" t="s">
        <v>154</v>
      </c>
      <c r="F493" s="394" t="s">
        <v>893</v>
      </c>
      <c r="G493" s="376" t="s">
        <v>894</v>
      </c>
      <c r="H493" s="394" t="s">
        <v>895</v>
      </c>
      <c r="I493" s="394" t="s">
        <v>439</v>
      </c>
      <c r="J493" s="376" t="s">
        <v>123</v>
      </c>
      <c r="K493" s="394" t="s">
        <v>326</v>
      </c>
      <c r="L493" s="376" t="s">
        <v>325</v>
      </c>
      <c r="M493" s="394" t="s">
        <v>896</v>
      </c>
      <c r="N493" s="376" t="s">
        <v>254</v>
      </c>
      <c r="O493" s="394" t="s">
        <v>881</v>
      </c>
      <c r="P493"/>
      <c r="W493" s="6"/>
    </row>
    <row r="494" spans="2:23">
      <c r="B494" s="392">
        <f>IFERROR('Server Virtualization'!G7,0)</f>
        <v>0</v>
      </c>
      <c r="C494" s="359">
        <f>IFERROR('Server Virtualization'!D7,0)</f>
        <v>0</v>
      </c>
      <c r="D494" s="395">
        <f>IFERROR('Server Virtualization'!F7,0)</f>
        <v>0</v>
      </c>
      <c r="E494" s="393">
        <f>IFERROR(ROUND(VLOOKUP(B494,B488:D489,3,FALSE),4),0)</f>
        <v>0</v>
      </c>
      <c r="F494" s="396">
        <f>IFERROR('Server Virtualization'!E7,0)</f>
        <v>0</v>
      </c>
      <c r="G494" s="360">
        <f>IFERROR(ROUND(IF(F494=0,0,F494*D481*(C494/E494-C494)+C494),4),0)</f>
        <v>0</v>
      </c>
      <c r="H494" s="360">
        <f>IFERROR(ROUND(IF(E494=0,0,D482*(D494/E494-D494)+D494),4),0)</f>
        <v>0</v>
      </c>
      <c r="I494" s="396">
        <f>IFERROR('Server Virtualization'!H7,0)</f>
        <v>0</v>
      </c>
      <c r="J494" s="359">
        <f>IFERROR(ROUND(IF(I494=0,0,(G494-H494)*D483*I494),4),0)</f>
        <v>0</v>
      </c>
      <c r="K494" s="403">
        <f>IFERROR(ROUND(J494/D483,4),0)</f>
        <v>0</v>
      </c>
      <c r="L494" s="403">
        <f>IFERROR(ROUND(J494/D483,4),0)</f>
        <v>0</v>
      </c>
      <c r="M494" s="403">
        <f>IFERROR(ROUND(AVERAGE(K494:L494),4),0)</f>
        <v>0</v>
      </c>
      <c r="N494" s="400">
        <f>IFERROR(ROUND((J494*Incentives!C2)+(M494*Incentives!C3),2),0)</f>
        <v>0</v>
      </c>
      <c r="O494" s="400">
        <f>IFERROR(ROUND(N494*Summary!G36/Summary!H36,2),0)</f>
        <v>0</v>
      </c>
      <c r="P494"/>
      <c r="W494" s="6"/>
    </row>
    <row r="495" spans="2:23">
      <c r="B495" s="392">
        <f>IFERROR('Server Virtualization'!G8,0)</f>
        <v>0</v>
      </c>
      <c r="C495" s="359">
        <f>IFERROR('Server Virtualization'!D8,0)</f>
        <v>0</v>
      </c>
      <c r="D495" s="395">
        <f>IFERROR('Server Virtualization'!F8,0)</f>
        <v>0</v>
      </c>
      <c r="E495" s="393">
        <f>IFERROR(ROUND(VLOOKUP(B495,B488:D489,3,FALSE),4),0)</f>
        <v>0</v>
      </c>
      <c r="F495" s="396">
        <f>IFERROR('Server Virtualization'!E8,0)</f>
        <v>0</v>
      </c>
      <c r="G495" s="360">
        <f>IFERROR(ROUND(IF(F495=0,0,F495*D481*(C495/E495-C495)+C495),4),0)</f>
        <v>0</v>
      </c>
      <c r="H495" s="360">
        <f>IFERROR(ROUND(IF(E495=0,0,D482*(D495/E495-D495)+D495),4),0)</f>
        <v>0</v>
      </c>
      <c r="I495" s="396">
        <f>IFERROR('Server Virtualization'!H8,0)</f>
        <v>0</v>
      </c>
      <c r="J495" s="359">
        <f>IFERROR(ROUND(IF(I495=0,0,(G495-H495)*D483*I495),4),0)</f>
        <v>0</v>
      </c>
      <c r="K495" s="403">
        <f>IFERROR(ROUND(J495/D483,4),0)</f>
        <v>0</v>
      </c>
      <c r="L495" s="403">
        <f>IFERROR(ROUND(J495/D483,4),0)</f>
        <v>0</v>
      </c>
      <c r="M495" s="403">
        <f>IFERROR(ROUND(AVERAGE(K495:L495),4),0)</f>
        <v>0</v>
      </c>
      <c r="N495" s="400">
        <f>IFERROR(ROUND((J495*Incentives!C2)+(M495*Incentives!C3),2),0)</f>
        <v>0</v>
      </c>
      <c r="O495" s="400">
        <f>IFERROR(ROUND(N495*Summary!G36/Summary!H36,2),0)</f>
        <v>0</v>
      </c>
      <c r="P495"/>
      <c r="W495" s="6"/>
    </row>
    <row r="496" spans="2:23">
      <c r="B496" s="392">
        <f>IFERROR('Server Virtualization'!G9,0)</f>
        <v>0</v>
      </c>
      <c r="C496" s="359">
        <f>IFERROR('Server Virtualization'!D9,0)</f>
        <v>0</v>
      </c>
      <c r="D496" s="395">
        <f>IFERROR('Server Virtualization'!F9,0)</f>
        <v>0</v>
      </c>
      <c r="E496" s="393">
        <f>IFERROR(ROUND(VLOOKUP(B496,B488:D489,3,FALSE),4),0)</f>
        <v>0</v>
      </c>
      <c r="F496" s="396">
        <f>IFERROR('Server Virtualization'!E9,0)</f>
        <v>0</v>
      </c>
      <c r="G496" s="360">
        <f>IFERROR(ROUND(IF(F496=0,0,F496*D481*(C496/E496-C496)+C496),4),0)</f>
        <v>0</v>
      </c>
      <c r="H496" s="360">
        <f>IFERROR(ROUND(IF(E496=0,0,D482*(D496/E496-D496)+D496),4),0)</f>
        <v>0</v>
      </c>
      <c r="I496" s="396">
        <f>IFERROR('Server Virtualization'!H9,0)</f>
        <v>0</v>
      </c>
      <c r="J496" s="359">
        <f>IFERROR(ROUND(IF(I496=0,0,(G496-H496)*D483*I496),4),0)</f>
        <v>0</v>
      </c>
      <c r="K496" s="403">
        <f>IFERROR(ROUND(J496/D483,4),0)</f>
        <v>0</v>
      </c>
      <c r="L496" s="403">
        <f>IFERROR(ROUND(J496/D483,4),0)</f>
        <v>0</v>
      </c>
      <c r="M496" s="403">
        <f>IFERROR(ROUND(AVERAGE(K496:L496),4),0)</f>
        <v>0</v>
      </c>
      <c r="N496" s="400">
        <f>IFERROR(ROUND((J496*Incentives!C2)+(M496*Incentives!C3),2),0)</f>
        <v>0</v>
      </c>
      <c r="O496" s="400">
        <f>IFERROR(ROUND(N496*Summary!G36/Summary!H36,2),0)</f>
        <v>0</v>
      </c>
      <c r="P496"/>
      <c r="W496" s="6"/>
    </row>
    <row r="497" spans="2:23">
      <c r="B497" s="392">
        <f>IFERROR('Server Virtualization'!G10,0)</f>
        <v>0</v>
      </c>
      <c r="C497" s="359">
        <f>IFERROR('Server Virtualization'!D10,0)</f>
        <v>0</v>
      </c>
      <c r="D497" s="395">
        <f>IFERROR('Server Virtualization'!F10,0)</f>
        <v>0</v>
      </c>
      <c r="E497" s="393">
        <f>IFERROR(ROUND(VLOOKUP(B497,B488:D489,3,FALSE),4),0)</f>
        <v>0</v>
      </c>
      <c r="F497" s="396">
        <f>IFERROR('Server Virtualization'!E10,0)</f>
        <v>0</v>
      </c>
      <c r="G497" s="360">
        <f>IFERROR(ROUND(IF(F497=0,0,F497*D481*(C497/E497-C497)+C497),4),0)</f>
        <v>0</v>
      </c>
      <c r="H497" s="360">
        <f>IFERROR(ROUND(IF(E497=0,0,D482*(D497/E497-D497)+D497),4),0)</f>
        <v>0</v>
      </c>
      <c r="I497" s="396">
        <f>IFERROR('Server Virtualization'!H10,0)</f>
        <v>0</v>
      </c>
      <c r="J497" s="359">
        <f>IFERROR(ROUND(IF(I497=0,0,(G497-H497)*D483*I497),4),0)</f>
        <v>0</v>
      </c>
      <c r="K497" s="403">
        <f>IFERROR(ROUND(J497/D483,4),0)</f>
        <v>0</v>
      </c>
      <c r="L497" s="403">
        <f>IFERROR(ROUND(J497/D483,4),0)</f>
        <v>0</v>
      </c>
      <c r="M497" s="403">
        <f>IFERROR(ROUND(AVERAGE(K497:L497),4),0)</f>
        <v>0</v>
      </c>
      <c r="N497" s="400">
        <f>IFERROR(ROUND((J497*Incentives!C2)+(M497*Incentives!C3),2),0)</f>
        <v>0</v>
      </c>
      <c r="O497" s="400">
        <f>IFERROR(ROUND(N497*Summary!G36/Summary!H36,2),0)</f>
        <v>0</v>
      </c>
      <c r="P497"/>
      <c r="W497" s="6"/>
    </row>
    <row r="498" spans="2:23">
      <c r="B498"/>
      <c r="C498"/>
      <c r="D498"/>
      <c r="E498"/>
      <c r="F498"/>
      <c r="G498"/>
      <c r="H498"/>
      <c r="I498"/>
      <c r="J498"/>
      <c r="K498"/>
      <c r="L498"/>
      <c r="M498"/>
      <c r="N498"/>
      <c r="O498"/>
      <c r="P498"/>
      <c r="W498" s="6"/>
    </row>
    <row r="499" spans="2:23">
      <c r="D499" s="107"/>
      <c r="E499" s="107"/>
      <c r="F499" s="107"/>
      <c r="H499" s="107"/>
      <c r="W499" s="6"/>
    </row>
    <row r="500" spans="2:23">
      <c r="D500" s="107"/>
      <c r="E500" s="107"/>
      <c r="G500" s="107"/>
      <c r="W500" s="6"/>
    </row>
    <row r="501" spans="2:23">
      <c r="D501" s="107"/>
      <c r="E501" s="107"/>
      <c r="G501" s="107"/>
      <c r="W501" s="6"/>
    </row>
    <row r="502" spans="2:23" ht="18.75" thickBot="1">
      <c r="B502" s="87" t="s">
        <v>346</v>
      </c>
      <c r="C502" s="88"/>
      <c r="D502" s="88"/>
      <c r="E502" s="88"/>
      <c r="F502" s="88"/>
      <c r="G502" s="88"/>
      <c r="H502" s="88"/>
      <c r="I502" s="88"/>
      <c r="J502" s="88"/>
      <c r="W502" s="6"/>
    </row>
    <row r="503" spans="2:23" ht="18">
      <c r="B503" s="86"/>
      <c r="W503" s="6"/>
    </row>
    <row r="504" spans="2:23" ht="18">
      <c r="B504" s="72" t="s">
        <v>366</v>
      </c>
      <c r="D504" s="107"/>
      <c r="E504" s="107"/>
      <c r="G504" s="107"/>
      <c r="W504" s="6"/>
    </row>
    <row r="505" spans="2:23">
      <c r="B505" s="138" t="s">
        <v>463</v>
      </c>
      <c r="C505" s="287" t="s">
        <v>465</v>
      </c>
      <c r="D505" s="138" t="s">
        <v>464</v>
      </c>
      <c r="E505" s="289"/>
      <c r="G505" s="107"/>
      <c r="W505" s="6"/>
    </row>
    <row r="506" spans="2:23">
      <c r="B506" s="259" t="s">
        <v>897</v>
      </c>
      <c r="C506" s="288" t="s">
        <v>123</v>
      </c>
      <c r="D506" s="322">
        <v>543</v>
      </c>
      <c r="E506" s="290"/>
      <c r="G506" s="107"/>
      <c r="W506" s="6"/>
    </row>
    <row r="507" spans="2:23">
      <c r="B507" s="291" t="s">
        <v>866</v>
      </c>
      <c r="C507" s="292" t="s">
        <v>380</v>
      </c>
      <c r="D507" s="323">
        <v>1.181E-4</v>
      </c>
      <c r="E507" s="290"/>
      <c r="G507" s="107"/>
      <c r="W507" s="6"/>
    </row>
    <row r="508" spans="2:23">
      <c r="B508" s="259" t="s">
        <v>867</v>
      </c>
      <c r="C508" s="259" t="s">
        <v>380</v>
      </c>
      <c r="D508" s="322">
        <v>1.227E-4</v>
      </c>
      <c r="E508" s="290"/>
      <c r="G508" s="107"/>
      <c r="W508" s="6"/>
    </row>
    <row r="509" spans="2:23">
      <c r="B509" s="290"/>
      <c r="C509" s="290"/>
      <c r="D509" s="290"/>
      <c r="E509" s="290"/>
      <c r="G509" s="107"/>
      <c r="W509" s="6"/>
    </row>
    <row r="510" spans="2:23" ht="18">
      <c r="B510" s="293" t="s">
        <v>898</v>
      </c>
      <c r="C510" s="290"/>
      <c r="D510" s="290"/>
      <c r="E510" s="290"/>
      <c r="G510" s="107"/>
      <c r="W510" s="6"/>
    </row>
    <row r="511" spans="2:23">
      <c r="B511" s="138" t="s">
        <v>312</v>
      </c>
      <c r="C511" s="138" t="s">
        <v>870</v>
      </c>
      <c r="D511" s="138" t="s">
        <v>899</v>
      </c>
      <c r="E511" s="290"/>
      <c r="G511" s="107"/>
      <c r="W511" s="6"/>
    </row>
    <row r="512" spans="2:23">
      <c r="B512" s="259" t="s">
        <v>900</v>
      </c>
      <c r="C512" s="259" t="s">
        <v>901</v>
      </c>
      <c r="D512" s="324">
        <v>0.247</v>
      </c>
      <c r="E512" s="290"/>
      <c r="G512" s="107"/>
      <c r="W512" s="6"/>
    </row>
    <row r="513" spans="2:23">
      <c r="B513" s="259" t="s">
        <v>900</v>
      </c>
      <c r="C513" s="259" t="s">
        <v>902</v>
      </c>
      <c r="D513" s="324">
        <v>0.04</v>
      </c>
      <c r="E513" s="290"/>
      <c r="G513" s="107"/>
      <c r="W513" s="6"/>
    </row>
    <row r="514" spans="2:23">
      <c r="B514" s="259" t="s">
        <v>900</v>
      </c>
      <c r="C514" s="259" t="s">
        <v>903</v>
      </c>
      <c r="D514" s="324">
        <v>0.14299999999999999</v>
      </c>
      <c r="E514" s="107"/>
      <c r="G514" s="107"/>
      <c r="W514" s="6"/>
    </row>
    <row r="515" spans="2:23">
      <c r="B515" s="259" t="s">
        <v>904</v>
      </c>
      <c r="C515" s="259" t="s">
        <v>901</v>
      </c>
      <c r="D515" s="324">
        <v>0.3</v>
      </c>
      <c r="E515" s="107"/>
      <c r="G515" s="107"/>
      <c r="W515" s="6"/>
    </row>
    <row r="516" spans="2:23">
      <c r="B516" s="259" t="s">
        <v>904</v>
      </c>
      <c r="C516" s="259" t="s">
        <v>902</v>
      </c>
      <c r="D516" s="324">
        <v>0.04</v>
      </c>
      <c r="E516" s="107"/>
      <c r="G516" s="107"/>
      <c r="W516" s="6"/>
    </row>
    <row r="517" spans="2:23">
      <c r="B517" s="259" t="s">
        <v>904</v>
      </c>
      <c r="C517" s="259" t="s">
        <v>903</v>
      </c>
      <c r="D517" s="324">
        <v>0.17</v>
      </c>
      <c r="E517" s="107"/>
      <c r="G517" s="107"/>
      <c r="W517" s="6"/>
    </row>
    <row r="518" spans="2:23">
      <c r="D518" s="107"/>
      <c r="E518" s="107"/>
      <c r="G518" s="107"/>
      <c r="W518" s="6"/>
    </row>
    <row r="519" spans="2:23" ht="18">
      <c r="B519" s="72" t="s">
        <v>905</v>
      </c>
      <c r="D519" s="107"/>
      <c r="E519" s="107"/>
      <c r="G519" s="107"/>
      <c r="W519" s="6"/>
    </row>
    <row r="520" spans="2:23">
      <c r="B520" s="138" t="s">
        <v>312</v>
      </c>
      <c r="C520" s="138" t="s">
        <v>870</v>
      </c>
      <c r="D520" s="138" t="s">
        <v>870</v>
      </c>
      <c r="E520" s="138" t="s">
        <v>856</v>
      </c>
      <c r="F520" s="138" t="s">
        <v>906</v>
      </c>
      <c r="G520" s="138" t="s">
        <v>907</v>
      </c>
      <c r="H520" s="138" t="s">
        <v>908</v>
      </c>
      <c r="J520" s="138" t="s">
        <v>760</v>
      </c>
      <c r="W520" s="6"/>
    </row>
    <row r="521" spans="2:23">
      <c r="B521" s="259" t="s">
        <v>900</v>
      </c>
      <c r="C521" s="259" t="s">
        <v>901</v>
      </c>
      <c r="D521" s="259" t="str">
        <f t="shared" ref="D521:D526" si="72">CONCATENATE(B521,C521)</f>
        <v>Tier 1Workstation</v>
      </c>
      <c r="E521" s="300" cm="1">
        <f t="array" ref="E521:E526">IFERROR(ROUND((D512:D517*D506),4),0)</f>
        <v>134.12100000000001</v>
      </c>
      <c r="F521" s="356" cm="1">
        <f t="array" ref="F521:F526">IFERROR(ROUND((E521:E526*D507),4),0)</f>
        <v>1.5800000000000002E-2</v>
      </c>
      <c r="G521" s="259" cm="1">
        <f t="array" ref="G521:G526">IFERROR(ROUND((E521:E526*D508),4),0)</f>
        <v>1.6500000000000001E-2</v>
      </c>
      <c r="H521" s="259">
        <f>IFERROR(ROUND(AVERAGE(F521:G521),4),0)</f>
        <v>1.6199999999999999E-2</v>
      </c>
      <c r="J521" s="259" t="str">
        <f>CONCATENATE('Advanced Power Strips'!D7,'Advanced Power Strips'!C7)</f>
        <v/>
      </c>
      <c r="W521" s="6"/>
    </row>
    <row r="522" spans="2:23">
      <c r="B522" s="259" t="s">
        <v>900</v>
      </c>
      <c r="C522" s="259" t="s">
        <v>902</v>
      </c>
      <c r="D522" s="259" t="str">
        <f t="shared" si="72"/>
        <v>Tier 1Workstation with power management (network or local)</v>
      </c>
      <c r="E522" s="300">
        <v>21.72</v>
      </c>
      <c r="F522" s="356">
        <v>2.5999999999999999E-3</v>
      </c>
      <c r="G522" s="259">
        <v>2.7000000000000001E-3</v>
      </c>
      <c r="H522" s="259">
        <f t="shared" ref="H522:H526" si="73">IFERROR(ROUND(AVERAGE(F522:G522),4),0)</f>
        <v>2.7000000000000001E-3</v>
      </c>
      <c r="J522" s="259" t="str">
        <f>CONCATENATE('Advanced Power Strips'!D8,'Advanced Power Strips'!C8)</f>
        <v/>
      </c>
      <c r="W522" s="6"/>
    </row>
    <row r="523" spans="2:23">
      <c r="B523" s="259" t="s">
        <v>900</v>
      </c>
      <c r="C523" s="259" t="s">
        <v>903</v>
      </c>
      <c r="D523" s="259" t="str">
        <f t="shared" si="72"/>
        <v xml:space="preserve">Tier 1Workstation with unknown power management </v>
      </c>
      <c r="E523" s="300">
        <v>77.649000000000001</v>
      </c>
      <c r="F523" s="356">
        <v>9.1999999999999998E-3</v>
      </c>
      <c r="G523" s="259">
        <v>9.4999999999999998E-3</v>
      </c>
      <c r="H523" s="259">
        <f t="shared" si="73"/>
        <v>9.4000000000000004E-3</v>
      </c>
      <c r="J523" s="259" t="str">
        <f>CONCATENATE('Advanced Power Strips'!D9,'Advanced Power Strips'!C9)</f>
        <v/>
      </c>
      <c r="W523" s="6"/>
    </row>
    <row r="524" spans="2:23">
      <c r="B524" s="259" t="s">
        <v>904</v>
      </c>
      <c r="C524" s="259" t="s">
        <v>901</v>
      </c>
      <c r="D524" s="259" t="str">
        <f t="shared" si="72"/>
        <v>Tier 2Workstation</v>
      </c>
      <c r="E524" s="300">
        <v>162.9</v>
      </c>
      <c r="F524" s="356">
        <v>1.9199999999999998E-2</v>
      </c>
      <c r="G524" s="299">
        <v>0.02</v>
      </c>
      <c r="H524" s="259">
        <f t="shared" si="73"/>
        <v>1.9599999999999999E-2</v>
      </c>
      <c r="J524" s="259" t="str">
        <f>CONCATENATE('Advanced Power Strips'!D10,'Advanced Power Strips'!C10)</f>
        <v/>
      </c>
      <c r="W524" s="6"/>
    </row>
    <row r="525" spans="2:23">
      <c r="B525" s="259" t="s">
        <v>904</v>
      </c>
      <c r="C525" s="259" t="s">
        <v>902</v>
      </c>
      <c r="D525" s="259" t="str">
        <f t="shared" si="72"/>
        <v>Tier 2Workstation with power management (network or local)</v>
      </c>
      <c r="E525" s="300">
        <v>21.72</v>
      </c>
      <c r="F525" s="356">
        <v>2.5999999999999999E-3</v>
      </c>
      <c r="G525" s="259">
        <v>2.7000000000000001E-3</v>
      </c>
      <c r="H525" s="259">
        <f t="shared" si="73"/>
        <v>2.7000000000000001E-3</v>
      </c>
      <c r="J525" s="259" t="str">
        <f>CONCATENATE('Advanced Power Strips'!D11,'Advanced Power Strips'!C11)</f>
        <v/>
      </c>
      <c r="W525" s="6"/>
    </row>
    <row r="526" spans="2:23">
      <c r="B526" s="259" t="s">
        <v>904</v>
      </c>
      <c r="C526" s="259" t="s">
        <v>903</v>
      </c>
      <c r="D526" s="259" t="str">
        <f t="shared" si="72"/>
        <v xml:space="preserve">Tier 2Workstation with unknown power management </v>
      </c>
      <c r="E526" s="300">
        <v>92.31</v>
      </c>
      <c r="F526" s="356">
        <v>1.09E-2</v>
      </c>
      <c r="G526" s="259">
        <v>1.1299999999999999E-2</v>
      </c>
      <c r="H526" s="259">
        <f t="shared" si="73"/>
        <v>1.11E-2</v>
      </c>
      <c r="J526" s="259" t="str">
        <f>CONCATENATE('Advanced Power Strips'!G12,'Advanced Power Strips'!F12)</f>
        <v/>
      </c>
      <c r="W526" s="6"/>
    </row>
    <row r="527" spans="2:23">
      <c r="D527" s="107"/>
      <c r="E527" s="107"/>
      <c r="G527" s="107"/>
    </row>
    <row r="528" spans="2:23">
      <c r="D528" s="107"/>
      <c r="E528" s="107"/>
      <c r="G528" s="107"/>
    </row>
    <row r="529" spans="2:8">
      <c r="D529" s="107"/>
      <c r="E529" s="107"/>
      <c r="G529" s="107"/>
    </row>
    <row r="531" spans="2:8" ht="15">
      <c r="B531" s="15" t="s">
        <v>909</v>
      </c>
      <c r="C531" s="15" t="s">
        <v>910</v>
      </c>
      <c r="D531" s="15" t="s">
        <v>911</v>
      </c>
      <c r="E531" s="15" t="s">
        <v>912</v>
      </c>
      <c r="F531" s="117" t="s">
        <v>913</v>
      </c>
      <c r="G531" s="1" t="s">
        <v>914</v>
      </c>
      <c r="H531" s="1" t="s">
        <v>915</v>
      </c>
    </row>
    <row r="532" spans="2:8">
      <c r="B532" s="1" t="s">
        <v>916</v>
      </c>
      <c r="C532" s="1" t="s">
        <v>917</v>
      </c>
      <c r="D532" s="1" t="s">
        <v>344</v>
      </c>
      <c r="E532" s="1" t="s">
        <v>918</v>
      </c>
      <c r="F532" s="233" t="s">
        <v>919</v>
      </c>
      <c r="G532" s="1" t="s">
        <v>15</v>
      </c>
      <c r="H532" s="1" t="s">
        <v>919</v>
      </c>
    </row>
    <row r="533" spans="2:8">
      <c r="B533" s="1" t="s">
        <v>916</v>
      </c>
      <c r="C533" s="1" t="s">
        <v>920</v>
      </c>
      <c r="D533" s="1" t="s">
        <v>921</v>
      </c>
      <c r="E533" s="1" t="s">
        <v>922</v>
      </c>
      <c r="F533" s="233" t="s">
        <v>923</v>
      </c>
      <c r="G533" s="1" t="s">
        <v>924</v>
      </c>
      <c r="H533" s="1" t="s">
        <v>923</v>
      </c>
    </row>
    <row r="534" spans="2:8">
      <c r="B534" s="1" t="s">
        <v>916</v>
      </c>
      <c r="C534" s="1" t="s">
        <v>920</v>
      </c>
      <c r="D534" s="1" t="s">
        <v>921</v>
      </c>
      <c r="E534" s="1" t="s">
        <v>922</v>
      </c>
      <c r="F534" s="233" t="s">
        <v>925</v>
      </c>
      <c r="G534" s="1" t="s">
        <v>924</v>
      </c>
      <c r="H534" s="1" t="s">
        <v>925</v>
      </c>
    </row>
    <row r="535" spans="2:8">
      <c r="B535" s="1" t="s">
        <v>916</v>
      </c>
      <c r="C535" s="1" t="s">
        <v>921</v>
      </c>
      <c r="D535" s="1" t="s">
        <v>921</v>
      </c>
      <c r="E535" s="1" t="s">
        <v>926</v>
      </c>
      <c r="F535" s="233" t="s">
        <v>927</v>
      </c>
      <c r="G535" s="1" t="s">
        <v>928</v>
      </c>
      <c r="H535" s="1" t="s">
        <v>927</v>
      </c>
    </row>
    <row r="536" spans="2:8">
      <c r="B536" s="1" t="s">
        <v>916</v>
      </c>
      <c r="C536" s="1" t="s">
        <v>921</v>
      </c>
      <c r="D536" s="1" t="s">
        <v>921</v>
      </c>
      <c r="E536" s="1" t="s">
        <v>929</v>
      </c>
      <c r="F536" s="233" t="s">
        <v>930</v>
      </c>
      <c r="G536" s="1" t="s">
        <v>931</v>
      </c>
      <c r="H536" s="1" t="s">
        <v>930</v>
      </c>
    </row>
    <row r="537" spans="2:8">
      <c r="B537" s="1" t="s">
        <v>916</v>
      </c>
      <c r="C537" s="1">
        <v>0</v>
      </c>
      <c r="D537" s="1" t="s">
        <v>921</v>
      </c>
      <c r="E537" s="1" t="s">
        <v>929</v>
      </c>
      <c r="F537" s="233" t="s">
        <v>930</v>
      </c>
      <c r="G537" s="1" t="s">
        <v>932</v>
      </c>
      <c r="H537" s="1" t="s">
        <v>930</v>
      </c>
    </row>
    <row r="538" spans="2:8">
      <c r="B538" s="1" t="s">
        <v>916</v>
      </c>
      <c r="C538" s="1" t="s">
        <v>921</v>
      </c>
      <c r="D538" s="1" t="s">
        <v>921</v>
      </c>
      <c r="E538" s="1" t="s">
        <v>929</v>
      </c>
      <c r="F538" s="233"/>
      <c r="G538" s="1" t="s">
        <v>933</v>
      </c>
    </row>
    <row r="539" spans="2:8">
      <c r="B539" s="1" t="s">
        <v>916</v>
      </c>
      <c r="C539" s="1" t="s">
        <v>921</v>
      </c>
      <c r="D539" s="1" t="s">
        <v>921</v>
      </c>
      <c r="E539" s="1" t="s">
        <v>929</v>
      </c>
      <c r="F539" s="233" t="s">
        <v>934</v>
      </c>
      <c r="G539" s="1" t="s">
        <v>935</v>
      </c>
      <c r="H539" s="1" t="s">
        <v>934</v>
      </c>
    </row>
    <row r="540" spans="2:8">
      <c r="B540" s="1" t="s">
        <v>916</v>
      </c>
      <c r="C540" s="1" t="s">
        <v>921</v>
      </c>
      <c r="D540" s="1" t="s">
        <v>921</v>
      </c>
      <c r="E540" s="1" t="s">
        <v>936</v>
      </c>
      <c r="F540" s="233" t="s">
        <v>937</v>
      </c>
      <c r="G540" s="1" t="s">
        <v>938</v>
      </c>
      <c r="H540" s="1" t="s">
        <v>937</v>
      </c>
    </row>
    <row r="541" spans="2:8">
      <c r="B541" s="1" t="s">
        <v>916</v>
      </c>
      <c r="C541" s="1" t="s">
        <v>921</v>
      </c>
      <c r="D541" s="1" t="s">
        <v>921</v>
      </c>
      <c r="E541" s="1" t="s">
        <v>939</v>
      </c>
      <c r="F541" s="233" t="s">
        <v>940</v>
      </c>
      <c r="G541" s="1" t="s">
        <v>939</v>
      </c>
      <c r="H541" s="1" t="s">
        <v>940</v>
      </c>
    </row>
    <row r="542" spans="2:8">
      <c r="B542" s="1" t="s">
        <v>916</v>
      </c>
      <c r="C542" s="1" t="s">
        <v>921</v>
      </c>
      <c r="D542" s="1" t="s">
        <v>921</v>
      </c>
      <c r="E542" s="1" t="s">
        <v>941</v>
      </c>
      <c r="F542" s="233" t="s">
        <v>942</v>
      </c>
      <c r="G542" s="1" t="s">
        <v>941</v>
      </c>
      <c r="H542" s="1" t="s">
        <v>942</v>
      </c>
    </row>
    <row r="543" spans="2:8">
      <c r="B543" s="1" t="s">
        <v>916</v>
      </c>
      <c r="C543" s="1" t="s">
        <v>921</v>
      </c>
      <c r="D543" s="1" t="s">
        <v>921</v>
      </c>
      <c r="E543" s="1" t="s">
        <v>941</v>
      </c>
      <c r="F543" s="233" t="s">
        <v>943</v>
      </c>
      <c r="G543" s="1" t="s">
        <v>941</v>
      </c>
      <c r="H543" s="1" t="s">
        <v>943</v>
      </c>
    </row>
    <row r="544" spans="2:8">
      <c r="B544" s="1" t="s">
        <v>916</v>
      </c>
      <c r="C544" s="1" t="s">
        <v>921</v>
      </c>
      <c r="D544" s="1" t="s">
        <v>921</v>
      </c>
      <c r="E544" s="1" t="s">
        <v>944</v>
      </c>
      <c r="F544" s="233" t="s">
        <v>945</v>
      </c>
      <c r="G544" s="1" t="s">
        <v>944</v>
      </c>
      <c r="H544" s="1" t="s">
        <v>945</v>
      </c>
    </row>
    <row r="545" spans="2:8">
      <c r="B545" s="1" t="s">
        <v>916</v>
      </c>
      <c r="C545" s="1" t="s">
        <v>921</v>
      </c>
      <c r="D545" s="1" t="s">
        <v>921</v>
      </c>
      <c r="E545" s="1" t="s">
        <v>944</v>
      </c>
      <c r="F545" s="233" t="s">
        <v>946</v>
      </c>
      <c r="G545" s="1" t="s">
        <v>944</v>
      </c>
      <c r="H545" s="1" t="s">
        <v>946</v>
      </c>
    </row>
    <row r="546" spans="2:8">
      <c r="B546" s="1" t="s">
        <v>916</v>
      </c>
      <c r="C546" s="1" t="s">
        <v>921</v>
      </c>
      <c r="D546" s="1" t="s">
        <v>921</v>
      </c>
      <c r="E546" s="1" t="s">
        <v>947</v>
      </c>
      <c r="F546" s="233" t="s">
        <v>948</v>
      </c>
      <c r="G546" s="1" t="s">
        <v>947</v>
      </c>
      <c r="H546" s="1" t="s">
        <v>948</v>
      </c>
    </row>
    <row r="547" spans="2:8">
      <c r="B547" s="1" t="s">
        <v>916</v>
      </c>
      <c r="C547" s="1" t="s">
        <v>921</v>
      </c>
      <c r="D547" s="1" t="s">
        <v>921</v>
      </c>
      <c r="E547" s="1" t="s">
        <v>949</v>
      </c>
      <c r="F547" s="233" t="s">
        <v>950</v>
      </c>
      <c r="G547" s="1" t="s">
        <v>949</v>
      </c>
      <c r="H547" s="1" t="s">
        <v>950</v>
      </c>
    </row>
    <row r="548" spans="2:8">
      <c r="B548" s="1" t="s">
        <v>916</v>
      </c>
      <c r="C548" s="1" t="s">
        <v>921</v>
      </c>
      <c r="D548" s="1" t="s">
        <v>921</v>
      </c>
      <c r="E548" s="1" t="s">
        <v>343</v>
      </c>
      <c r="F548" s="233" t="s">
        <v>951</v>
      </c>
      <c r="G548" s="1" t="s">
        <v>343</v>
      </c>
      <c r="H548" s="1" t="s">
        <v>951</v>
      </c>
    </row>
    <row r="549" spans="2:8">
      <c r="B549" s="1" t="s">
        <v>916</v>
      </c>
      <c r="C549" s="1" t="s">
        <v>952</v>
      </c>
      <c r="D549" s="1" t="s">
        <v>921</v>
      </c>
      <c r="E549" s="1" t="s">
        <v>953</v>
      </c>
      <c r="F549" s="233" t="s">
        <v>954</v>
      </c>
      <c r="G549" s="1" t="s">
        <v>953</v>
      </c>
      <c r="H549" s="1" t="s">
        <v>954</v>
      </c>
    </row>
    <row r="550" spans="2:8">
      <c r="B550" s="1" t="s">
        <v>916</v>
      </c>
      <c r="C550" s="1" t="s">
        <v>917</v>
      </c>
      <c r="D550" s="1" t="s">
        <v>344</v>
      </c>
      <c r="E550" s="1" t="s">
        <v>710</v>
      </c>
      <c r="F550" s="233" t="s">
        <v>710</v>
      </c>
      <c r="G550" s="1" t="s">
        <v>955</v>
      </c>
      <c r="H550" s="1" t="s">
        <v>710</v>
      </c>
    </row>
    <row r="551" spans="2:8">
      <c r="B551" s="1" t="s">
        <v>916</v>
      </c>
      <c r="C551" s="1" t="s">
        <v>917</v>
      </c>
      <c r="D551" s="1" t="s">
        <v>344</v>
      </c>
      <c r="E551" s="1" t="s">
        <v>710</v>
      </c>
      <c r="F551" s="233" t="s">
        <v>712</v>
      </c>
      <c r="G551" s="1" t="s">
        <v>955</v>
      </c>
      <c r="H551" s="1" t="s">
        <v>712</v>
      </c>
    </row>
    <row r="552" spans="2:8">
      <c r="B552" s="1" t="s">
        <v>916</v>
      </c>
      <c r="C552" s="1" t="s">
        <v>917</v>
      </c>
      <c r="D552" s="1" t="s">
        <v>344</v>
      </c>
      <c r="E552" s="1" t="s">
        <v>956</v>
      </c>
      <c r="F552" s="233" t="s">
        <v>714</v>
      </c>
      <c r="G552" s="1" t="s">
        <v>955</v>
      </c>
      <c r="H552" s="1" t="s">
        <v>714</v>
      </c>
    </row>
    <row r="553" spans="2:8">
      <c r="B553" s="1" t="s">
        <v>916</v>
      </c>
      <c r="C553" s="1" t="s">
        <v>917</v>
      </c>
      <c r="D553" s="1" t="s">
        <v>344</v>
      </c>
      <c r="E553" s="1" t="s">
        <v>957</v>
      </c>
      <c r="F553" s="233" t="s">
        <v>716</v>
      </c>
      <c r="G553" s="1" t="s">
        <v>955</v>
      </c>
      <c r="H553" s="1" t="s">
        <v>716</v>
      </c>
    </row>
    <row r="554" spans="2:8">
      <c r="B554" s="1" t="s">
        <v>916</v>
      </c>
      <c r="C554" s="1" t="s">
        <v>917</v>
      </c>
      <c r="D554" s="1" t="s">
        <v>344</v>
      </c>
      <c r="E554" s="1" t="s">
        <v>958</v>
      </c>
      <c r="F554" s="233" t="s">
        <v>721</v>
      </c>
      <c r="G554" s="1" t="s">
        <v>955</v>
      </c>
      <c r="H554" s="1" t="s">
        <v>721</v>
      </c>
    </row>
    <row r="555" spans="2:8">
      <c r="B555" s="1" t="s">
        <v>916</v>
      </c>
      <c r="C555" s="1" t="s">
        <v>917</v>
      </c>
      <c r="D555" s="1" t="s">
        <v>344</v>
      </c>
      <c r="E555" s="1" t="s">
        <v>959</v>
      </c>
      <c r="F555" s="233" t="s">
        <v>727</v>
      </c>
      <c r="G555" s="1" t="s">
        <v>955</v>
      </c>
      <c r="H555" s="1" t="s">
        <v>727</v>
      </c>
    </row>
    <row r="556" spans="2:8">
      <c r="B556" s="1" t="s">
        <v>916</v>
      </c>
      <c r="C556" s="1" t="s">
        <v>917</v>
      </c>
      <c r="D556" s="1" t="s">
        <v>344</v>
      </c>
      <c r="E556" s="1" t="s">
        <v>733</v>
      </c>
      <c r="F556" s="233" t="s">
        <v>733</v>
      </c>
      <c r="G556" s="1" t="s">
        <v>955</v>
      </c>
      <c r="H556" s="1" t="s">
        <v>733</v>
      </c>
    </row>
    <row r="557" spans="2:8">
      <c r="B557" s="1" t="s">
        <v>916</v>
      </c>
      <c r="C557" s="1" t="s">
        <v>917</v>
      </c>
      <c r="D557" s="1" t="s">
        <v>344</v>
      </c>
      <c r="E557" s="1" t="s">
        <v>960</v>
      </c>
      <c r="F557" s="233" t="s">
        <v>961</v>
      </c>
      <c r="G557" s="1" t="s">
        <v>962</v>
      </c>
      <c r="H557" s="1" t="s">
        <v>961</v>
      </c>
    </row>
    <row r="558" spans="2:8">
      <c r="B558" s="1" t="s">
        <v>916</v>
      </c>
      <c r="C558" s="1" t="s">
        <v>917</v>
      </c>
      <c r="D558" s="1" t="s">
        <v>344</v>
      </c>
      <c r="E558" s="1" t="s">
        <v>963</v>
      </c>
      <c r="F558" s="233" t="s">
        <v>964</v>
      </c>
      <c r="G558" s="1" t="s">
        <v>965</v>
      </c>
      <c r="H558" s="1" t="s">
        <v>964</v>
      </c>
    </row>
    <row r="559" spans="2:8">
      <c r="B559" s="1" t="s">
        <v>916</v>
      </c>
      <c r="C559" s="1" t="s">
        <v>917</v>
      </c>
      <c r="D559" s="1" t="s">
        <v>344</v>
      </c>
      <c r="E559" s="1" t="s">
        <v>966</v>
      </c>
      <c r="F559" s="233" t="s">
        <v>967</v>
      </c>
      <c r="G559" s="1" t="s">
        <v>966</v>
      </c>
      <c r="H559" s="1" t="s">
        <v>967</v>
      </c>
    </row>
    <row r="560" spans="2:8">
      <c r="B560" s="1" t="s">
        <v>916</v>
      </c>
      <c r="E560" s="1" t="s">
        <v>968</v>
      </c>
      <c r="F560" s="1" t="s">
        <v>969</v>
      </c>
      <c r="G560" s="1" t="s">
        <v>968</v>
      </c>
      <c r="H560" s="1" t="s">
        <v>969</v>
      </c>
    </row>
  </sheetData>
  <mergeCells count="70">
    <mergeCell ref="AB67:AB69"/>
    <mergeCell ref="F67:F69"/>
    <mergeCell ref="B235:J235"/>
    <mergeCell ref="P228:P229"/>
    <mergeCell ref="Q228:Q229"/>
    <mergeCell ref="B228:B229"/>
    <mergeCell ref="C228:C229"/>
    <mergeCell ref="D228:D229"/>
    <mergeCell ref="E228:E229"/>
    <mergeCell ref="F228:F229"/>
    <mergeCell ref="G228:G229"/>
    <mergeCell ref="H228:H229"/>
    <mergeCell ref="L228:L229"/>
    <mergeCell ref="M228:M229"/>
    <mergeCell ref="K228:K229"/>
    <mergeCell ref="N228:N229"/>
    <mergeCell ref="O228:O229"/>
    <mergeCell ref="B67:B69"/>
    <mergeCell ref="B101:J101"/>
    <mergeCell ref="B75:J75"/>
    <mergeCell ref="E67:E69"/>
    <mergeCell ref="I93:I94"/>
    <mergeCell ref="B93:B94"/>
    <mergeCell ref="E93:E94"/>
    <mergeCell ref="F93:F94"/>
    <mergeCell ref="H93:H94"/>
    <mergeCell ref="D93:D94"/>
    <mergeCell ref="C93:C94"/>
    <mergeCell ref="G93:G94"/>
    <mergeCell ref="O93:O94"/>
    <mergeCell ref="L93:L94"/>
    <mergeCell ref="M93:M94"/>
    <mergeCell ref="B45:J45"/>
    <mergeCell ref="S13:S14"/>
    <mergeCell ref="D13:I13"/>
    <mergeCell ref="J13:O13"/>
    <mergeCell ref="P13:P14"/>
    <mergeCell ref="Q13:Q14"/>
    <mergeCell ref="R13:R14"/>
    <mergeCell ref="B269:D269"/>
    <mergeCell ref="B298:B299"/>
    <mergeCell ref="C298:C299"/>
    <mergeCell ref="D298:D299"/>
    <mergeCell ref="E298:E299"/>
    <mergeCell ref="B2:J2"/>
    <mergeCell ref="B23:J23"/>
    <mergeCell ref="B38:B39"/>
    <mergeCell ref="C38:C39"/>
    <mergeCell ref="S38:S39"/>
    <mergeCell ref="R38:R39"/>
    <mergeCell ref="D38:I38"/>
    <mergeCell ref="J38:O38"/>
    <mergeCell ref="P38:P39"/>
    <mergeCell ref="Q38:Q39"/>
    <mergeCell ref="B13:B14"/>
    <mergeCell ref="C13:C14"/>
    <mergeCell ref="N93:N94"/>
    <mergeCell ref="J93:J94"/>
    <mergeCell ref="K93:K94"/>
    <mergeCell ref="Y67:Y69"/>
    <mergeCell ref="AA67:AA69"/>
    <mergeCell ref="Z67:Z69"/>
    <mergeCell ref="Q67:X67"/>
    <mergeCell ref="Q68:T68"/>
    <mergeCell ref="U68:X68"/>
    <mergeCell ref="C67:C69"/>
    <mergeCell ref="D67:D69"/>
    <mergeCell ref="G67:P67"/>
    <mergeCell ref="G68:K68"/>
    <mergeCell ref="L68:P68"/>
  </mergeCells>
  <phoneticPr fontId="100" type="noConversion"/>
  <pageMargins left="0.7" right="0.7" top="0.75" bottom="0.75" header="0.3" footer="0.3"/>
  <pageSetup orientation="portrait" r:id="rId1"/>
  <ignoredErrors>
    <ignoredError sqref="D230 D232 D231 D233:D234"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8788742-c24c-455f-83e9-59d89e3de440">
      <Terms xmlns="http://schemas.microsoft.com/office/infopath/2007/PartnerControls"/>
    </lcf76f155ced4ddcb4097134ff3c332f>
    <TaxCatchAll xmlns="52741100-c965-4fd4-8aa7-2d9d842b1c9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20" ma:contentTypeDescription="Create a new document." ma:contentTypeScope="" ma:versionID="eb833a75e8dc36a4ba8eb984a1a34832">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2e10f29de20600cc7ba68cb2f4a4e256"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399D27-9BFE-4155-AE52-51AF6A72D0EF}">
  <ds:schemaRefs>
    <ds:schemaRef ds:uri="http://schemas.microsoft.com/office/2006/documentManagement/types"/>
    <ds:schemaRef ds:uri="http://www.w3.org/XML/1998/namespace"/>
    <ds:schemaRef ds:uri="http://purl.org/dc/elements/1.1/"/>
    <ds:schemaRef ds:uri="98788742-c24c-455f-83e9-59d89e3de440"/>
    <ds:schemaRef ds:uri="http://purl.org/dc/dcmitype/"/>
    <ds:schemaRef ds:uri="http://schemas.microsoft.com/office/2006/metadata/properties"/>
    <ds:schemaRef ds:uri="http://purl.org/dc/terms/"/>
    <ds:schemaRef ds:uri="http://schemas.microsoft.com/office/infopath/2007/PartnerControls"/>
    <ds:schemaRef ds:uri="http://schemas.openxmlformats.org/package/2006/metadata/core-properties"/>
    <ds:schemaRef ds:uri="52741100-c965-4fd4-8aa7-2d9d842b1c91"/>
  </ds:schemaRefs>
</ds:datastoreItem>
</file>

<file path=customXml/itemProps2.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3.xml><?xml version="1.0" encoding="utf-8"?>
<ds:datastoreItem xmlns:ds="http://schemas.openxmlformats.org/officeDocument/2006/customXml" ds:itemID="{AA963B39-9FDB-4EE4-96D6-CE8019565B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46</vt:i4>
      </vt:variant>
    </vt:vector>
  </HeadingPairs>
  <TitlesOfParts>
    <vt:vector size="73" baseType="lpstr">
      <vt:lpstr>Methodology</vt:lpstr>
      <vt:lpstr>Utility Admin</vt:lpstr>
      <vt:lpstr>Zip Code Lookup Table</vt:lpstr>
      <vt:lpstr>Instructions</vt:lpstr>
      <vt:lpstr>Incentives</vt:lpstr>
      <vt:lpstr>Summary</vt:lpstr>
      <vt:lpstr>Data Export</vt:lpstr>
      <vt:lpstr>Version Log</vt:lpstr>
      <vt:lpstr>Calculations</vt:lpstr>
      <vt:lpstr>ES Ice Machines</vt:lpstr>
      <vt:lpstr>Beverage and Snack Controls</vt:lpstr>
      <vt:lpstr>Combination Oven</vt:lpstr>
      <vt:lpstr>ENERGY STAR Bath Fans</vt:lpstr>
      <vt:lpstr>ENERGY STAR Steam Cooker</vt:lpstr>
      <vt:lpstr>Convection Oven</vt:lpstr>
      <vt:lpstr>Beverage Vending Machine</vt:lpstr>
      <vt:lpstr>Commercial Fryer</vt:lpstr>
      <vt:lpstr>Hot Food Holding Cabinet</vt:lpstr>
      <vt:lpstr>Commercial Dishwasher</vt:lpstr>
      <vt:lpstr>ENERGY STAR Griddle</vt:lpstr>
      <vt:lpstr>ENERGY STAR Clothes Washer</vt:lpstr>
      <vt:lpstr>Office Equipment</vt:lpstr>
      <vt:lpstr>Commercial Induction Cooktops</vt:lpstr>
      <vt:lpstr>Advanced Power Strips</vt:lpstr>
      <vt:lpstr>ENERGY STAR Servers</vt:lpstr>
      <vt:lpstr>Server Virtualization</vt:lpstr>
      <vt:lpstr>Network Power Management</vt:lpstr>
      <vt:lpstr>_2_3__Size</vt:lpstr>
      <vt:lpstr>August_31__2012___January_7__2019</vt:lpstr>
      <vt:lpstr>BaseIceMachineType</vt:lpstr>
      <vt:lpstr>Batch_I_M_H_Base</vt:lpstr>
      <vt:lpstr>Batch_I_M_H_EE</vt:lpstr>
      <vt:lpstr>Batch_R_C_EE</vt:lpstr>
      <vt:lpstr>Batch_R_C_W_RC_Base</vt:lpstr>
      <vt:lpstr>Batch_R_C_WO_RC_Base</vt:lpstr>
      <vt:lpstr>Batch_SC_Base</vt:lpstr>
      <vt:lpstr>Batch_SC_EE</vt:lpstr>
      <vt:lpstr>Before_August_31__2012</vt:lpstr>
      <vt:lpstr>Cont_I_M_H_Base</vt:lpstr>
      <vt:lpstr>Cont_I_M_H_EE</vt:lpstr>
      <vt:lpstr>Cont_R_C_EE</vt:lpstr>
      <vt:lpstr>Cont_R_C_W_RC_Base</vt:lpstr>
      <vt:lpstr>Cont_R_C_WO_RC_Base</vt:lpstr>
      <vt:lpstr>Cont_SC_Base</vt:lpstr>
      <vt:lpstr>Cont_SC_EE</vt:lpstr>
      <vt:lpstr>CR_Utility</vt:lpstr>
      <vt:lpstr>EEIceMachineType</vt:lpstr>
      <vt:lpstr>Electric_Steam_Cooker</vt:lpstr>
      <vt:lpstr>Full</vt:lpstr>
      <vt:lpstr>Full_Size</vt:lpstr>
      <vt:lpstr>Half</vt:lpstr>
      <vt:lpstr>Half_Size</vt:lpstr>
      <vt:lpstr>Manufactured_Date</vt:lpstr>
      <vt:lpstr>Mini</vt:lpstr>
      <vt:lpstr>Office_Equiment</vt:lpstr>
      <vt:lpstr>On_or_after_January_8__2019</vt:lpstr>
      <vt:lpstr>'Advanced Power Strips'!Print_Area</vt:lpstr>
      <vt:lpstr>'Beverage and Snack Controls'!Print_Area</vt:lpstr>
      <vt:lpstr>'Beverage Vending Machine'!Print_Area</vt:lpstr>
      <vt:lpstr>'Combination Oven'!Print_Area</vt:lpstr>
      <vt:lpstr>'Commercial Dishwasher'!Print_Area</vt:lpstr>
      <vt:lpstr>'Commercial Fryer'!Print_Area</vt:lpstr>
      <vt:lpstr>'Commercial Induction Cooktops'!Print_Area</vt:lpstr>
      <vt:lpstr>'Convection Oven'!Print_Area</vt:lpstr>
      <vt:lpstr>'ENERGY STAR Bath Fans'!Print_Area</vt:lpstr>
      <vt:lpstr>'ENERGY STAR Clothes Washer'!Print_Area</vt:lpstr>
      <vt:lpstr>'ENERGY STAR Griddle'!Print_Area</vt:lpstr>
      <vt:lpstr>'ENERGY STAR Steam Cooker'!Print_Area</vt:lpstr>
      <vt:lpstr>'ES Ice Machines'!Print_Area</vt:lpstr>
      <vt:lpstr>'Hot Food Holding Cabinet'!Print_Area</vt:lpstr>
      <vt:lpstr>'Network Power Management'!Print_Area</vt:lpstr>
      <vt:lpstr>'Office Equipment'!Print_Area</vt:lpstr>
      <vt:lpstr>Washertype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Nick Momenee</cp:lastModifiedBy>
  <cp:revision/>
  <dcterms:created xsi:type="dcterms:W3CDTF">2014-05-06T17:45:34Z</dcterms:created>
  <dcterms:modified xsi:type="dcterms:W3CDTF">2026-06-09T21:08:39Z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y fmtid="{D5CDD505-2E9C-101B-9397-08002B2CF9AE}" pid="6" name="MediaServiceImageTags">
    <vt:lpwstr/>
  </property>
</Properties>
</file>