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https://clearesult5.sharepoint.com/sites/MidAtlanticEngineering/Shared Documents/PPL/Phase 5/Calculators/"/>
    </mc:Choice>
  </mc:AlternateContent>
  <xr:revisionPtr revIDLastSave="365" documentId="8_{1737E174-8885-4D70-A751-D04D1692C4C2}" xr6:coauthVersionLast="47" xr6:coauthVersionMax="47" xr10:uidLastSave="{11482D1D-4B88-4240-865F-44E7953E3A76}"/>
  <workbookProtection workbookAlgorithmName="SHA-512" workbookHashValue="erGH+TX4b8UcEcJxCmM4i0SDvqp1HgSaVZwmZuX7K/r0V0FwRczvYaqgUn/DVqKY0S8EQaxrpbaSwnOYHRRyBQ==" workbookSaltValue="Nu9WqNiGd+d4k4JMjhLmTg==" workbookSpinCount="100000" lockStructure="1"/>
  <bookViews>
    <workbookView xWindow="-110" yWindow="-110" windowWidth="19420" windowHeight="11500" tabRatio="854" firstSheet="1" activeTab="6" xr2:uid="{00000000-000D-0000-FFFF-FFFF00000000}"/>
  </bookViews>
  <sheets>
    <sheet name="Utility Admin" sheetId="44" state="hidden" r:id="rId1"/>
    <sheet name="Instructions" sheetId="16" r:id="rId2"/>
    <sheet name="Data Export" sheetId="39" state="hidden" r:id="rId3"/>
    <sheet name="Version Log" sheetId="29" state="hidden" r:id="rId4"/>
    <sheet name="Methodology " sheetId="30" state="hidden" r:id="rId5"/>
    <sheet name="Calculations" sheetId="5" state="hidden" r:id="rId6"/>
    <sheet name="Summary" sheetId="35" r:id="rId7"/>
    <sheet name="Printable Report" sheetId="41" state="hidden" r:id="rId8"/>
    <sheet name="Measure List" sheetId="40" state="hidden" r:id="rId9"/>
    <sheet name="Incentives Table" sheetId="43" state="hidden" r:id="rId10"/>
    <sheet name="VFD Compressor (&lt;=40HP)" sheetId="34" r:id="rId11"/>
    <sheet name="Cycling Dryer" sheetId="31" r:id="rId12"/>
    <sheet name="Air Nozzle" sheetId="4" r:id="rId13"/>
    <sheet name="Condensate Drains" sheetId="32" r:id="rId14"/>
    <sheet name="Air Tanks" sheetId="33" r:id="rId15"/>
    <sheet name="Compressor Controller" sheetId="36" r:id="rId16"/>
    <sheet name="Low Pressure Drop Filters" sheetId="37" r:id="rId17"/>
    <sheet name="Mist Eliminators" sheetId="38" r:id="rId18"/>
  </sheets>
  <definedNames>
    <definedName name="AnnualHoursofCompressorOperation">Calculations!$Y$68:$AB$76</definedName>
    <definedName name="AnnualHoursofCompressorOperation_CF">Calculations!$AB$68:$AB$76</definedName>
    <definedName name="Annualhoursofcompressoroperation_maxsize">Calculations!$Z$69:$Z$76</definedName>
    <definedName name="Annualhoursofcompressoroperation_minsize">Calculations!$Y$69:$Y$76</definedName>
    <definedName name="AnnualHoursofOperation">Calculations!$B$68:$C$72</definedName>
    <definedName name="Building_Type" localSheetId="7">#REF!</definedName>
    <definedName name="Calculation_Method_NC">#REF!</definedName>
    <definedName name="Can_Capacity" localSheetId="7">#REF!</definedName>
    <definedName name="City">"Pittsburgh"</definedName>
    <definedName name="CL_Incentive" localSheetId="4">#REF!</definedName>
    <definedName name="CL_Incentive" localSheetId="7">0.06</definedName>
    <definedName name="CoincidenceFactor">Calculations!$E$68:$G$72</definedName>
    <definedName name="Cool_Type" localSheetId="7">#REF!</definedName>
    <definedName name="Cooled">#REF!</definedName>
    <definedName name="CR_CL_Incentive">0.06</definedName>
    <definedName name="CR_CustomLite_Incentive">0.06</definedName>
    <definedName name="CR_DeterminingElecCostsDoc">"Object 4"</definedName>
    <definedName name="CR_Presc_kW_Incentive">185</definedName>
    <definedName name="CR_Presc_kWh_Incentive">0.1</definedName>
    <definedName name="CR_Utility">'Utility Admin'!$E$3</definedName>
    <definedName name="CR_Utility_Alt">'Utility Admin'!$E$7:$E$9</definedName>
    <definedName name="CustomLite_Incentive">0.06</definedName>
    <definedName name="dASH">#REF!</definedName>
    <definedName name="DeterminingElecCostsDoc">"Object 4"</definedName>
    <definedName name="DoorkW">#REF!</definedName>
    <definedName name="DoorkWh">#REF!</definedName>
    <definedName name="EFLH">#REF!</definedName>
    <definedName name="Heated">#REF!</definedName>
    <definedName name="Ice_Machine_Type" localSheetId="7">#REF!</definedName>
    <definedName name="Interior_or_Exterior">#REF!</definedName>
    <definedName name="KASH">#REF!</definedName>
    <definedName name="kW_rate">Summary!#REF!</definedName>
    <definedName name="kWh_rate">Summary!#REF!</definedName>
    <definedName name="Logo">IF('Utility Admin'!$E$3="PPL",  'Utility Admin'!$H$7:$L$15,   IF('Utility Admin'!$E$3 = "First Energy",'Utility Admin'!$H$27:$L$35,'Utility Admin'!$H$17:$L$25))</definedName>
    <definedName name="NC_Type" hidden="1">#REF!</definedName>
    <definedName name="No_of_Pans" localSheetId="7">#REF!</definedName>
    <definedName name="Opcos">#REF!</definedName>
    <definedName name="Pres_Incentive" localSheetId="4">#REF!</definedName>
    <definedName name="Presc_kW_Incentive">185</definedName>
    <definedName name="Presc_kWh_Incentive">0.1</definedName>
    <definedName name="_xlnm.Print_Area" localSheetId="12">'Air Nozzle'!$B$2:$D$22</definedName>
    <definedName name="_xlnm.Print_Area" localSheetId="14">'Air Tanks'!$B$2:$C$19</definedName>
    <definedName name="_xlnm.Print_Area" localSheetId="13">'Condensate Drains'!$B$2:$D$18</definedName>
    <definedName name="_xlnm.Print_Area" localSheetId="11">'Cycling Dryer'!$B$2:$C$21</definedName>
    <definedName name="_xlnm.Print_Area" localSheetId="7">'Printable Report'!Print_Area_Dynamic</definedName>
    <definedName name="_xlnm.Print_Area" localSheetId="10">'VFD Compressor (&lt;=40HP)'!$B$2:$C$19</definedName>
    <definedName name="Print_Area_Dynamic" localSheetId="7">OFFSET('Printable Report'!$C$1,0,0,2164-COUNTBLANK('Printable Report'!$D$1:$D$41),11)</definedName>
    <definedName name="PRJ_Type" localSheetId="7">#REF!</definedName>
    <definedName name="PRJ_Type" hidden="1">#REF!</definedName>
    <definedName name="Proj_Type">#REF!</definedName>
    <definedName name="ProjectCost">Summary!$F$16</definedName>
    <definedName name="Reporting_Categories">#REF!</definedName>
    <definedName name="ReportLogo">IF('Utility Admin'!$E$3="PPL", 'Utility Admin'!$O$7:$S$15,   IF('Utility Admin'!$E$3 = "First Energy",'Utility Admin'!$O$27:$S$35,'Utility Admin'!$O$17:$S$25))</definedName>
    <definedName name="Sector">#REF!</definedName>
    <definedName name="SqFt" localSheetId="7" hidden="1">#REF!</definedName>
    <definedName name="TRM_Space_Types">OFFSET(#REF!,0,0,#REF!,1)</definedName>
    <definedName name="Uncooled">#REF!</definedName>
    <definedName name="Unheated">#REF!</definedName>
    <definedName name="VFDEnergySavingsFactor">Calculations!$E$77:$F$77</definedName>
    <definedName name="xBaseValues">#REF!</definedName>
    <definedName name="xyNCEx" localSheetId="7" hidden="1">INDIRECT("'NC Exterior Lighting Only'!$B$4:$E$"&amp;COUNTA(#REF!)+3)</definedName>
    <definedName name="yCF_Compressor" localSheetId="14">#REF!</definedName>
    <definedName name="yCF_Compressor" localSheetId="13">#REF!</definedName>
    <definedName name="yCF_Compressor" localSheetId="11">#REF!</definedName>
    <definedName name="yCF_Compressor" localSheetId="10">#REF!</definedName>
    <definedName name="yCF_Compressor">#REF!</definedName>
    <definedName name="yControlTypes" hidden="1">#REF!</definedName>
    <definedName name="yFixture_Code" hidden="1">#REF!</definedName>
    <definedName name="yFixture_Type">INDIRECT("'Fixture and LED Schedule'!$C$6:$C$"&amp;COUNTA(#REF!)+4)</definedName>
    <definedName name="yLED_Type">INDIRECT("'Fixture and LED Schedule'!$C$36:$C$"&amp;COUNTA(#REF!)+34)</definedName>
    <definedName name="yNCExArea" localSheetId="7" hidden="1">INDIRECT("'NC Exterior Lighting Only'!$B$4:$B$"&amp;COUNTA(#REF!)+3)</definedName>
    <definedName name="yNCExArea">INDIRECT("'NC Exterior Lighting Only'!$B$4:$B$"&amp;COUNTA(#REF!)+3)</definedName>
    <definedName name="ySpace_Types">IF(AND(PRJ_Type="New Construction",NC_Type="Space by Space Method"),OFFSET(#REF!,0,0,#REF!,1),OFFSET(#REF!,0,0,#REF!,1))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29" l="1"/>
  <c r="J3" i="43"/>
  <c r="F2" i="35" a="1"/>
  <c r="F2" i="35" s="1"/>
  <c r="J6" i="29"/>
  <c r="K109" i="5"/>
  <c r="I103" i="5"/>
  <c r="C6" i="32"/>
  <c r="G6" i="5"/>
  <c r="G5" i="5"/>
  <c r="G4" i="5"/>
  <c r="H6" i="5"/>
  <c r="H5" i="5"/>
  <c r="H4" i="5"/>
  <c r="J4" i="43" l="1"/>
  <c r="J5" i="43"/>
  <c r="J2" i="43"/>
  <c r="C5" i="38"/>
  <c r="C5" i="37"/>
  <c r="C5" i="36"/>
  <c r="C5" i="33"/>
  <c r="D6" i="32"/>
  <c r="E6" i="32"/>
  <c r="F6" i="32"/>
  <c r="C6" i="4"/>
  <c r="C5" i="31"/>
  <c r="C85" i="5" s="1"/>
  <c r="D6" i="4"/>
  <c r="E6" i="4"/>
  <c r="F6" i="4"/>
  <c r="C5" i="34"/>
  <c r="D85" i="5" l="1"/>
  <c r="E85" i="5"/>
  <c r="C15" i="5"/>
  <c r="F94" i="5"/>
  <c r="H94" i="5" s="1"/>
  <c r="H88" i="5"/>
  <c r="C11" i="5" l="1"/>
  <c r="C29" i="5" l="1" a="1"/>
  <c r="C29" i="5" s="1"/>
  <c r="C24" i="5"/>
  <c r="C21" i="5"/>
  <c r="F106" i="5" s="1"/>
  <c r="D100" i="5"/>
  <c r="C100" i="5" l="1"/>
  <c r="C97" i="5"/>
  <c r="E97" i="5" s="1"/>
  <c r="C96" i="5"/>
  <c r="E96" i="5" s="1"/>
  <c r="C95" i="5"/>
  <c r="E95" i="5" s="1"/>
  <c r="C94" i="5"/>
  <c r="E94" i="5" s="1"/>
  <c r="C91" i="5"/>
  <c r="C90" i="5"/>
  <c r="C89" i="5"/>
  <c r="C88" i="5"/>
  <c r="C17" i="5" a="1"/>
  <c r="C17" i="5" s="1"/>
  <c r="D103" i="5" l="1"/>
  <c r="F103" i="5"/>
  <c r="E89" i="5"/>
  <c r="D89" i="5"/>
  <c r="D90" i="5"/>
  <c r="E90" i="5"/>
  <c r="E88" i="5"/>
  <c r="D88" i="5"/>
  <c r="D91" i="5"/>
  <c r="E91" i="5"/>
  <c r="G88" i="5"/>
  <c r="G89" i="5"/>
  <c r="G90" i="5"/>
  <c r="G91" i="5"/>
  <c r="K96" i="5"/>
  <c r="K94" i="5"/>
  <c r="K95" i="5"/>
  <c r="D95" i="5"/>
  <c r="D94" i="5"/>
  <c r="D96" i="5"/>
  <c r="D97" i="5"/>
  <c r="K97" i="5"/>
  <c r="J4" i="35" l="1"/>
  <c r="D4" i="41"/>
  <c r="D3" i="41"/>
  <c r="C2" i="40"/>
  <c r="C13" i="40"/>
  <c r="C15" i="40" l="1"/>
  <c r="C14" i="40"/>
  <c r="C12" i="40"/>
  <c r="C11" i="40"/>
  <c r="C10" i="40"/>
  <c r="C9" i="40"/>
  <c r="C8" i="40"/>
  <c r="C7" i="40"/>
  <c r="C6" i="40"/>
  <c r="C5" i="40"/>
  <c r="C4" i="40"/>
  <c r="C3" i="40"/>
  <c r="F15" i="40"/>
  <c r="F14" i="40"/>
  <c r="F13" i="40"/>
  <c r="F12" i="40"/>
  <c r="F11" i="40"/>
  <c r="F10" i="40"/>
  <c r="F9" i="40"/>
  <c r="F8" i="40"/>
  <c r="F7" i="40"/>
  <c r="F6" i="40"/>
  <c r="F5" i="40"/>
  <c r="F4" i="40"/>
  <c r="F3" i="40"/>
  <c r="D15" i="40"/>
  <c r="D14" i="40"/>
  <c r="D11" i="40"/>
  <c r="D10" i="40"/>
  <c r="D9" i="40"/>
  <c r="D8" i="40"/>
  <c r="D7" i="40"/>
  <c r="D6" i="40"/>
  <c r="D5" i="40"/>
  <c r="D4" i="40"/>
  <c r="D3" i="40"/>
  <c r="F2" i="40" l="1"/>
  <c r="D2" i="40"/>
  <c r="H109" i="5"/>
  <c r="F100" i="5"/>
  <c r="I97" i="5" l="1"/>
  <c r="I96" i="5"/>
  <c r="I95" i="5"/>
  <c r="I94" i="5"/>
  <c r="F16" i="35"/>
  <c r="C28" i="5"/>
  <c r="C27" i="5"/>
  <c r="C112" i="5" s="1"/>
  <c r="C26" i="5"/>
  <c r="C109" i="5" s="1"/>
  <c r="F109" i="5"/>
  <c r="C23" i="5"/>
  <c r="D109" i="5" s="1"/>
  <c r="J112" i="5"/>
  <c r="I112" i="5"/>
  <c r="H112" i="5"/>
  <c r="G112" i="5"/>
  <c r="C30" i="5"/>
  <c r="F112" i="5"/>
  <c r="G109" i="5"/>
  <c r="J109" i="5"/>
  <c r="I109" i="5"/>
  <c r="C22" i="5"/>
  <c r="O106" i="5" s="1"/>
  <c r="J106" i="5"/>
  <c r="I106" i="5"/>
  <c r="H106" i="5"/>
  <c r="G106" i="5"/>
  <c r="E106" i="5"/>
  <c r="C20" i="5"/>
  <c r="J103" i="5"/>
  <c r="H103" i="5"/>
  <c r="G103" i="5"/>
  <c r="H91" i="5"/>
  <c r="H90" i="5"/>
  <c r="H89" i="5"/>
  <c r="D112" i="5" l="1"/>
  <c r="O112" i="5"/>
  <c r="C106" i="5"/>
  <c r="E9" i="41"/>
  <c r="E112" i="5"/>
  <c r="P109" i="5"/>
  <c r="E109" i="5"/>
  <c r="L109" i="5" s="1"/>
  <c r="D106" i="5"/>
  <c r="C4" i="5"/>
  <c r="C5" i="5"/>
  <c r="C3" i="5"/>
  <c r="N109" i="5" l="1"/>
  <c r="C14" i="37" s="1"/>
  <c r="H14" i="35" s="1"/>
  <c r="M109" i="5"/>
  <c r="C13" i="37" s="1"/>
  <c r="G14" i="35" s="1"/>
  <c r="K106" i="5"/>
  <c r="K112" i="5"/>
  <c r="F85" i="5"/>
  <c r="M106" i="5" l="1"/>
  <c r="C14" i="36" s="1"/>
  <c r="H13" i="35" s="1"/>
  <c r="O109" i="5"/>
  <c r="Q109" i="5" s="1"/>
  <c r="C13" i="38"/>
  <c r="L112" i="5"/>
  <c r="C14" i="38" s="1"/>
  <c r="G15" i="35" s="1"/>
  <c r="M112" i="5"/>
  <c r="C15" i="38" s="1"/>
  <c r="H15" i="35" s="1"/>
  <c r="L106" i="5"/>
  <c r="C13" i="36" s="1"/>
  <c r="G13" i="35" s="1"/>
  <c r="C12" i="36"/>
  <c r="C12" i="37"/>
  <c r="J14" i="35" s="1"/>
  <c r="N106" i="5" l="1"/>
  <c r="C15" i="36" s="1"/>
  <c r="I13" i="35" s="1"/>
  <c r="N112" i="5"/>
  <c r="C15" i="37"/>
  <c r="J15" i="35"/>
  <c r="G15" i="40"/>
  <c r="G14" i="40"/>
  <c r="J13" i="35"/>
  <c r="G13" i="40"/>
  <c r="F97" i="5"/>
  <c r="F96" i="5"/>
  <c r="F95" i="5"/>
  <c r="N91" i="5"/>
  <c r="N90" i="5"/>
  <c r="N89" i="5"/>
  <c r="N88" i="5"/>
  <c r="F91" i="5"/>
  <c r="F90" i="5"/>
  <c r="F89" i="5"/>
  <c r="F88" i="5"/>
  <c r="I89" i="5"/>
  <c r="I90" i="5"/>
  <c r="I91" i="5"/>
  <c r="I88" i="5"/>
  <c r="H14" i="40" l="1"/>
  <c r="I14" i="35"/>
  <c r="C16" i="38"/>
  <c r="P112" i="5"/>
  <c r="H13" i="40"/>
  <c r="I13" i="40" s="1"/>
  <c r="P106" i="5"/>
  <c r="C16" i="36" s="1"/>
  <c r="H97" i="5"/>
  <c r="M97" i="5" s="1"/>
  <c r="H96" i="5"/>
  <c r="M96" i="5" s="1"/>
  <c r="H95" i="5"/>
  <c r="M95" i="5" s="1"/>
  <c r="C17" i="38"/>
  <c r="I14" i="40"/>
  <c r="J89" i="5"/>
  <c r="J91" i="5"/>
  <c r="J90" i="5"/>
  <c r="J88" i="5"/>
  <c r="C19" i="5"/>
  <c r="C18" i="5"/>
  <c r="P103" i="5" s="1"/>
  <c r="K103" i="5"/>
  <c r="E103" i="5"/>
  <c r="H15" i="40" l="1"/>
  <c r="I15" i="40" s="1"/>
  <c r="I15" i="35"/>
  <c r="N95" i="5"/>
  <c r="N97" i="5"/>
  <c r="O97" i="5"/>
  <c r="N96" i="5"/>
  <c r="O96" i="5"/>
  <c r="O95" i="5"/>
  <c r="P96" i="5"/>
  <c r="Q96" i="5" s="1"/>
  <c r="L90" i="5"/>
  <c r="E17" i="4" s="1"/>
  <c r="K90" i="5"/>
  <c r="L91" i="5"/>
  <c r="F17" i="4" s="1"/>
  <c r="K91" i="5"/>
  <c r="F16" i="4" s="1"/>
  <c r="L88" i="5"/>
  <c r="C17" i="4" s="1"/>
  <c r="H10" i="35" s="1"/>
  <c r="K88" i="5"/>
  <c r="L89" i="5"/>
  <c r="D17" i="4" s="1"/>
  <c r="K89" i="5"/>
  <c r="B8" i="39"/>
  <c r="Z8" i="39" s="1"/>
  <c r="C16" i="37"/>
  <c r="E15" i="4"/>
  <c r="G5" i="40" s="1"/>
  <c r="C103" i="5"/>
  <c r="L103" i="5" s="1"/>
  <c r="M103" i="5" s="1"/>
  <c r="F16" i="32"/>
  <c r="G10" i="40" s="1"/>
  <c r="E16" i="32"/>
  <c r="G9" i="40" s="1"/>
  <c r="D16" i="32"/>
  <c r="G8" i="40" s="1"/>
  <c r="D15" i="4"/>
  <c r="G4" i="40" s="1"/>
  <c r="G100" i="5"/>
  <c r="E100" i="5"/>
  <c r="P95" i="5" l="1"/>
  <c r="Q95" i="5" s="1"/>
  <c r="C8" i="39"/>
  <c r="X8" i="39"/>
  <c r="Y8" i="39"/>
  <c r="H100" i="5"/>
  <c r="P97" i="5"/>
  <c r="M91" i="5"/>
  <c r="O91" i="5" s="1"/>
  <c r="M88" i="5"/>
  <c r="O88" i="5" s="1"/>
  <c r="C16" i="4"/>
  <c r="G10" i="35" s="1"/>
  <c r="M90" i="5"/>
  <c r="O90" i="5" s="1"/>
  <c r="E16" i="4"/>
  <c r="M89" i="5"/>
  <c r="O89" i="5" s="1"/>
  <c r="D16" i="4"/>
  <c r="E17" i="32"/>
  <c r="H9" i="40" s="1"/>
  <c r="I9" i="40" s="1"/>
  <c r="J15" i="40"/>
  <c r="K15" i="40" s="1"/>
  <c r="B10" i="39"/>
  <c r="Z10" i="39" s="1"/>
  <c r="L15" i="35"/>
  <c r="B9" i="39"/>
  <c r="Z9" i="39" s="1"/>
  <c r="J14" i="40"/>
  <c r="K14" i="40" s="1"/>
  <c r="L14" i="35"/>
  <c r="J13" i="40"/>
  <c r="K13" i="40" s="1"/>
  <c r="L13" i="35"/>
  <c r="C16" i="5"/>
  <c r="D17" i="32" l="1"/>
  <c r="H8" i="40" s="1"/>
  <c r="I8" i="40" s="1"/>
  <c r="F17" i="32"/>
  <c r="H10" i="40" s="1"/>
  <c r="I10" i="40" s="1"/>
  <c r="Q97" i="5"/>
  <c r="Y9" i="39"/>
  <c r="X9" i="39"/>
  <c r="Y10" i="39"/>
  <c r="X10" i="39"/>
  <c r="N103" i="5"/>
  <c r="C14" i="34" s="1"/>
  <c r="H8" i="35" s="1"/>
  <c r="C12" i="34"/>
  <c r="G12" i="40" s="1"/>
  <c r="C18" i="4"/>
  <c r="I10" i="35" s="1"/>
  <c r="C13" i="34"/>
  <c r="G8" i="35" s="1"/>
  <c r="L10" i="39"/>
  <c r="D10" i="39"/>
  <c r="H10" i="39"/>
  <c r="S10" i="39"/>
  <c r="I10" i="39"/>
  <c r="G10" i="39"/>
  <c r="C10" i="39"/>
  <c r="R10" i="39"/>
  <c r="T10" i="39"/>
  <c r="E10" i="39"/>
  <c r="C9" i="39"/>
  <c r="S9" i="39"/>
  <c r="G9" i="39"/>
  <c r="I9" i="39"/>
  <c r="R9" i="39"/>
  <c r="L9" i="39"/>
  <c r="E9" i="39"/>
  <c r="T9" i="39"/>
  <c r="D9" i="39"/>
  <c r="H9" i="39"/>
  <c r="E8" i="39"/>
  <c r="T8" i="39"/>
  <c r="H8" i="39"/>
  <c r="I8" i="39"/>
  <c r="L8" i="39"/>
  <c r="S8" i="39"/>
  <c r="R8" i="39"/>
  <c r="G8" i="39"/>
  <c r="D8" i="39"/>
  <c r="L100" i="5"/>
  <c r="M94" i="5"/>
  <c r="C13" i="5"/>
  <c r="C12" i="5"/>
  <c r="C10" i="5"/>
  <c r="C9" i="5"/>
  <c r="C8" i="5"/>
  <c r="C7" i="5"/>
  <c r="C6" i="5"/>
  <c r="I85" i="5"/>
  <c r="H85" i="5"/>
  <c r="G85" i="5"/>
  <c r="J85" i="5" s="1"/>
  <c r="N94" i="5" l="1"/>
  <c r="C17" i="32" s="1"/>
  <c r="G11" i="35" s="1"/>
  <c r="O94" i="5"/>
  <c r="C18" i="32" s="1"/>
  <c r="H11" i="35" s="1"/>
  <c r="C12" i="33"/>
  <c r="J100" i="5"/>
  <c r="C14" i="33" s="1"/>
  <c r="H12" i="35" s="1"/>
  <c r="I100" i="5"/>
  <c r="C13" i="33" s="1"/>
  <c r="G12" i="35" s="1"/>
  <c r="O103" i="5"/>
  <c r="C15" i="34" s="1"/>
  <c r="I8" i="35" s="1"/>
  <c r="J8" i="35"/>
  <c r="Q103" i="5" l="1"/>
  <c r="C16" i="34" s="1"/>
  <c r="P94" i="5"/>
  <c r="H12" i="40"/>
  <c r="I12" i="40" s="1"/>
  <c r="K100" i="5"/>
  <c r="C15" i="33" s="1"/>
  <c r="I12" i="35" s="1"/>
  <c r="E18" i="32"/>
  <c r="D18" i="32"/>
  <c r="F18" i="32"/>
  <c r="J12" i="35"/>
  <c r="G11" i="40"/>
  <c r="D19" i="4"/>
  <c r="E18" i="4"/>
  <c r="H5" i="40" s="1"/>
  <c r="I5" i="40" s="1"/>
  <c r="E19" i="4"/>
  <c r="F18" i="4"/>
  <c r="H6" i="40" s="1"/>
  <c r="F19" i="4"/>
  <c r="C15" i="4"/>
  <c r="G3" i="40" s="1"/>
  <c r="D18" i="4"/>
  <c r="H4" i="40" s="1"/>
  <c r="I4" i="40" s="1"/>
  <c r="C16" i="32"/>
  <c r="Q94" i="5" l="1"/>
  <c r="C19" i="32"/>
  <c r="I11" i="35" s="1"/>
  <c r="L8" i="35"/>
  <c r="B7" i="39"/>
  <c r="Z7" i="39" s="1"/>
  <c r="J12" i="40"/>
  <c r="K12" i="40" s="1"/>
  <c r="M100" i="5"/>
  <c r="C16" i="33" s="1"/>
  <c r="H11" i="40"/>
  <c r="I11" i="40" s="1"/>
  <c r="C20" i="32"/>
  <c r="B5" i="39" s="1"/>
  <c r="Z5" i="39" s="1"/>
  <c r="H7" i="40"/>
  <c r="J9" i="40"/>
  <c r="K9" i="40" s="1"/>
  <c r="J10" i="40"/>
  <c r="K10" i="40" s="1"/>
  <c r="J8" i="40"/>
  <c r="K8" i="40" s="1"/>
  <c r="J6" i="40"/>
  <c r="K6" i="40" s="1"/>
  <c r="J5" i="40"/>
  <c r="K5" i="40" s="1"/>
  <c r="J4" i="40"/>
  <c r="K4" i="40" s="1"/>
  <c r="J11" i="35"/>
  <c r="G7" i="40"/>
  <c r="C19" i="4"/>
  <c r="J3" i="40" s="1"/>
  <c r="K3" i="40" s="1"/>
  <c r="H3" i="40"/>
  <c r="I3" i="40" s="1"/>
  <c r="C7" i="39" l="1"/>
  <c r="T7" i="39"/>
  <c r="G7" i="39"/>
  <c r="R7" i="39"/>
  <c r="E7" i="39"/>
  <c r="X7" i="39"/>
  <c r="S7" i="39"/>
  <c r="Y7" i="39"/>
  <c r="L7" i="39"/>
  <c r="D7" i="39"/>
  <c r="I7" i="39"/>
  <c r="H7" i="39"/>
  <c r="B6" i="39"/>
  <c r="G6" i="39" s="1"/>
  <c r="J11" i="40"/>
  <c r="K11" i="40" s="1"/>
  <c r="L12" i="35"/>
  <c r="Y5" i="39"/>
  <c r="X5" i="39"/>
  <c r="L11" i="35"/>
  <c r="J7" i="40"/>
  <c r="K7" i="40" s="1"/>
  <c r="I7" i="40"/>
  <c r="L10" i="35"/>
  <c r="N85" i="5"/>
  <c r="I6" i="39" l="1"/>
  <c r="T6" i="39"/>
  <c r="E6" i="39"/>
  <c r="H6" i="39"/>
  <c r="R6" i="39"/>
  <c r="L6" i="39"/>
  <c r="S6" i="39"/>
  <c r="C6" i="39"/>
  <c r="Z6" i="39"/>
  <c r="D6" i="39"/>
  <c r="X6" i="39"/>
  <c r="Y6" i="39"/>
  <c r="E5" i="39"/>
  <c r="T5" i="39"/>
  <c r="R5" i="39"/>
  <c r="S5" i="39"/>
  <c r="G5" i="39"/>
  <c r="P5" i="39"/>
  <c r="K5" i="39"/>
  <c r="C5" i="39"/>
  <c r="H5" i="39"/>
  <c r="U5" i="39"/>
  <c r="D5" i="39"/>
  <c r="I5" i="39"/>
  <c r="F15" i="4"/>
  <c r="G6" i="40" s="1"/>
  <c r="I6" i="40" l="1"/>
  <c r="J10" i="35"/>
  <c r="K85" i="5" l="1"/>
  <c r="C15" i="31" l="1"/>
  <c r="G9" i="35" s="1"/>
  <c r="L85" i="5"/>
  <c r="C16" i="31" s="1"/>
  <c r="H9" i="35" s="1"/>
  <c r="C14" i="31"/>
  <c r="J9" i="35" s="1"/>
  <c r="J16" i="35" s="1"/>
  <c r="G16" i="35" l="1"/>
  <c r="H16" i="35"/>
  <c r="M85" i="5"/>
  <c r="G2" i="40"/>
  <c r="A33" i="41" s="1" a="1"/>
  <c r="A33" i="41" s="1"/>
  <c r="C17" i="31" l="1"/>
  <c r="O85" i="5"/>
  <c r="C18" i="31" s="1"/>
  <c r="A31" i="41" a="1"/>
  <c r="A31" i="41" s="1"/>
  <c r="K31" i="41" s="1" a="1"/>
  <c r="K31" i="41" s="1"/>
  <c r="A28" i="41" a="1"/>
  <c r="A28" i="41" s="1"/>
  <c r="J28" i="41" s="1" a="1"/>
  <c r="J28" i="41" s="1"/>
  <c r="A34" i="41" a="1"/>
  <c r="A34" i="41" s="1"/>
  <c r="F34" i="41" s="1" a="1"/>
  <c r="F34" i="41" s="1"/>
  <c r="A29" i="41" a="1"/>
  <c r="A29" i="41" s="1"/>
  <c r="D29" i="41" s="1" a="1"/>
  <c r="D29" i="41" s="1"/>
  <c r="A40" i="41" a="1"/>
  <c r="A40" i="41" s="1"/>
  <c r="K40" i="41" s="1" a="1"/>
  <c r="K40" i="41" s="1"/>
  <c r="A35" i="41" a="1"/>
  <c r="A35" i="41" s="1"/>
  <c r="G35" i="41" s="1" a="1"/>
  <c r="G35" i="41" s="1"/>
  <c r="A30" i="41" a="1"/>
  <c r="A30" i="41" s="1"/>
  <c r="J30" i="41" s="1" a="1"/>
  <c r="J30" i="41" s="1"/>
  <c r="A41" i="41" a="1"/>
  <c r="A41" i="41" s="1"/>
  <c r="L41" i="41" s="1" a="1"/>
  <c r="L41" i="41" s="1"/>
  <c r="A27" i="41" a="1"/>
  <c r="A27" i="41" s="1"/>
  <c r="F27" i="41" s="1" a="1"/>
  <c r="F27" i="41" s="1"/>
  <c r="A37" i="41" a="1"/>
  <c r="A37" i="41" s="1"/>
  <c r="H37" i="41" s="1" a="1"/>
  <c r="H37" i="41" s="1"/>
  <c r="A38" i="41" a="1"/>
  <c r="A38" i="41" s="1"/>
  <c r="D38" i="41" s="1" a="1"/>
  <c r="D38" i="41" s="1"/>
  <c r="A32" i="41" a="1"/>
  <c r="A32" i="41" s="1"/>
  <c r="G32" i="41" s="1" a="1"/>
  <c r="G32" i="41" s="1"/>
  <c r="A36" i="41" a="1"/>
  <c r="A36" i="41" s="1"/>
  <c r="D36" i="41" s="1" a="1"/>
  <c r="D36" i="41" s="1"/>
  <c r="A39" i="41" a="1"/>
  <c r="A39" i="41" s="1"/>
  <c r="L39" i="41" s="1" a="1"/>
  <c r="L39" i="41" s="1"/>
  <c r="K33" i="41" a="1"/>
  <c r="K33" i="41" s="1"/>
  <c r="G33" i="41" a="1"/>
  <c r="G33" i="41" s="1"/>
  <c r="H33" i="41" a="1"/>
  <c r="H33" i="41" s="1"/>
  <c r="F33" i="41" a="1"/>
  <c r="F33" i="41" s="1"/>
  <c r="L33" i="41" a="1"/>
  <c r="L33" i="41" s="1"/>
  <c r="J33" i="41" a="1"/>
  <c r="J33" i="41" s="1"/>
  <c r="D33" i="41" a="1"/>
  <c r="D33" i="41" s="1"/>
  <c r="E33" i="41" a="1"/>
  <c r="E33" i="41" s="1"/>
  <c r="I33" i="41" a="1"/>
  <c r="I33" i="41" s="1"/>
  <c r="I9" i="35" l="1"/>
  <c r="I16" i="35" s="1"/>
  <c r="H2" i="40"/>
  <c r="I2" i="40" s="1"/>
  <c r="J27" i="41" s="1" a="1"/>
  <c r="J27" i="41" s="1"/>
  <c r="J2" i="40"/>
  <c r="K2" i="40" s="1"/>
  <c r="L27" i="41" s="1" a="1"/>
  <c r="L27" i="41" s="1"/>
  <c r="L9" i="35"/>
  <c r="K16" i="35" s="1"/>
  <c r="K28" i="41" a="1"/>
  <c r="K28" i="41" s="1"/>
  <c r="H40" i="41" a="1"/>
  <c r="H40" i="41" s="1"/>
  <c r="H28" i="41" a="1"/>
  <c r="H28" i="41" s="1"/>
  <c r="I40" i="41" a="1"/>
  <c r="I40" i="41" s="1"/>
  <c r="D30" i="41" a="1"/>
  <c r="D30" i="41" s="1"/>
  <c r="I30" i="41" a="1"/>
  <c r="I30" i="41" s="1"/>
  <c r="H30" i="41" a="1"/>
  <c r="H30" i="41" s="1"/>
  <c r="G30" i="41" a="1"/>
  <c r="G30" i="41" s="1"/>
  <c r="K29" i="41" a="1"/>
  <c r="K29" i="41" s="1"/>
  <c r="L29" i="41" a="1"/>
  <c r="L29" i="41" s="1"/>
  <c r="E29" i="41" a="1"/>
  <c r="E29" i="41" s="1"/>
  <c r="F29" i="41" a="1"/>
  <c r="F29" i="41" s="1"/>
  <c r="G28" i="41" a="1"/>
  <c r="G28" i="41" s="1"/>
  <c r="E34" i="41" a="1"/>
  <c r="E34" i="41" s="1"/>
  <c r="J34" i="41" a="1"/>
  <c r="J34" i="41" s="1"/>
  <c r="I34" i="41" a="1"/>
  <c r="I34" i="41" s="1"/>
  <c r="K34" i="41" a="1"/>
  <c r="K34" i="41" s="1"/>
  <c r="E35" i="41" a="1"/>
  <c r="E35" i="41" s="1"/>
  <c r="J35" i="41" a="1"/>
  <c r="J35" i="41" s="1"/>
  <c r="L35" i="41" a="1"/>
  <c r="L35" i="41" s="1"/>
  <c r="H29" i="41" a="1"/>
  <c r="H29" i="41" s="1"/>
  <c r="I29" i="41" a="1"/>
  <c r="I29" i="41" s="1"/>
  <c r="J29" i="41" a="1"/>
  <c r="J29" i="41" s="1"/>
  <c r="J41" i="41" a="1"/>
  <c r="J41" i="41" s="1"/>
  <c r="E31" i="41" a="1"/>
  <c r="E31" i="41" s="1"/>
  <c r="I31" i="41" a="1"/>
  <c r="I31" i="41" s="1"/>
  <c r="F31" i="41" a="1"/>
  <c r="F31" i="41" s="1"/>
  <c r="G41" i="41" a="1"/>
  <c r="G41" i="41" s="1"/>
  <c r="H31" i="41" a="1"/>
  <c r="H31" i="41" s="1"/>
  <c r="I41" i="41" a="1"/>
  <c r="I41" i="41" s="1"/>
  <c r="L31" i="41" a="1"/>
  <c r="L31" i="41" s="1"/>
  <c r="H41" i="41" a="1"/>
  <c r="H41" i="41" s="1"/>
  <c r="F28" i="41" a="1"/>
  <c r="F28" i="41" s="1"/>
  <c r="L34" i="41" a="1"/>
  <c r="L34" i="41" s="1"/>
  <c r="J31" i="41" a="1"/>
  <c r="J31" i="41" s="1"/>
  <c r="K41" i="41" a="1"/>
  <c r="K41" i="41" s="1"/>
  <c r="L28" i="41" a="1"/>
  <c r="L28" i="41" s="1"/>
  <c r="G29" i="41" a="1"/>
  <c r="G29" i="41" s="1"/>
  <c r="I28" i="41" a="1"/>
  <c r="I28" i="41" s="1"/>
  <c r="E41" i="41" a="1"/>
  <c r="E41" i="41" s="1"/>
  <c r="F35" i="41" a="1"/>
  <c r="F35" i="41" s="1"/>
  <c r="G37" i="41" a="1"/>
  <c r="G37" i="41" s="1"/>
  <c r="D34" i="41" a="1"/>
  <c r="D34" i="41" s="1"/>
  <c r="F40" i="41" a="1"/>
  <c r="F40" i="41" s="1"/>
  <c r="D31" i="41" a="1"/>
  <c r="D31" i="41" s="1"/>
  <c r="J40" i="41" a="1"/>
  <c r="J40" i="41" s="1"/>
  <c r="G31" i="41" a="1"/>
  <c r="G31" i="41" s="1"/>
  <c r="L40" i="41" a="1"/>
  <c r="L40" i="41" s="1"/>
  <c r="G34" i="41" a="1"/>
  <c r="G34" i="41" s="1"/>
  <c r="D40" i="41" a="1"/>
  <c r="D40" i="41" s="1"/>
  <c r="H34" i="41" a="1"/>
  <c r="H34" i="41" s="1"/>
  <c r="E28" i="41" a="1"/>
  <c r="E28" i="41" s="1"/>
  <c r="K30" i="41" a="1"/>
  <c r="K30" i="41" s="1"/>
  <c r="D27" i="41" a="1"/>
  <c r="D27" i="41" s="1"/>
  <c r="G40" i="41" a="1"/>
  <c r="G40" i="41" s="1"/>
  <c r="F30" i="41" a="1"/>
  <c r="F30" i="41" s="1"/>
  <c r="D28" i="41" a="1"/>
  <c r="D28" i="41" s="1"/>
  <c r="E30" i="41" a="1"/>
  <c r="E30" i="41" s="1"/>
  <c r="E40" i="41" a="1"/>
  <c r="E40" i="41" s="1"/>
  <c r="K35" i="41" a="1"/>
  <c r="K35" i="41" s="1"/>
  <c r="E37" i="41" a="1"/>
  <c r="E37" i="41" s="1"/>
  <c r="F41" i="41" a="1"/>
  <c r="F41" i="41" s="1"/>
  <c r="E27" i="41" a="1"/>
  <c r="E27" i="41" s="1"/>
  <c r="D35" i="41" a="1"/>
  <c r="D35" i="41" s="1"/>
  <c r="J37" i="41" a="1"/>
  <c r="J37" i="41" s="1"/>
  <c r="D41" i="41" a="1"/>
  <c r="D41" i="41" s="1"/>
  <c r="I35" i="41" a="1"/>
  <c r="I35" i="41" s="1"/>
  <c r="K37" i="41" a="1"/>
  <c r="K37" i="41" s="1"/>
  <c r="H35" i="41" a="1"/>
  <c r="H35" i="41" s="1"/>
  <c r="G27" i="41" a="1"/>
  <c r="G27" i="41" s="1"/>
  <c r="L30" i="41" a="1"/>
  <c r="L30" i="41" s="1"/>
  <c r="D39" i="41" a="1"/>
  <c r="D39" i="41" s="1"/>
  <c r="I27" i="41" a="1"/>
  <c r="I27" i="41" s="1"/>
  <c r="H27" i="41" a="1"/>
  <c r="H27" i="41" s="1"/>
  <c r="I37" i="41" a="1"/>
  <c r="I37" i="41" s="1"/>
  <c r="L37" i="41" a="1"/>
  <c r="L37" i="41" s="1"/>
  <c r="D37" i="41" a="1"/>
  <c r="D37" i="41" s="1"/>
  <c r="F37" i="41" a="1"/>
  <c r="F37" i="41" s="1"/>
  <c r="I32" i="41" a="1"/>
  <c r="I32" i="41" s="1"/>
  <c r="E32" i="41" a="1"/>
  <c r="E32" i="41" s="1"/>
  <c r="L32" i="41" a="1"/>
  <c r="L32" i="41" s="1"/>
  <c r="H32" i="41" a="1"/>
  <c r="H32" i="41" s="1"/>
  <c r="J32" i="41" a="1"/>
  <c r="J32" i="41" s="1"/>
  <c r="K32" i="41" a="1"/>
  <c r="K32" i="41" s="1"/>
  <c r="D32" i="41" a="1"/>
  <c r="D32" i="41" s="1"/>
  <c r="F32" i="41" a="1"/>
  <c r="F32" i="41" s="1"/>
  <c r="I36" i="41" a="1"/>
  <c r="I36" i="41" s="1"/>
  <c r="F36" i="41" a="1"/>
  <c r="F36" i="41" s="1"/>
  <c r="E36" i="41" a="1"/>
  <c r="E36" i="41" s="1"/>
  <c r="L36" i="41" a="1"/>
  <c r="L36" i="41" s="1"/>
  <c r="J36" i="41" a="1"/>
  <c r="J36" i="41" s="1"/>
  <c r="G36" i="41" a="1"/>
  <c r="G36" i="41" s="1"/>
  <c r="K36" i="41" a="1"/>
  <c r="K36" i="41" s="1"/>
  <c r="H36" i="41" a="1"/>
  <c r="H36" i="41" s="1"/>
  <c r="K38" i="41" a="1"/>
  <c r="K38" i="41" s="1"/>
  <c r="I38" i="41" a="1"/>
  <c r="I38" i="41" s="1"/>
  <c r="G38" i="41" a="1"/>
  <c r="G38" i="41" s="1"/>
  <c r="E38" i="41" a="1"/>
  <c r="E38" i="41" s="1"/>
  <c r="L38" i="41" a="1"/>
  <c r="L38" i="41" s="1"/>
  <c r="H38" i="41" a="1"/>
  <c r="H38" i="41" s="1"/>
  <c r="K39" i="41" a="1"/>
  <c r="K39" i="41" s="1"/>
  <c r="F38" i="41" a="1"/>
  <c r="F38" i="41" s="1"/>
  <c r="J38" i="41" a="1"/>
  <c r="J38" i="41" s="1"/>
  <c r="E39" i="41" a="1"/>
  <c r="E39" i="41" s="1"/>
  <c r="J39" i="41" a="1"/>
  <c r="J39" i="41" s="1"/>
  <c r="F39" i="41" a="1"/>
  <c r="F39" i="41" s="1"/>
  <c r="G39" i="41" a="1"/>
  <c r="G39" i="41" s="1"/>
  <c r="H39" i="41" a="1"/>
  <c r="H39" i="41" s="1"/>
  <c r="I39" i="41" a="1"/>
  <c r="I39" i="41" s="1"/>
  <c r="K27" i="41" l="1" a="1"/>
  <c r="K27" i="41" s="1"/>
  <c r="E12" i="41" s="1"/>
  <c r="D17" i="41" s="1"/>
  <c r="L16" i="35"/>
  <c r="K10" i="35" s="1"/>
  <c r="E11" i="41"/>
  <c r="E21" i="41" s="1"/>
  <c r="E17" i="41" s="1"/>
  <c r="E10" i="41"/>
  <c r="I12" i="41" s="1"/>
  <c r="K9" i="35" l="1"/>
  <c r="C19" i="31" s="1"/>
  <c r="B3" i="39" s="1"/>
  <c r="Z3" i="39" s="1"/>
  <c r="K11" i="35"/>
  <c r="K15" i="35"/>
  <c r="K12" i="35"/>
  <c r="K8" i="35"/>
  <c r="C17" i="34" s="1"/>
  <c r="D20" i="4"/>
  <c r="E20" i="4"/>
  <c r="F20" i="4"/>
  <c r="C20" i="4"/>
  <c r="B4" i="39" s="1"/>
  <c r="Z4" i="39" s="1"/>
  <c r="K13" i="35"/>
  <c r="K14" i="35"/>
  <c r="I21" i="41"/>
  <c r="I18" i="41"/>
  <c r="I15" i="41"/>
  <c r="I9" i="41"/>
  <c r="E13" i="41"/>
  <c r="E14" i="41" s="1"/>
  <c r="D21" i="41" s="1"/>
  <c r="R4" i="39" l="1"/>
  <c r="X4" i="39"/>
  <c r="Y4" i="39"/>
  <c r="Y3" i="39"/>
  <c r="X3" i="39"/>
  <c r="T4" i="39"/>
  <c r="J4" i="39"/>
  <c r="D4" i="39"/>
  <c r="K4" i="39"/>
  <c r="S4" i="39"/>
  <c r="G4" i="39"/>
  <c r="E4" i="39"/>
  <c r="I4" i="39"/>
  <c r="C4" i="39"/>
  <c r="H4" i="39"/>
  <c r="C3" i="39"/>
  <c r="H3" i="39"/>
  <c r="E3" i="39"/>
  <c r="G3" i="39"/>
  <c r="R3" i="39"/>
  <c r="I3" i="39"/>
  <c r="L3" i="39"/>
  <c r="D3" i="39"/>
  <c r="T3" i="39"/>
  <c r="S3"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tc={740D7872-79E9-40BC-A5D0-C895D7F7E7E4}</author>
    <author>tc={36C36218-A122-4FDD-97D1-DF4D841A9C88}</author>
    <author>Jeannie Sikora</author>
    <author>tc={6AB8BD48-9E43-41EA-A515-C5AE998CFDFF}</author>
    <author>tc={A070335A-B1EB-4160-A3D2-A4BFD7A446AD}</author>
    <author>tc={E9867722-F9F8-4B53-B3BB-D8D1AAFF84C1}</author>
  </authors>
  <commentList>
    <comment ref="E68" authorId="0" shapeId="0" xr:uid="{740D7872-79E9-40BC-A5D0-C895D7F7E7E4}">
      <text>
        <t>[Threaded comment]
Your version of Excel allows you to read this threaded comment; however, any edits to it will get removed if the file is opened in a newer version of Excel. Learn more: https://go.microsoft.com/fwlink/?linkid=870924
Comment:
    Note that CF values are the same for both Winter and Summer for three of the shifts. This error appeared in Table 3-201 of the PA 2026 TRM issue. Will need updated values for proper savings estimate.</t>
      </text>
    </comment>
    <comment ref="F102" authorId="1" shapeId="0" xr:uid="{36C36218-A122-4FDD-97D1-DF4D841A9C88}">
      <text>
        <t>[Threaded comment]
Your version of Excel allows you to read this threaded comment; however, any edits to it will get removed if the file is opened in a newer version of Excel. Learn more: https://go.microsoft.com/fwlink/?linkid=870924
Comment:
    Note: there is a mistake in the TRM, it does not use Winter CF. Update at later date per TC 4/16/26.</t>
      </text>
    </comment>
    <comment ref="N102" authorId="2" shapeId="0" xr:uid="{CC7CE06D-FC61-4CE3-A559-18C9E52A41E7}">
      <text>
        <r>
          <rPr>
            <b/>
            <sz val="9"/>
            <color indexed="81"/>
            <rFont val="Tahoma"/>
            <family val="2"/>
          </rPr>
          <t>Jeannie Sikora:</t>
        </r>
        <r>
          <rPr>
            <sz val="9"/>
            <color indexed="81"/>
            <rFont val="Tahoma"/>
            <family val="2"/>
          </rPr>
          <t xml:space="preserve">
UPDATE algorithm after TRM issue is resolved.</t>
        </r>
      </text>
    </comment>
    <comment ref="F105" authorId="3" shapeId="0" xr:uid="{6AB8BD48-9E43-41EA-A515-C5AE998CFDFF}">
      <text>
        <t>[Threaded comment]
Your version of Excel allows you to read this threaded comment; however, any edits to it will get removed if the file is opened in a newer version of Excel. Learn more: https://go.microsoft.com/fwlink/?linkid=870924
Comment:
    Note: there is a mistake in the TRM, it does not use Winter CF. Update at later date per TC 4/16/26.</t>
      </text>
    </comment>
    <comment ref="M105" authorId="2" shapeId="0" xr:uid="{0A97F1CB-C74C-42D8-B9D4-08D6B086FD1E}">
      <text>
        <r>
          <rPr>
            <b/>
            <sz val="9"/>
            <color indexed="81"/>
            <rFont val="Tahoma"/>
            <family val="2"/>
          </rPr>
          <t>Jeannie Sikora:</t>
        </r>
        <r>
          <rPr>
            <sz val="9"/>
            <color indexed="81"/>
            <rFont val="Tahoma"/>
            <family val="2"/>
          </rPr>
          <t xml:space="preserve">
UPDATE algorithm after TRM issue is resolved.</t>
        </r>
      </text>
    </comment>
    <comment ref="F108" authorId="4" shapeId="0" xr:uid="{A070335A-B1EB-4160-A3D2-A4BFD7A446AD}">
      <text>
        <t>[Threaded comment]
Your version of Excel allows you to read this threaded comment; however, any edits to it will get removed if the file is opened in a newer version of Excel. Learn more: https://go.microsoft.com/fwlink/?linkid=870924
Comment:
    TRM mistake excludes Winter CF. Update when resolved.</t>
      </text>
    </comment>
    <comment ref="N108" authorId="2" shapeId="0" xr:uid="{56AAC6CE-736A-469D-BE33-386F6A93DE0D}">
      <text>
        <r>
          <rPr>
            <b/>
            <sz val="9"/>
            <color indexed="81"/>
            <rFont val="Tahoma"/>
            <family val="2"/>
          </rPr>
          <t>Jeannie Sikora:</t>
        </r>
        <r>
          <rPr>
            <sz val="9"/>
            <color indexed="81"/>
            <rFont val="Tahoma"/>
            <family val="2"/>
          </rPr>
          <t xml:space="preserve">
UPDATE algorithm after TRM issue is resolved.</t>
        </r>
      </text>
    </comment>
    <comment ref="F111" authorId="5" shapeId="0" xr:uid="{E9867722-F9F8-4B53-B3BB-D8D1AAFF84C1}">
      <text>
        <t>[Threaded comment]
Your version of Excel allows you to read this threaded comment; however, any edits to it will get removed if the file is opened in a newer version of Excel. Learn more: https://go.microsoft.com/fwlink/?linkid=870924
Comment:
    No winter CF leads to reduced kW</t>
      </text>
    </comment>
    <comment ref="M111" authorId="2" shapeId="0" xr:uid="{0951FEEC-11FB-43EC-82C2-48AD62FFF6F8}">
      <text>
        <r>
          <rPr>
            <b/>
            <sz val="9"/>
            <color indexed="81"/>
            <rFont val="Tahoma"/>
            <family val="2"/>
          </rPr>
          <t>Jeannie Sikora:</t>
        </r>
        <r>
          <rPr>
            <sz val="9"/>
            <color indexed="81"/>
            <rFont val="Tahoma"/>
            <family val="2"/>
          </rPr>
          <t xml:space="preserve">
UPDATE algorithm after TRM issue is resolved.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<sst xmlns="http://schemas.openxmlformats.org/spreadsheetml/2006/main" count="725" uniqueCount="460">
  <si>
    <t>The workbook is currenlty configured for:</t>
  </si>
  <si>
    <t>PPL</t>
  </si>
  <si>
    <t>Electric</t>
  </si>
  <si>
    <t>Incentive Manager</t>
  </si>
  <si>
    <t>Workbook Headers (Named Range 'Logo')</t>
  </si>
  <si>
    <t>Report Logos (Named Range 'Report Logo')</t>
  </si>
  <si>
    <t>Utility</t>
  </si>
  <si>
    <t>$/kWh</t>
  </si>
  <si>
    <t>$/kW</t>
  </si>
  <si>
    <t>CR_Utility_Alt</t>
  </si>
  <si>
    <t>PPL Logo</t>
  </si>
  <si>
    <t>PPL Electric</t>
  </si>
  <si>
    <t>PECO</t>
  </si>
  <si>
    <t>First Energy</t>
  </si>
  <si>
    <t>First Energy Pennsylvania</t>
  </si>
  <si>
    <t>PECO Logo</t>
  </si>
  <si>
    <t>First Energy Logo</t>
  </si>
  <si>
    <t>PPL Electric Estimator for Compressed Air</t>
  </si>
  <si>
    <t>This Estimator is used for estimating savings and does not guarantee the estimated incentive. The methodology presented in this Estimator is deemed acceptable for the PPL Electric Business Energy Efficiency Program. However, the assumptions used by the applicant to estimate the annual savings will be reviewed by the Program Team, which is solely responsible for the final determination of the annual energy savings to be used in estimating the incentive amount. The Program also reserves the right to require the applicant to conduct specific measurement and verification activities, including monitoring both before and after the retrofit, and to base the incentive payment on the results of these activities. For any questions, or assistance using this Estimator, please call 1-866-432-5501 or email us at pplbusiness@clearesult.com.</t>
  </si>
  <si>
    <t>Input Instructions</t>
  </si>
  <si>
    <t>Yellow cells indicate that user input is required. Cells with a * are required.</t>
  </si>
  <si>
    <t xml:space="preserve">Grey cells are calculated values. </t>
  </si>
  <si>
    <t>Worksheet Summary</t>
  </si>
  <si>
    <t>Methodology</t>
  </si>
  <si>
    <t>Summary of Methodology Worksheet</t>
  </si>
  <si>
    <t>Estimator</t>
  </si>
  <si>
    <t>Summary of required inputs and outputs of the estimator</t>
  </si>
  <si>
    <t>Calculations</t>
  </si>
  <si>
    <t>Summary of Calculations Worksheet</t>
  </si>
  <si>
    <t>Version Log</t>
  </si>
  <si>
    <t>The Version Log Worksheet tracks updates and changes made to the workbook.</t>
  </si>
  <si>
    <t>Glossary of Inputs</t>
  </si>
  <si>
    <t>Cycling Dryer - HP of Compressors</t>
  </si>
  <si>
    <t>Nominal HP rating of the air compressor</t>
  </si>
  <si>
    <t>Cycling Dryer - Quantity of Dryers Installed</t>
  </si>
  <si>
    <t>Total number of qualifying dryers installed</t>
  </si>
  <si>
    <t>Cycling Dryer - Rated Capacity</t>
  </si>
  <si>
    <t>Rated capacity of installed dryer</t>
  </si>
  <si>
    <t xml:space="preserve">Air Nozzle - Compressor Control type </t>
  </si>
  <si>
    <t>Control type of compressor</t>
  </si>
  <si>
    <t xml:space="preserve">Air Nozzle - Nozzle Diameter </t>
  </si>
  <si>
    <t>Diameter or nozzle in inches</t>
  </si>
  <si>
    <t>Air Nozzle - Number of Nozzles Installed</t>
  </si>
  <si>
    <t>Quantity of nozzles installed</t>
  </si>
  <si>
    <t xml:space="preserve">Condensate Drain -  Drain Orifice Size </t>
  </si>
  <si>
    <t>Size of the drain orifice in inches</t>
  </si>
  <si>
    <t xml:space="preserve">Condensate Drain -  Compressor Control Type  </t>
  </si>
  <si>
    <t xml:space="preserve">Condensate Drain - System Pressure </t>
  </si>
  <si>
    <t>System operating pressure in PSIG</t>
  </si>
  <si>
    <t xml:space="preserve">Condensate Drain - Number or Drains installed </t>
  </si>
  <si>
    <t>Quantity of condensate drains installed</t>
  </si>
  <si>
    <t>Air Tanks - Rated Compressor HP</t>
  </si>
  <si>
    <t>Nameplate horsepower of compressor</t>
  </si>
  <si>
    <t xml:space="preserve">Air Tanks - Number of Tanks </t>
  </si>
  <si>
    <t>Quantity of air tanks installed</t>
  </si>
  <si>
    <t>VFD Compressors - New Compressor HP</t>
  </si>
  <si>
    <t>Horsepower of the New Compressor</t>
  </si>
  <si>
    <t>Compressor Controller - Total Compressor Horsepower</t>
  </si>
  <si>
    <t>Total horsepower of compressor</t>
  </si>
  <si>
    <t>Low Pressure Drop Filters - Total Compressor Horsepower</t>
  </si>
  <si>
    <t>Mist Eliminators - Total Compressor Horsepower</t>
  </si>
  <si>
    <t>Operating Schedule</t>
  </si>
  <si>
    <t xml:space="preserve">Operation schedule of the facility </t>
  </si>
  <si>
    <t xml:space="preserve">Total Equipment Cost </t>
  </si>
  <si>
    <t xml:space="preserve">Total Equipment Cost of Installed Measure </t>
  </si>
  <si>
    <t>Manufacturer</t>
  </si>
  <si>
    <t>Manufacturer of Installed Equipment</t>
  </si>
  <si>
    <t>Model #</t>
  </si>
  <si>
    <t>Model # of Installed Equipment</t>
  </si>
  <si>
    <t>Glossary of Outputs</t>
  </si>
  <si>
    <t>kW</t>
  </si>
  <si>
    <t xml:space="preserve">Peak Demand Reduction </t>
  </si>
  <si>
    <t>kWh</t>
  </si>
  <si>
    <t>Annual Energy Reduction</t>
  </si>
  <si>
    <t>$/year</t>
  </si>
  <si>
    <t xml:space="preserve">Incentive </t>
  </si>
  <si>
    <t xml:space="preserve">One time payment of Eligible Incentive </t>
  </si>
  <si>
    <t>DSMT APIs</t>
  </si>
  <si>
    <t>Measure_Type__c</t>
  </si>
  <si>
    <t>Measure_Code__c</t>
  </si>
  <si>
    <t>Quantity__c</t>
  </si>
  <si>
    <t>Incentive_Unit__c</t>
  </si>
  <si>
    <t>Incentive_Amount_Custom__c</t>
  </si>
  <si>
    <t>Total_Incentive__c</t>
  </si>
  <si>
    <t>Make__c</t>
  </si>
  <si>
    <t>Model__c</t>
  </si>
  <si>
    <t>Nozzle_Diameter__c</t>
  </si>
  <si>
    <t>Compressor_Control_Type__c</t>
  </si>
  <si>
    <t>Baseline_Motor_Horsepower_hp__c</t>
  </si>
  <si>
    <t>Motor_Type__c</t>
  </si>
  <si>
    <t>Baseline_Motor_Efficiency__c</t>
  </si>
  <si>
    <t>Baseline_Motor_Run_Hours_hours_year__c</t>
  </si>
  <si>
    <t>Orifice_Diameter_in__c</t>
  </si>
  <si>
    <t>HVAC_Fan_Pump_Control_Type__c</t>
  </si>
  <si>
    <t>Average_Demand_Savings_kW__c</t>
  </si>
  <si>
    <t>Annual_Electric_Energy_Savings_kwh__c</t>
  </si>
  <si>
    <t>Operating_Schedule__c</t>
  </si>
  <si>
    <t>Pressure_psig__c</t>
  </si>
  <si>
    <t>Type__c</t>
  </si>
  <si>
    <t>Pump_Type__c</t>
  </si>
  <si>
    <t>Summer_Coincident_Peak_Demand_Savings_kW__c</t>
  </si>
  <si>
    <t>WC_Peak_Demand_Savings_kW__c</t>
  </si>
  <si>
    <t>Date_Installed__c</t>
  </si>
  <si>
    <t>Measure Type</t>
  </si>
  <si>
    <t>Measure Code</t>
  </si>
  <si>
    <t>Quantity</t>
  </si>
  <si>
    <t xml:space="preserve">Per Unit Incentive </t>
  </si>
  <si>
    <t>Non PPL Incentive Amount Received</t>
  </si>
  <si>
    <t>Total PPL Incentive</t>
  </si>
  <si>
    <t>Nozzle Size</t>
  </si>
  <si>
    <t>Compressor Control Type</t>
  </si>
  <si>
    <t>Motor Rated Horsepower (HP)</t>
  </si>
  <si>
    <t>Motor Type</t>
  </si>
  <si>
    <t>ηmotor</t>
  </si>
  <si>
    <t>Annual Run Hours of Motor (RHRS)</t>
  </si>
  <si>
    <t xml:space="preserve"> PSIG - Orifice Diameter</t>
  </si>
  <si>
    <t>HVAC Fan/Pump Control Type</t>
  </si>
  <si>
    <t>Average Demand Savings (kW)</t>
  </si>
  <si>
    <t>Total kWh savings</t>
  </si>
  <si>
    <t>Facility schedule</t>
  </si>
  <si>
    <t>Pressure</t>
  </si>
  <si>
    <t>Space Type</t>
  </si>
  <si>
    <t>Pump Type</t>
  </si>
  <si>
    <t>SC Peak Demand Savings (kW)</t>
  </si>
  <si>
    <t>WC Peak Demand Savings (kW)</t>
  </si>
  <si>
    <t>Date Installed</t>
  </si>
  <si>
    <t>Cycling Refrigerated Thermal Mass Dryer</t>
  </si>
  <si>
    <t>Air-Entraining Air Nozzle</t>
  </si>
  <si>
    <t>No-Loss Condensate Drains</t>
  </si>
  <si>
    <t>Air Tanks for Load/No Load Compressors</t>
  </si>
  <si>
    <t>Variable Speed Drive Air Compressor</t>
  </si>
  <si>
    <t>Compressed Air Controller</t>
  </si>
  <si>
    <t>Compressed Air Low Pressure Drop Filters</t>
  </si>
  <si>
    <t>Compressed Air Mist Eliminators</t>
  </si>
  <si>
    <t>Primary Developer:</t>
  </si>
  <si>
    <t xml:space="preserve">Muhanned Altimemy,  Erica Heuthorst </t>
  </si>
  <si>
    <t>QA/QC Engineer(s):</t>
  </si>
  <si>
    <t>Jeannie Sikora, Engineering</t>
  </si>
  <si>
    <t>Senior Engineer Approval:</t>
  </si>
  <si>
    <t>Tom Cosgro, Engineering</t>
  </si>
  <si>
    <t>Current Version:</t>
  </si>
  <si>
    <t>Date Updated:</t>
  </si>
  <si>
    <t>Version</t>
  </si>
  <si>
    <t>Date</t>
  </si>
  <si>
    <t>Reason for Change</t>
  </si>
  <si>
    <t>Change Description</t>
  </si>
  <si>
    <t>Contact, Department</t>
  </si>
  <si>
    <t>New calculator</t>
  </si>
  <si>
    <t>Updated for Phase V PA TRM (Published Sept 2024) to serve PY 18 - PY 22 (June 1 2026 - May 31 2031).</t>
  </si>
  <si>
    <t>East Engineering</t>
  </si>
  <si>
    <t>added winter and summer kW savings to summary tab</t>
  </si>
  <si>
    <t>Directions on updating this tool:</t>
  </si>
  <si>
    <t>These tools - Downstream and Direct Discount compressed air - were recently combined to help with version control and to create a QC lighting tool that would work with both calculators.
If you are updating this tool, please follow the directions below:
- Start by finding the most recent version of the Direct Discount calculator on Teams
- Make the necessary updates to the Direct Discount tool first
- Once updates are complete, update the Version Log with a new version number and description
- Lock all tabs and workbook with PPLC@LC$ password and Save new Direct Discount version to Teams
- Then, to update the Downstream calculator, take the new version of the Direct Discount calculator and hide the Printable Report
- Change incentive rate on 'Calculations' tab to "Downstream" to update incentive rates and project cost caps
- Lock all tabs and workbook with PPLC@LC$ password and Save new Downstream version to Teams
- Email Marketing with copies of new calculators to be uploaded to the website
Reach out to East Engineering tools team (Nick Momenee) with questions.</t>
  </si>
  <si>
    <t>Calculator Methodologies - From 2026 PA TRM (Published September 2024)</t>
  </si>
  <si>
    <t>Variable Speed Drive Compressor (&lt;=40 HP)</t>
  </si>
  <si>
    <r>
      <rPr>
        <u/>
        <sz val="12"/>
        <color theme="1"/>
        <rFont val="Arial"/>
        <family val="2"/>
      </rPr>
      <t>Eligibility</t>
    </r>
    <r>
      <rPr>
        <sz val="12"/>
        <color theme="1"/>
        <rFont val="Arial"/>
        <family val="2"/>
      </rPr>
      <t xml:space="preserve">: This measure applies to the installation of a cycling refrigerated thermal mass dryer with a capacity of 600 CFM or below replacing a non-cycling (continuous) refrigerated air dryer in a compressed air system. This measure does not apply to the replacement of other types of dryers. 
</t>
    </r>
    <r>
      <rPr>
        <u/>
        <sz val="12"/>
        <color theme="1"/>
        <rFont val="Arial"/>
        <family val="2"/>
      </rPr>
      <t xml:space="preserve">
Methodology</t>
    </r>
    <r>
      <rPr>
        <sz val="12"/>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</si>
  <si>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Air-entraining air nozzles must replace an open copper tube (of 1/8” or 1/4" orifice diameter) with an energy efficient air-entraining air nozzle that uses less than 15 CFM at 100 psi. 
</t>
    </r>
    <r>
      <rPr>
        <u/>
        <sz val="10"/>
        <color theme="1"/>
        <rFont val="Arial"/>
        <family val="2"/>
      </rPr>
      <t xml:space="preserve">
Methodology</t>
    </r>
    <r>
      <rPr>
        <sz val="10"/>
        <color theme="1"/>
        <rFont val="Arial"/>
        <family val="2"/>
      </rPr>
      <t>: The energy savings are obtained through the following equations -</t>
    </r>
  </si>
  <si>
    <r>
      <rPr>
        <u/>
        <sz val="10"/>
        <color theme="1"/>
        <rFont val="Arial"/>
        <family val="2"/>
      </rPr>
      <t>Eligibility</t>
    </r>
    <r>
      <rPr>
        <sz val="10"/>
        <color theme="1"/>
        <rFont val="Arial"/>
        <family val="2"/>
      </rPr>
      <t>: This measure relates to the installation of an air compressor with a variable speed drive (VSD), either by replacing an existing unit at the end of its useful life, or the installation of a new system in a new building.  The new air compressor must be 40 HP or less.</t>
    </r>
  </si>
  <si>
    <r>
      <rPr>
        <u/>
        <sz val="10"/>
        <color theme="1"/>
        <rFont val="Arial"/>
        <family val="2"/>
      </rPr>
      <t>Methodology</t>
    </r>
    <r>
      <rPr>
        <sz val="10"/>
        <color theme="1"/>
        <rFont val="Arial"/>
        <family val="2"/>
      </rPr>
      <t>: The energy savings are obtained through the following equations -</t>
    </r>
  </si>
  <si>
    <t>Compressor Controller</t>
  </si>
  <si>
    <r>
      <rPr>
        <u/>
        <sz val="10"/>
        <color theme="1"/>
        <rFont val="Arial"/>
        <family val="2"/>
      </rPr>
      <t>Eligibility</t>
    </r>
    <r>
      <rPr>
        <sz val="10"/>
        <color theme="1"/>
        <rFont val="Arial"/>
        <family val="2"/>
      </rPr>
      <t xml:space="preserve">: To be eligible, no-loss condensate drains must replace standard condensate drains operated by a timer-controlled solenoid valve. 
</t>
    </r>
    <r>
      <rPr>
        <u/>
        <sz val="10"/>
        <color theme="1"/>
        <rFont val="Arial"/>
        <family val="2"/>
      </rPr>
      <t>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</si>
  <si>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To be eligible, the new air receivers must have a minimum storage ratio of 4 gallons of storage per cfm of airflow capacity. The system should replace a load/no load compressor (having 1 gallon of storage per cfm or less) or a modulating compressor with blowdown. 
</t>
    </r>
    <r>
      <rPr>
        <u/>
        <sz val="10"/>
        <color theme="1"/>
        <rFont val="Arial"/>
        <family val="2"/>
      </rPr>
      <t>Methodology</t>
    </r>
    <r>
      <rPr>
        <sz val="10"/>
        <color theme="1"/>
        <rFont val="Arial"/>
        <family val="2"/>
      </rPr>
      <t>: The energy savings are obtained through the following equations -</t>
    </r>
  </si>
  <si>
    <r>
      <rPr>
        <u/>
        <sz val="10"/>
        <color theme="1"/>
        <rFont val="Arial"/>
        <family val="2"/>
      </rPr>
      <t>Eligibility</t>
    </r>
    <r>
      <rPr>
        <sz val="10"/>
        <color theme="1"/>
        <rFont val="Arial"/>
        <family val="2"/>
      </rPr>
      <t xml:space="preserve">: To be eligible, the controller must be new (no existing pressure/flow controller exists) and the system must have a compressor motor capacity &gt;= 40 hp. The system must have a minimum storage capacity of 3 gal/cfm. This measure is not replacing drop-line regulators or filter-regulator lubricators. 
</t>
    </r>
    <r>
      <rPr>
        <u/>
        <sz val="10"/>
        <color theme="1"/>
        <rFont val="Arial"/>
        <family val="2"/>
      </rPr>
      <t>Methodology</t>
    </r>
    <r>
      <rPr>
        <sz val="10"/>
        <color theme="1"/>
        <rFont val="Arial"/>
        <family val="2"/>
      </rPr>
      <t>: The energy savings are obtained through the following equations -</t>
    </r>
  </si>
  <si>
    <t>Low Pressure Drop Filters</t>
  </si>
  <si>
    <t>Mist Eliminators</t>
  </si>
  <si>
    <r>
      <rPr>
        <u/>
        <sz val="10"/>
        <color theme="1"/>
        <rFont val="Arial"/>
        <family val="2"/>
      </rPr>
      <t>Eligibility</t>
    </r>
    <r>
      <rPr>
        <sz val="10"/>
        <color theme="1"/>
        <rFont val="Arial"/>
        <family val="2"/>
      </rPr>
      <t xml:space="preserve">: To be eligible, filters must not have a pressure drop exceeding 1 psi when new and 3 psi at element change.
</t>
    </r>
    <r>
      <rPr>
        <u/>
        <sz val="10"/>
        <color theme="1"/>
        <rFont val="Arial"/>
        <family val="2"/>
      </rPr>
      <t>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</si>
  <si>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To be eligible, the compressed air system must be greater than 50 HP and the mist eliminator must have less than a 1 psig pressure drop and replace a coalescing filter.
</t>
    </r>
    <r>
      <rPr>
        <u/>
        <sz val="10"/>
        <color theme="1"/>
        <rFont val="Arial"/>
        <family val="2"/>
      </rPr>
      <t>Methodology</t>
    </r>
    <r>
      <rPr>
        <sz val="10"/>
        <color theme="1"/>
        <rFont val="Arial"/>
        <family val="2"/>
      </rPr>
      <t xml:space="preserve">: The energy savings are obtained through the following equations -
</t>
    </r>
  </si>
  <si>
    <t>User Inputs</t>
  </si>
  <si>
    <t xml:space="preserve">Cycling Dryer - HP of Compressor </t>
  </si>
  <si>
    <t>Qty</t>
  </si>
  <si>
    <t>Incentive Rate Selection:</t>
  </si>
  <si>
    <t>Downstream 8/31/2025 and after</t>
  </si>
  <si>
    <t>PY16 LCI Bonus 3/1/25 and after</t>
  </si>
  <si>
    <t>Downstream 6/1/23 and after</t>
  </si>
  <si>
    <t>Downstream 5/31/23 and before</t>
  </si>
  <si>
    <t>DD 5/31/22 and before</t>
  </si>
  <si>
    <t>DD 6/1/22 and after</t>
  </si>
  <si>
    <t>DD 8/31/2025 and after</t>
  </si>
  <si>
    <t>Cycling Dryer - Proposed quantity of Dryers</t>
  </si>
  <si>
    <t>Cycling Dryer - Total Equipment Cost</t>
  </si>
  <si>
    <t>$</t>
  </si>
  <si>
    <t xml:space="preserve">Air Nozzle -Nozzle Diameter </t>
  </si>
  <si>
    <t xml:space="preserve">Inches </t>
  </si>
  <si>
    <t>Project Cost Cap</t>
  </si>
  <si>
    <t xml:space="preserve">Air Nozzle - Compressor Control Type </t>
  </si>
  <si>
    <t xml:space="preserve">Air Nozzle - Number or Nozzles Installed </t>
  </si>
  <si>
    <t>Air Nozzle - Total Equipment Cost</t>
  </si>
  <si>
    <t>Rate Code Lookup</t>
  </si>
  <si>
    <t xml:space="preserve">Condensate Drains - Drain Orifice Diameter </t>
  </si>
  <si>
    <t xml:space="preserve">Condensate Drains - System Pressure </t>
  </si>
  <si>
    <t>PSIG</t>
  </si>
  <si>
    <t>Small Business (GS1 or GS3)</t>
  </si>
  <si>
    <t xml:space="preserve">Condensate Drains - Compressor Control Type </t>
  </si>
  <si>
    <t>Large Business (LP4 or LP5)</t>
  </si>
  <si>
    <t xml:space="preserve">Condensate Drains - Number or Drains </t>
  </si>
  <si>
    <t>Residential - Agriculture</t>
  </si>
  <si>
    <t>Condensate Drains - Total Equipment Cost</t>
  </si>
  <si>
    <t xml:space="preserve">Air Tanks - Rated Air Compressor Horsepower </t>
  </si>
  <si>
    <t>HP</t>
  </si>
  <si>
    <t>Air Tanks - Total Equipment Cost</t>
  </si>
  <si>
    <t>VFD Compressors - Operating Hours</t>
  </si>
  <si>
    <t>VFD Compressors (&lt;=75HP) - Incemental Cost</t>
  </si>
  <si>
    <t>VFD Compressors (&lt;=75HP) - New Compressor HP</t>
  </si>
  <si>
    <t>Compressor Controller - Total Compressor HP</t>
  </si>
  <si>
    <t>Compressor Controller - Operating Hours</t>
  </si>
  <si>
    <t>Compressor Controller - Total Equipment Cost</t>
  </si>
  <si>
    <t>Low Pressure Drop Filters - Total Compressor HP</t>
  </si>
  <si>
    <t>Low Pressure Drop Filters - Operating Hours</t>
  </si>
  <si>
    <t>Low Pressure Drop Filters - Total Equipment Cost</t>
  </si>
  <si>
    <t>Low Pressure Drop Filters - Quantity</t>
  </si>
  <si>
    <t>Mist Eliminators - Quantity</t>
  </si>
  <si>
    <t>Mist Eliminators - Total Compressor HP</t>
  </si>
  <si>
    <t>Mist Eliminators - Operating Hours</t>
  </si>
  <si>
    <t>Mist Eliminators - Total Equipment Cost</t>
  </si>
  <si>
    <t>Constants</t>
  </si>
  <si>
    <t>Cycling Dryer- Compressor Output per HP</t>
  </si>
  <si>
    <t>CFM/HP</t>
  </si>
  <si>
    <t xml:space="preserve">Cycling Dryer - kWdryer/CFMcomp </t>
  </si>
  <si>
    <t>kW/CFM</t>
  </si>
  <si>
    <t xml:space="preserve">Cycling Dryer - Chilled Coil Response Time Derate </t>
  </si>
  <si>
    <t>Hours</t>
  </si>
  <si>
    <t>Cycling Dryer - Average Compressor Operating Capacity</t>
  </si>
  <si>
    <t>%</t>
  </si>
  <si>
    <t>Air Nozzle - Percent of Hours when Nozzle is in Use</t>
  </si>
  <si>
    <t xml:space="preserve">Condensate Drains - Hours per year Drain is Open </t>
  </si>
  <si>
    <t>Condensate Drains - Percent Not Condensate</t>
  </si>
  <si>
    <t xml:space="preserve">Air Tanks - Load Factor </t>
  </si>
  <si>
    <t xml:space="preserve">Air Tanks - Load Reduction </t>
  </si>
  <si>
    <t>Air Tanks - Efficiency of Compressor Motor</t>
  </si>
  <si>
    <t>VFD Compressors - Baseline Compressor Factor</t>
  </si>
  <si>
    <t>VFD Compressor - Efficient Compressor Factor</t>
  </si>
  <si>
    <t>VFD Compressor - Compressor HP to Full Load kW</t>
  </si>
  <si>
    <t>VFD Compressor - Efficiency of compressor motor</t>
  </si>
  <si>
    <t>Compressor Controller - kW to HP conversion factor</t>
  </si>
  <si>
    <t>Compressor Controller - Load Factor</t>
  </si>
  <si>
    <t>Compressor Controller - Comp Motor Efficiency @ FL</t>
  </si>
  <si>
    <t>Compressor Controller - % decrease in power input</t>
  </si>
  <si>
    <t>Low Pressure Drop Filters - kW to HP conversion factor</t>
  </si>
  <si>
    <t>Low Pressure Drop Filters - reduced filter pressure loss</t>
  </si>
  <si>
    <t>Low Pressure Drop Filters - Load Factor</t>
  </si>
  <si>
    <t>Low Pressure Drop Filters - Savings Factor</t>
  </si>
  <si>
    <t>Low Pressure Drop Filters - Efficiency of compressor motor</t>
  </si>
  <si>
    <t>Mist Eliminators - kW to HP conversion factor</t>
  </si>
  <si>
    <t>Mist Eliminators - Comp Motor Efficiency @ FL</t>
  </si>
  <si>
    <t>Mist Eliminators - Load Factor</t>
  </si>
  <si>
    <t>Mist Eliminators - Percentage of Energy Saved</t>
  </si>
  <si>
    <t xml:space="preserve">Mist Eliminators - Total Pressure Reduction </t>
  </si>
  <si>
    <t>psig</t>
  </si>
  <si>
    <t>Mist Eliminators - Percentage of Energy Saved for each psi reduced</t>
  </si>
  <si>
    <t xml:space="preserve">Look-Up Table 1: Annual Hours of Operation </t>
  </si>
  <si>
    <t>Look-Up Table 2: Coincidence Factor</t>
  </si>
  <si>
    <t>Look-Up Table 3: Baseline Nozzle Mass Flow Rate</t>
  </si>
  <si>
    <t>Look-Up Table 7: Average Compressor kW/CFM</t>
  </si>
  <si>
    <t>Look-Up Table 8: Average Air Loss Rates</t>
  </si>
  <si>
    <t xml:space="preserve">Look-Up Table 9:Annual Hours of Compressor Operation </t>
  </si>
  <si>
    <t xml:space="preserve">Building Schedule </t>
  </si>
  <si>
    <t>% Summer</t>
  </si>
  <si>
    <t>% Winter</t>
  </si>
  <si>
    <t>Nozzle Diameter</t>
  </si>
  <si>
    <t>Air Mass Flow (CFM)</t>
  </si>
  <si>
    <t xml:space="preserve">Compressor Control Type </t>
  </si>
  <si>
    <t>Average Compressor kW/CFM</t>
  </si>
  <si>
    <t>Pressure (psig)</t>
  </si>
  <si>
    <t>Orifice Diameter (Inches)</t>
  </si>
  <si>
    <t xml:space="preserve">Min Size </t>
  </si>
  <si>
    <t>Max Size</t>
  </si>
  <si>
    <t xml:space="preserve">Hours </t>
  </si>
  <si>
    <t>CF</t>
  </si>
  <si>
    <t>Single Shift (8/5)</t>
  </si>
  <si>
    <t>1/8</t>
  </si>
  <si>
    <t>Modulating w/ Blowdown</t>
  </si>
  <si>
    <t>1/64</t>
  </si>
  <si>
    <t>1/32</t>
  </si>
  <si>
    <t>1/16</t>
  </si>
  <si>
    <t>1/4</t>
  </si>
  <si>
    <t>3/8</t>
  </si>
  <si>
    <t>2-Shift (16/5)</t>
  </si>
  <si>
    <t>Load/No load w/ 1 gal/CFM Storage</t>
  </si>
  <si>
    <t>3-Shift (24/5)</t>
  </si>
  <si>
    <t>Load/No load w/ 3 gal/CFM Storage</t>
  </si>
  <si>
    <t>4 Shift (24/7)</t>
  </si>
  <si>
    <t>Load/No Load w/ 5 gal/CFM Storage</t>
  </si>
  <si>
    <t>Variable Speed w/ Unloading</t>
  </si>
  <si>
    <t>Unknown</t>
  </si>
  <si>
    <t xml:space="preserve">Look-Up Table 4: Adjustment Factor </t>
  </si>
  <si>
    <t>Look-Up Table 5: VFD Energy Savings Factor (ESF)</t>
  </si>
  <si>
    <t>Look-Up Table 6: Efficient Nozzle Mass Flow Rate</t>
  </si>
  <si>
    <t>Adjustment Factor</t>
  </si>
  <si>
    <t>Post-retrofit control</t>
  </si>
  <si>
    <t>ESF</t>
  </si>
  <si>
    <t>Variable Fequency Drive (VFD)</t>
  </si>
  <si>
    <t xml:space="preserve">Hours of Use </t>
  </si>
  <si>
    <t>CF_Summer</t>
  </si>
  <si>
    <t>CF_Winter</t>
  </si>
  <si>
    <t>Compressor Output per HP</t>
  </si>
  <si>
    <t xml:space="preserve">kWdryer/CFMcomp </t>
  </si>
  <si>
    <t xml:space="preserve">Chilled Coil Response Time Derate </t>
  </si>
  <si>
    <t>Average Compressor Operating Capacity</t>
  </si>
  <si>
    <t>Annual Savings (kWh)</t>
  </si>
  <si>
    <t>kW_Summer (kW)</t>
  </si>
  <si>
    <t>kW_Winter (kW)</t>
  </si>
  <si>
    <t>Annual Savings (kW)</t>
  </si>
  <si>
    <t xml:space="preserve">Incremental Measure Cost </t>
  </si>
  <si>
    <t>Uncapped Incentive</t>
  </si>
  <si>
    <t>Cycling Dryer</t>
  </si>
  <si>
    <t>Baseline Nozzle Air Mass Flow</t>
  </si>
  <si>
    <t xml:space="preserve">Energy Efficient Nozzle Air Mass Flow </t>
  </si>
  <si>
    <t>Ratio of Compressor KW/CFM</t>
  </si>
  <si>
    <t xml:space="preserve">Percent of Hours the Nozzle is in Use </t>
  </si>
  <si>
    <t>Air- Entraining Air Nozzle</t>
  </si>
  <si>
    <t xml:space="preserve">Hours of Use - From Table 3-212 </t>
  </si>
  <si>
    <t>CF_Summer - From Table 3-212</t>
  </si>
  <si>
    <t>CF_Winter - From Table 3-212</t>
  </si>
  <si>
    <t>Air Loss Rate - From Table 3-209</t>
  </si>
  <si>
    <t>Multiplication Factor</t>
  </si>
  <si>
    <t>Air Loss Rate 
(Default is 100.9)</t>
  </si>
  <si>
    <t>Ratio of Compresser kW/CFM - From Table 3-210</t>
  </si>
  <si>
    <t xml:space="preserve">Hours Per Year Drain is Open </t>
  </si>
  <si>
    <t>Adjustment Factor - From Table 3-211</t>
  </si>
  <si>
    <t xml:space="preserve">Percentage Not Condensate </t>
  </si>
  <si>
    <t>Annual kWh Savings</t>
  </si>
  <si>
    <t>Summer kW Savings</t>
  </si>
  <si>
    <t>Winter kW Savings</t>
  </si>
  <si>
    <t>Annual kW Savings</t>
  </si>
  <si>
    <t xml:space="preserve">No-Loss Condensate Drains </t>
  </si>
  <si>
    <t xml:space="preserve">Coincidence Factor </t>
  </si>
  <si>
    <t xml:space="preserve">Hours of Use - From Table 3-214 </t>
  </si>
  <si>
    <t xml:space="preserve">Load Factor </t>
  </si>
  <si>
    <t xml:space="preserve">Load Reduction </t>
  </si>
  <si>
    <t>Efficiency of Compressor Motor</t>
  </si>
  <si>
    <t xml:space="preserve">Annual Savings (kWh) </t>
  </si>
  <si>
    <t>Incentive</t>
  </si>
  <si>
    <t>Air Tanks for Load / No load Compressors</t>
  </si>
  <si>
    <t>Compressor HP</t>
  </si>
  <si>
    <t>Coincidence Factor - From Table 3-217</t>
  </si>
  <si>
    <t>Baseline Compressor Factor</t>
  </si>
  <si>
    <t>Efficient Compressor Factor</t>
  </si>
  <si>
    <t>Efficiency of compressor motor</t>
  </si>
  <si>
    <t>Comp Motor Nominal HP to Full Load kW</t>
  </si>
  <si>
    <t>VFD Compressors (&lt;=40HP)</t>
  </si>
  <si>
    <t>Coincidence Factor - From Table 3-222</t>
  </si>
  <si>
    <t>kW to HP Conversion Factor</t>
  </si>
  <si>
    <t>Load Factor</t>
  </si>
  <si>
    <t>Comp Motor Efficiency @ Full Load</t>
  </si>
  <si>
    <t>% Decrease in Input Power</t>
  </si>
  <si>
    <t>Hours of Use</t>
  </si>
  <si>
    <t>Coincidence Factor - From Table 3-223</t>
  </si>
  <si>
    <t>Reduced Filter Pressure Loss</t>
  </si>
  <si>
    <t>Savings Factor</t>
  </si>
  <si>
    <t>Coincidence Factor - From Table 3-226</t>
  </si>
  <si>
    <t>Percentage of Energy Saved</t>
  </si>
  <si>
    <t>Version:</t>
  </si>
  <si>
    <t>Last Updated:</t>
  </si>
  <si>
    <t>Measure Name</t>
  </si>
  <si>
    <t>Equipment Cost</t>
  </si>
  <si>
    <t>Savings</t>
  </si>
  <si>
    <t>Project Name</t>
  </si>
  <si>
    <t>Site Address</t>
  </si>
  <si>
    <t>VFD Compressor (&lt;=40HP)</t>
  </si>
  <si>
    <t>Project Number</t>
  </si>
  <si>
    <t xml:space="preserve">Cycling Dryer </t>
  </si>
  <si>
    <t>Prepared by</t>
  </si>
  <si>
    <t xml:space="preserve">Air Nozzle </t>
  </si>
  <si>
    <t xml:space="preserve">Condensate Drains </t>
  </si>
  <si>
    <t>Building Operating Schedule*</t>
  </si>
  <si>
    <t>Air Tanks</t>
  </si>
  <si>
    <t>Total Project Cost*</t>
  </si>
  <si>
    <t>Total</t>
  </si>
  <si>
    <t xml:space="preserve">PECO Electric Rate Code (from Bill) </t>
  </si>
  <si>
    <t>PPL Direct Discount Program</t>
  </si>
  <si>
    <t>Customer Acknowledgement (please initial):   _______________
Contractor Acknowledgement (please initial):  _______________</t>
  </si>
  <si>
    <t>Date:   _______________
Date:  _______________</t>
  </si>
  <si>
    <t>Summary Table</t>
  </si>
  <si>
    <t>This project's annual electric savings are equivalent to:</t>
  </si>
  <si>
    <t>Project Cost:</t>
  </si>
  <si>
    <t>acres of forest saved</t>
  </si>
  <si>
    <t>Energy Savings (kWh):</t>
  </si>
  <si>
    <t>Annual Cost Savings:</t>
  </si>
  <si>
    <t>Available Utility Incentive:</t>
  </si>
  <si>
    <t>miles driven by an average car</t>
  </si>
  <si>
    <t>Cost to Customer:</t>
  </si>
  <si>
    <t>Simple Pay Back (Yrs.)</t>
  </si>
  <si>
    <t>tons of waste recycled instead of landfilled</t>
  </si>
  <si>
    <t>BY THE NUMBERS</t>
  </si>
  <si>
    <t>COST OF WAITING</t>
  </si>
  <si>
    <t>gallons of gasoline consumed</t>
  </si>
  <si>
    <t>Available Utility Incentive</t>
  </si>
  <si>
    <t>Monthly</t>
  </si>
  <si>
    <t>pounds of coal burned</t>
  </si>
  <si>
    <t>Return on Investment</t>
  </si>
  <si>
    <t>Annually</t>
  </si>
  <si>
    <t>Factors from US EPA GHG Equivalencies Calculator</t>
  </si>
  <si>
    <t>Measure List row</t>
  </si>
  <si>
    <t>Measure</t>
  </si>
  <si>
    <t>Measure Details</t>
  </si>
  <si>
    <t>Project Cost ($)</t>
  </si>
  <si>
    <t>Energy Savings (kWh)</t>
  </si>
  <si>
    <t>Utility Cost Savings ($)</t>
  </si>
  <si>
    <t>Incentive ($)</t>
  </si>
  <si>
    <t>Cost to Customer</t>
  </si>
  <si>
    <t>Row</t>
  </si>
  <si>
    <t>Project Cost</t>
  </si>
  <si>
    <t>Demand Savings (kW)</t>
  </si>
  <si>
    <t>dryer(s)</t>
  </si>
  <si>
    <t>Air-Entraining Nozzles</t>
  </si>
  <si>
    <t>nozzle(s)</t>
  </si>
  <si>
    <t>drain(s)</t>
  </si>
  <si>
    <t>tank(s)</t>
  </si>
  <si>
    <t>VFD Compressor &lt;= 40HP</t>
  </si>
  <si>
    <t>compressor</t>
  </si>
  <si>
    <t>controller</t>
  </si>
  <si>
    <t>Low Pressure Drop Air Filters</t>
  </si>
  <si>
    <t>filter(s)</t>
  </si>
  <si>
    <t>Mist Eliminator Air Filters</t>
  </si>
  <si>
    <t>Incentive Rates</t>
  </si>
  <si>
    <t xml:space="preserve">Date </t>
  </si>
  <si>
    <t>Program Year</t>
  </si>
  <si>
    <t>Start Date</t>
  </si>
  <si>
    <t>End Date</t>
  </si>
  <si>
    <t>1st Incentive Cap</t>
  </si>
  <si>
    <t>2nd Incentive Cap</t>
  </si>
  <si>
    <t>PY14</t>
  </si>
  <si>
    <t xml:space="preserve">$/kW </t>
  </si>
  <si>
    <t>PY15</t>
  </si>
  <si>
    <t>% Total Project Cost</t>
  </si>
  <si>
    <t>PY16</t>
  </si>
  <si>
    <t>Total Project Cost</t>
  </si>
  <si>
    <t>PY17</t>
  </si>
  <si>
    <t>PY18</t>
  </si>
  <si>
    <t>PY19</t>
  </si>
  <si>
    <t>TBD</t>
  </si>
  <si>
    <t>PY20</t>
  </si>
  <si>
    <t>PY21</t>
  </si>
  <si>
    <t>PY22</t>
  </si>
  <si>
    <t>Instructions: Enter the project information in the yellow cells below. Cells with a * are required. See Instructions Worksheet for more information.</t>
  </si>
  <si>
    <t>Primary Building Operating Schedule*</t>
  </si>
  <si>
    <t>Equipment Operating Schedule (if different from building)</t>
  </si>
  <si>
    <t>New Compressor Horsepower (&lt;=40 HP)*</t>
  </si>
  <si>
    <t>Total Equipment Cost*</t>
  </si>
  <si>
    <t xml:space="preserve">Uncapped Incentive </t>
  </si>
  <si>
    <r>
      <t>Equipment Operating Schedule</t>
    </r>
    <r>
      <rPr>
        <b/>
        <sz val="11"/>
        <color theme="0"/>
        <rFont val="Arial"/>
        <family val="2"/>
        <scheme val="minor"/>
      </rPr>
      <t xml:space="preserve"> 
(if different from building)</t>
    </r>
  </si>
  <si>
    <t>Quantity of Dryers Installed*</t>
  </si>
  <si>
    <t>Rated Capacity (CFM)*</t>
  </si>
  <si>
    <t>HP of Compressor(s) Served by Dryer*</t>
  </si>
  <si>
    <t>Dryer Manufacturer</t>
  </si>
  <si>
    <t>Dryer Model #</t>
  </si>
  <si>
    <t>Air Nozzles</t>
  </si>
  <si>
    <t>Compressor Control Type*</t>
  </si>
  <si>
    <t>Nozzle Diameter (Inches)*</t>
  </si>
  <si>
    <t xml:space="preserve">Number of Nozzles Installed* </t>
  </si>
  <si>
    <t>Manufacturer*</t>
  </si>
  <si>
    <t>Model #*</t>
  </si>
  <si>
    <t>Number of Drains Installed*</t>
  </si>
  <si>
    <t>Drain Orifice Diameter from Spec Sheet</t>
  </si>
  <si>
    <t>System Operating Pressure (PSIG)</t>
  </si>
  <si>
    <t>Building Operating Schedule</t>
  </si>
  <si>
    <t>Rated Compressor Horsepower*</t>
  </si>
  <si>
    <t>Total Compressor Horsepower (&gt;=40 HP)*</t>
  </si>
  <si>
    <t>Total Compressor Horsepower*</t>
  </si>
  <si>
    <t>Quantity*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</si>
</sst>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7" formatCode="&quot;$&quot;#,##0.00_);\(&quot;$&quot;#,##0.00\)"/>
    <numFmt numFmtId="44" formatCode="_(&quot;$&quot;* #,##0.00_);_(&quot;$&quot;* \(#,##0.00\);_(&quot;$&quot;* &quot;-&quot;??_);_(@_)"/>
    <numFmt numFmtId="43" formatCode="_(* #,##0.00_);_(* \(#,##0.00\);_(* &quot;-&quot;??_);_(@_)"/>
    <numFmt numFmtId="164" formatCode="0.0"/>
    <numFmt numFmtId="165" formatCode="0.000"/>
    <numFmt numFmtId="166" formatCode="&quot;$&quot;#,##0.00"/>
    <numFmt numFmtId="167" formatCode="0.0000"/>
    <numFmt numFmtId="168" formatCode="0_);\(0\)"/>
    <numFmt numFmtId="169" formatCode="&quot;$&quot;#,##0"/>
    <numFmt numFmtId="170" formatCode="#,##0.0"/>
    <numFmt numFmtId="171" formatCode="\$#,##0.0000"/>
    <numFmt numFmtId="172" formatCode="#,##0.0000"/>
    <numFmt numFmtId="173" formatCode="\$#,##0.00"/>
    <numFmt numFmtId="174" formatCode="0.00000"/>
  </numFmts>
  <fonts count="94" x14ac:knownFonts="1">
    <font>
      <sz val="11"/>
      <color theme="1"/>
      <name val="Arial"/>
      <family val="2"/>
      <scheme val="minor"/>
    </font>
    <font>
      <sz val="11"/>
      <color theme="1"/>
      <name val="Arial"/>
      <family val="2"/>
      <scheme val="minor"/>
    </font>
    <font>
      <b/>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4"/>
      <color theme="5"/>
      <name val="Arial"/>
      <family val="2"/>
      <scheme val="minor"/>
    </font>
    <font>
      <b/>
      <u/>
      <sz val="27"/>
      <color theme="4" tint="-0.249977111117893"/>
      <name val="Arial"/>
      <family val="2"/>
      <scheme val="minor"/>
    </font>
    <font>
      <sz val="10"/>
      <name val="Arial"/>
      <family val="2"/>
    </font>
    <font>
      <sz val="10"/>
      <name val="Arial"/>
      <family val="2"/>
    </font>
    <font>
      <sz val="11"/>
      <name val="Arial"/>
      <family val="2"/>
    </font>
    <font>
      <b/>
      <sz val="11"/>
      <color rgb="FF0070C0"/>
      <name val="Arial"/>
      <family val="2"/>
    </font>
    <font>
      <sz val="10"/>
      <color theme="6" tint="-0.249977111117893"/>
      <name val="Arial"/>
      <family val="2"/>
    </font>
    <font>
      <u/>
      <sz val="16"/>
      <color theme="5"/>
      <name val="Arial"/>
      <family val="2"/>
    </font>
    <font>
      <b/>
      <sz val="11"/>
      <color theme="6"/>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color theme="1"/>
      <name val="Arial"/>
      <family val="2"/>
      <scheme val="minor"/>
    </font>
    <font>
      <sz val="9"/>
      <color theme="1"/>
      <name val="Arial"/>
      <family val="2"/>
      <scheme val="minor"/>
    </font>
    <font>
      <sz val="11"/>
      <color theme="1"/>
      <name val="Arial"/>
      <family val="2"/>
    </font>
    <font>
      <b/>
      <sz val="18"/>
      <color rgb="FF00539F"/>
      <name val="Arial"/>
      <family val="2"/>
    </font>
    <font>
      <b/>
      <sz val="12"/>
      <color theme="0"/>
      <name val="Arial"/>
      <family val="2"/>
    </font>
    <font>
      <b/>
      <sz val="12"/>
      <color theme="0"/>
      <name val="Arial"/>
      <family val="2"/>
      <scheme val="minor"/>
    </font>
    <font>
      <sz val="12"/>
      <color theme="1"/>
      <name val="Arial"/>
      <family val="2"/>
    </font>
    <font>
      <u/>
      <sz val="12"/>
      <color theme="1"/>
      <name val="Arial"/>
      <family val="2"/>
    </font>
    <font>
      <sz val="12"/>
      <color theme="1"/>
      <name val="Arial"/>
      <family val="2"/>
      <scheme val="minor"/>
    </font>
    <font>
      <sz val="10"/>
      <color theme="1"/>
      <name val="Arial"/>
      <family val="2"/>
    </font>
    <font>
      <u/>
      <sz val="10"/>
      <color theme="1"/>
      <name val="Arial"/>
      <family val="2"/>
    </font>
    <font>
      <sz val="12"/>
      <color theme="1"/>
      <name val="Calibri"/>
      <family val="2"/>
    </font>
    <font>
      <b/>
      <sz val="9"/>
      <color theme="1"/>
      <name val="Arial"/>
      <family val="2"/>
      <scheme val="minor"/>
    </font>
    <font>
      <b/>
      <u/>
      <sz val="14"/>
      <color theme="1"/>
      <name val="Arial"/>
      <family val="2"/>
      <scheme val="minor"/>
    </font>
    <font>
      <sz val="16"/>
      <color theme="5"/>
      <name val="Arial"/>
      <family val="2"/>
    </font>
    <font>
      <sz val="18"/>
      <color theme="5"/>
      <name val="Arial"/>
      <family val="2"/>
    </font>
    <font>
      <sz val="11"/>
      <name val="Calibri"/>
      <family val="2"/>
    </font>
    <font>
      <sz val="11"/>
      <color theme="0" tint="-0.34998626667073579"/>
      <name val="Calibri"/>
      <family val="2"/>
    </font>
    <font>
      <b/>
      <sz val="22"/>
      <color rgb="FF003387"/>
      <name val="Calibri"/>
      <family val="2"/>
    </font>
    <font>
      <sz val="16"/>
      <name val="Calibri"/>
      <family val="2"/>
    </font>
    <font>
      <sz val="12"/>
      <name val="Calibri"/>
      <family val="2"/>
    </font>
    <font>
      <sz val="14"/>
      <name val="Calibri"/>
      <family val="2"/>
    </font>
    <font>
      <sz val="10"/>
      <name val="Calibri"/>
      <family val="2"/>
    </font>
    <font>
      <b/>
      <sz val="10"/>
      <name val="Calibri"/>
      <family val="2"/>
    </font>
    <font>
      <b/>
      <sz val="10"/>
      <color rgb="FFFFFFFF"/>
      <name val="Calibri"/>
      <family val="2"/>
    </font>
    <font>
      <sz val="11"/>
      <color theme="1"/>
      <name val="Calibri"/>
      <family val="2"/>
    </font>
    <font>
      <b/>
      <sz val="11"/>
      <color rgb="FF05854B"/>
      <name val="Calibri"/>
      <family val="2"/>
    </font>
    <font>
      <sz val="9"/>
      <name val="Calibri"/>
      <family val="2"/>
    </font>
    <font>
      <sz val="16"/>
      <color rgb="FF05854B"/>
      <name val="Calibri"/>
      <family val="2"/>
    </font>
    <font>
      <b/>
      <u/>
      <sz val="11"/>
      <color rgb="FF6A6A6A"/>
      <name val="Calibri"/>
      <family val="2"/>
    </font>
    <font>
      <b/>
      <sz val="16"/>
      <color rgb="FF0070C0"/>
      <name val="Calibri"/>
      <family val="2"/>
    </font>
    <font>
      <sz val="9"/>
      <color rgb="FF6A6A6A"/>
      <name val="Calibri"/>
      <family val="2"/>
    </font>
    <font>
      <sz val="10"/>
      <color theme="1"/>
      <name val="Calibri"/>
      <family val="2"/>
    </font>
    <font>
      <sz val="8"/>
      <color rgb="FF05854B"/>
      <name val="Calibri"/>
      <family val="2"/>
    </font>
    <font>
      <b/>
      <sz val="10"/>
      <color theme="0"/>
      <name val="Calibri"/>
      <family val="2"/>
    </font>
    <font>
      <sz val="10"/>
      <color theme="0" tint="-0.34998626667073579"/>
      <name val="Calibri"/>
      <family val="2"/>
    </font>
    <font>
      <sz val="8"/>
      <name val="Arial"/>
      <family val="2"/>
      <scheme val="minor"/>
    </font>
    <font>
      <sz val="11"/>
      <name val="Arial"/>
      <family val="2"/>
      <scheme val="minor"/>
    </font>
    <font>
      <sz val="9"/>
      <color indexed="81"/>
      <name val="Tahoma"/>
      <family val="2"/>
    </font>
    <font>
      <b/>
      <sz val="9"/>
      <color indexed="81"/>
      <name val="Tahoma"/>
      <family val="2"/>
    </font>
    <font>
      <b/>
      <sz val="12"/>
      <color theme="1"/>
      <name val="Arial"/>
      <family val="2"/>
      <scheme val="minor"/>
    </font>
    <font>
      <b/>
      <u/>
      <sz val="14"/>
      <color theme="0"/>
      <name val="Arial"/>
      <family val="2"/>
      <scheme val="minor"/>
    </font>
    <font>
      <sz val="18"/>
      <color rgb="FF001489"/>
      <name val="Arial"/>
      <family val="2"/>
      <scheme val="minor"/>
    </font>
    <font>
      <b/>
      <u/>
      <sz val="27"/>
      <color rgb="FF001489"/>
      <name val="Arial"/>
      <family val="2"/>
      <scheme val="minor"/>
    </font>
    <font>
      <sz val="11"/>
      <color rgb="FF001489"/>
      <name val="Arial"/>
      <family val="2"/>
      <scheme val="minor"/>
    </font>
    <font>
      <sz val="27"/>
      <color rgb="FF001489"/>
      <name val="Arial"/>
      <family val="2"/>
      <scheme val="minor"/>
    </font>
    <font>
      <sz val="16"/>
      <color rgb="FF001489"/>
      <name val="Arial"/>
      <family val="2"/>
    </font>
    <font>
      <u/>
      <sz val="16"/>
      <color rgb="FF001489"/>
      <name val="Arial"/>
      <family val="2"/>
    </font>
    <font>
      <sz val="11"/>
      <color rgb="FF000000"/>
      <name val="Arial"/>
      <family val="2"/>
    </font>
    <font>
      <b/>
      <sz val="14"/>
      <color theme="0"/>
      <name val="Arial"/>
      <family val="2"/>
      <scheme val="minor"/>
    </font>
  </fonts>
  <fills count="7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539F"/>
        <bgColor indexed="64"/>
      </patternFill>
    </fill>
    <fill>
      <patternFill patternType="solid">
        <fgColor rgb="FF6A6A6A"/>
        <bgColor indexed="64"/>
      </patternFill>
    </fill>
    <fill>
      <patternFill patternType="solid">
        <fgColor theme="0" tint="-4.9989318521683403E-2"/>
        <bgColor indexed="64"/>
      </patternFill>
    </fill>
    <fill>
      <patternFill patternType="solid">
        <fgColor rgb="FF002060"/>
        <bgColor indexed="64"/>
      </patternFill>
    </fill>
    <fill>
      <patternFill patternType="solid">
        <fgColor rgb="FF92D050"/>
        <bgColor indexed="64"/>
      </patternFill>
    </fill>
    <fill>
      <patternFill patternType="solid">
        <fgColor rgb="FF003387"/>
        <bgColor indexed="64"/>
      </patternFill>
    </fill>
    <fill>
      <patternFill patternType="solid">
        <fgColor rgb="FFFFFFFF"/>
        <bgColor indexed="64"/>
      </patternFill>
    </fill>
    <fill>
      <patternFill patternType="solid">
        <fgColor rgb="FFFFF8CA"/>
        <bgColor indexed="64"/>
      </patternFill>
    </fill>
    <fill>
      <patternFill patternType="solid">
        <fgColor theme="0" tint="-0.249977111117893"/>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1E427C"/>
        <bgColor indexed="64"/>
      </patternFill>
    </fill>
    <fill>
      <patternFill patternType="solid">
        <fgColor rgb="FFFFFFCC"/>
        <bgColor indexed="64"/>
      </patternFill>
    </fill>
    <fill>
      <patternFill patternType="solid">
        <fgColor rgb="FF7030A0"/>
        <bgColor indexed="64"/>
      </patternFill>
    </fill>
    <fill>
      <patternFill patternType="solid">
        <fgColor rgb="FF001489"/>
        <bgColor indexed="64"/>
      </patternFill>
    </fill>
  </fills>
  <borders count="10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auto="1"/>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dotted">
        <color auto="1"/>
      </left>
      <right/>
      <top/>
      <bottom/>
      <diagonal/>
    </border>
    <border>
      <left/>
      <right style="dotted">
        <color auto="1"/>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medium">
        <color indexed="64"/>
      </right>
      <top/>
      <bottom/>
      <diagonal/>
    </border>
    <border>
      <left style="medium">
        <color auto="1"/>
      </left>
      <right style="medium">
        <color auto="1"/>
      </right>
      <top/>
      <bottom style="medium">
        <color auto="1"/>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rgb="FF000000"/>
      </left>
      <right/>
      <top style="thin">
        <color rgb="FF000000"/>
      </top>
      <bottom style="medium">
        <color rgb="FF000000"/>
      </bottom>
      <diagonal/>
    </border>
    <border>
      <left style="thin">
        <color indexed="64"/>
      </left>
      <right/>
      <top style="medium">
        <color indexed="64"/>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thin">
        <color rgb="FF000000"/>
      </left>
      <right/>
      <top/>
      <bottom style="thin">
        <color rgb="FF000000"/>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top/>
      <bottom style="medium">
        <color indexed="64"/>
      </bottom>
      <diagonal/>
    </border>
    <border>
      <left style="medium">
        <color rgb="FF000000"/>
      </left>
      <right/>
      <top/>
      <bottom style="thin">
        <color rgb="FF000000"/>
      </bottom>
      <diagonal/>
    </border>
    <border>
      <left style="medium">
        <color rgb="FF000000"/>
      </left>
      <right/>
      <top style="thin">
        <color rgb="FF000000"/>
      </top>
      <bottom style="medium">
        <color rgb="FF000000"/>
      </bottom>
      <diagonal/>
    </border>
  </borders>
  <cellStyleXfs count="2007">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0" fontId="21" fillId="0" borderId="0"/>
    <xf numFmtId="0" fontId="21" fillId="0" borderId="0"/>
    <xf numFmtId="0" fontId="21" fillId="0" borderId="0"/>
    <xf numFmtId="0" fontId="1" fillId="0" borderId="0"/>
    <xf numFmtId="9" fontId="21" fillId="0" borderId="0" applyFont="0" applyFill="0" applyBorder="0" applyAlignment="0" applyProtection="0"/>
    <xf numFmtId="9" fontId="21" fillId="0" borderId="0" applyFont="0" applyFill="0" applyBorder="0" applyAlignment="0" applyProtection="0"/>
    <xf numFmtId="0" fontId="20" fillId="0" borderId="0"/>
    <xf numFmtId="0" fontId="27" fillId="37"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28" fillId="47"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8" fillId="51"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54" borderId="0" applyNumberFormat="0" applyBorder="0" applyAlignment="0" applyProtection="0"/>
    <xf numFmtId="0" fontId="29" fillId="38" borderId="0" applyNumberFormat="0" applyBorder="0" applyAlignment="0" applyProtection="0"/>
    <xf numFmtId="0" fontId="30" fillId="55" borderId="22" applyNumberFormat="0" applyAlignment="0" applyProtection="0"/>
    <xf numFmtId="0" fontId="31" fillId="56" borderId="23" applyNumberFormat="0" applyAlignment="0" applyProtection="0"/>
    <xf numFmtId="44" fontId="20" fillId="0" borderId="0" applyFont="0" applyFill="0" applyBorder="0" applyAlignment="0" applyProtection="0"/>
    <xf numFmtId="44" fontId="27" fillId="0" borderId="0" applyFont="0" applyFill="0" applyBorder="0" applyAlignment="0" applyProtection="0"/>
    <xf numFmtId="0" fontId="32" fillId="0" borderId="0" applyNumberFormat="0" applyFill="0" applyBorder="0" applyAlignment="0" applyProtection="0"/>
    <xf numFmtId="0" fontId="33" fillId="39" borderId="0" applyNumberFormat="0" applyBorder="0" applyAlignment="0" applyProtection="0"/>
    <xf numFmtId="0" fontId="34" fillId="0" borderId="24" applyNumberFormat="0" applyFill="0" applyAlignment="0" applyProtection="0"/>
    <xf numFmtId="0" fontId="35" fillId="0" borderId="25" applyNumberFormat="0" applyFill="0" applyAlignment="0" applyProtection="0"/>
    <xf numFmtId="0" fontId="36" fillId="0" borderId="26" applyNumberFormat="0" applyFill="0" applyAlignment="0" applyProtection="0"/>
    <xf numFmtId="0" fontId="36" fillId="0" borderId="0" applyNumberFormat="0" applyFill="0" applyBorder="0" applyAlignment="0" applyProtection="0"/>
    <xf numFmtId="0" fontId="37" fillId="42" borderId="22" applyNumberFormat="0" applyAlignment="0" applyProtection="0"/>
    <xf numFmtId="0" fontId="38" fillId="0" borderId="27" applyNumberFormat="0" applyFill="0" applyAlignment="0" applyProtection="0"/>
    <xf numFmtId="0" fontId="39" fillId="57"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58" borderId="28" applyNumberFormat="0" applyFont="0" applyAlignment="0" applyProtection="0"/>
    <xf numFmtId="0" fontId="40" fillId="55" borderId="29" applyNumberFormat="0" applyAlignment="0" applyProtection="0"/>
    <xf numFmtId="9" fontId="20" fillId="0" borderId="0" applyFont="0" applyFill="0" applyBorder="0" applyAlignment="0" applyProtection="0"/>
    <xf numFmtId="0" fontId="41" fillId="0" borderId="0" applyNumberFormat="0" applyFill="0" applyBorder="0" applyAlignment="0" applyProtection="0"/>
    <xf numFmtId="0" fontId="42" fillId="0" borderId="30" applyNumberFormat="0" applyFill="0" applyAlignment="0" applyProtection="0"/>
    <xf numFmtId="0" fontId="43" fillId="0" borderId="0" applyNumberForma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cellStyleXfs>
  <cellXfs count="445">
    <xf numFmtId="0" fontId="0" fillId="0" borderId="0" xfId="0"/>
    <xf numFmtId="0" fontId="0" fillId="34" borderId="0" xfId="0" applyFill="1"/>
    <xf numFmtId="0" fontId="23" fillId="34" borderId="0" xfId="43" applyFont="1" applyFill="1" applyAlignment="1" applyProtection="1">
      <alignment horizontal="left" vertical="center" wrapText="1" indent="2"/>
      <protection hidden="1"/>
    </xf>
    <xf numFmtId="0" fontId="26" fillId="34" borderId="0" xfId="43" applyFont="1" applyFill="1" applyAlignment="1" applyProtection="1">
      <alignment horizontal="left" vertical="center" indent="2"/>
      <protection hidden="1"/>
    </xf>
    <xf numFmtId="0" fontId="0" fillId="34" borderId="0" xfId="0" applyFill="1" applyAlignment="1">
      <alignment horizontal="center"/>
    </xf>
    <xf numFmtId="0" fontId="17" fillId="34" borderId="0" xfId="0" applyFont="1" applyFill="1"/>
    <xf numFmtId="0" fontId="18" fillId="34" borderId="0" xfId="0" applyFont="1" applyFill="1"/>
    <xf numFmtId="0" fontId="13" fillId="34" borderId="0" xfId="0" applyFont="1" applyFill="1" applyAlignment="1">
      <alignment horizontal="center" wrapText="1"/>
    </xf>
    <xf numFmtId="0" fontId="0" fillId="34" borderId="0" xfId="0" applyFill="1" applyAlignment="1">
      <alignment vertical="top"/>
    </xf>
    <xf numFmtId="0" fontId="0" fillId="34" borderId="0" xfId="0" applyFill="1" applyAlignment="1">
      <alignment horizontal="left" vertical="top"/>
    </xf>
    <xf numFmtId="0" fontId="0" fillId="34" borderId="0" xfId="0" applyFill="1" applyAlignment="1">
      <alignment horizontal="left" vertical="top" wrapText="1"/>
    </xf>
    <xf numFmtId="0" fontId="0" fillId="34" borderId="0" xfId="0" applyFill="1" applyAlignment="1">
      <alignment vertical="top" wrapText="1"/>
    </xf>
    <xf numFmtId="0" fontId="0" fillId="35" borderId="10" xfId="0" applyFill="1" applyBorder="1" applyAlignment="1">
      <alignment horizontal="left" vertical="center" indent="1"/>
    </xf>
    <xf numFmtId="0" fontId="16" fillId="34" borderId="0" xfId="0" applyFont="1" applyFill="1" applyAlignment="1">
      <alignment vertical="top"/>
    </xf>
    <xf numFmtId="0" fontId="16" fillId="34" borderId="0" xfId="0" applyFont="1" applyFill="1"/>
    <xf numFmtId="2" fontId="0" fillId="35" borderId="10" xfId="0" applyNumberFormat="1" applyFill="1" applyBorder="1" applyAlignment="1">
      <alignment horizontal="left" vertical="center" indent="1"/>
    </xf>
    <xf numFmtId="0" fontId="16" fillId="36" borderId="10" xfId="0" applyFont="1" applyFill="1" applyBorder="1" applyAlignment="1">
      <alignment horizontal="center" vertical="center" wrapText="1"/>
    </xf>
    <xf numFmtId="43" fontId="16" fillId="36" borderId="10" xfId="1" applyFont="1" applyFill="1" applyBorder="1" applyAlignment="1">
      <alignment horizontal="center" vertical="center" wrapText="1"/>
    </xf>
    <xf numFmtId="0" fontId="16" fillId="34" borderId="31" xfId="0" applyFont="1" applyFill="1" applyBorder="1" applyAlignment="1">
      <alignment horizontal="center" vertical="center"/>
    </xf>
    <xf numFmtId="0" fontId="16" fillId="34" borderId="11" xfId="0" applyFont="1" applyFill="1" applyBorder="1" applyAlignment="1">
      <alignment horizontal="center" vertical="center"/>
    </xf>
    <xf numFmtId="0" fontId="16" fillId="34" borderId="11" xfId="0" applyFont="1" applyFill="1" applyBorder="1" applyAlignment="1">
      <alignment horizontal="center" vertical="center" wrapText="1"/>
    </xf>
    <xf numFmtId="0" fontId="16" fillId="34" borderId="32" xfId="0" applyFont="1" applyFill="1" applyBorder="1" applyAlignment="1">
      <alignment horizontal="center" vertical="center"/>
    </xf>
    <xf numFmtId="14" fontId="0" fillId="34" borderId="10" xfId="0" applyNumberFormat="1" applyFill="1" applyBorder="1" applyAlignment="1">
      <alignment horizontal="left" vertical="center" indent="1"/>
    </xf>
    <xf numFmtId="0" fontId="0" fillId="34" borderId="10" xfId="0" applyFill="1" applyBorder="1" applyAlignment="1">
      <alignment horizontal="left" vertical="center" wrapText="1" indent="1"/>
    </xf>
    <xf numFmtId="0" fontId="0" fillId="34" borderId="16" xfId="0" applyFill="1" applyBorder="1" applyAlignment="1">
      <alignment horizontal="left" vertical="center" indent="1"/>
    </xf>
    <xf numFmtId="0" fontId="0" fillId="34" borderId="10" xfId="0" applyFill="1" applyBorder="1" applyAlignment="1">
      <alignment horizontal="left" vertical="center" indent="1"/>
    </xf>
    <xf numFmtId="0" fontId="16" fillId="34" borderId="0" xfId="0" applyFont="1" applyFill="1" applyAlignment="1">
      <alignment horizontal="left" vertical="top"/>
    </xf>
    <xf numFmtId="0" fontId="16" fillId="34" borderId="0" xfId="0" applyFont="1" applyFill="1" applyAlignment="1">
      <alignment horizontal="left" vertical="top" indent="18"/>
    </xf>
    <xf numFmtId="0" fontId="16" fillId="34" borderId="0" xfId="0" applyFont="1" applyFill="1" applyAlignment="1">
      <alignment horizontal="left" vertical="top" wrapText="1" indent="18"/>
    </xf>
    <xf numFmtId="1" fontId="0" fillId="35" borderId="10" xfId="0" applyNumberFormat="1" applyFill="1" applyBorder="1" applyAlignment="1">
      <alignment horizontal="left" vertical="center" indent="1"/>
    </xf>
    <xf numFmtId="165" fontId="0" fillId="35" borderId="10" xfId="0" applyNumberFormat="1" applyFill="1" applyBorder="1" applyAlignment="1">
      <alignment horizontal="left" vertical="center" indent="1"/>
    </xf>
    <xf numFmtId="12" fontId="0" fillId="35" borderId="10" xfId="0" applyNumberFormat="1" applyFill="1" applyBorder="1" applyAlignment="1">
      <alignment horizontal="left" vertical="center" indent="1"/>
    </xf>
    <xf numFmtId="0" fontId="6" fillId="2" borderId="10" xfId="7" applyBorder="1" applyAlignment="1">
      <alignment horizontal="center" vertical="center"/>
    </xf>
    <xf numFmtId="0" fontId="0" fillId="0" borderId="0" xfId="0" applyAlignment="1">
      <alignment wrapText="1"/>
    </xf>
    <xf numFmtId="0" fontId="49" fillId="60" borderId="0" xfId="0" applyFont="1" applyFill="1" applyAlignment="1">
      <alignment vertical="center"/>
    </xf>
    <xf numFmtId="0" fontId="0" fillId="60" borderId="0" xfId="0" applyFill="1" applyAlignment="1">
      <alignment vertical="center"/>
    </xf>
    <xf numFmtId="0" fontId="0" fillId="0" borderId="0" xfId="0" applyAlignment="1">
      <alignment vertical="center"/>
    </xf>
    <xf numFmtId="0" fontId="0" fillId="60" borderId="0" xfId="0" applyFill="1"/>
    <xf numFmtId="0" fontId="53" fillId="0" borderId="0" xfId="0" applyFont="1"/>
    <xf numFmtId="0" fontId="47" fillId="0" borderId="0" xfId="0" applyFont="1" applyAlignment="1">
      <alignment vertical="center"/>
    </xf>
    <xf numFmtId="0" fontId="48" fillId="59" borderId="0" xfId="0" applyFont="1" applyFill="1" applyAlignment="1">
      <alignment horizontal="center" vertical="center"/>
    </xf>
    <xf numFmtId="0" fontId="55" fillId="35" borderId="10" xfId="0" applyFont="1" applyFill="1" applyBorder="1" applyAlignment="1">
      <alignment horizontal="left" vertical="center" indent="1"/>
    </xf>
    <xf numFmtId="9" fontId="0" fillId="35" borderId="10" xfId="0" applyNumberFormat="1" applyFill="1" applyBorder="1" applyAlignment="1">
      <alignment horizontal="left" vertical="center" indent="1"/>
    </xf>
    <xf numFmtId="13" fontId="0" fillId="35" borderId="10" xfId="0" applyNumberFormat="1" applyFill="1" applyBorder="1" applyAlignment="1">
      <alignment horizontal="left" vertical="center" indent="1"/>
    </xf>
    <xf numFmtId="0" fontId="0" fillId="33" borderId="10" xfId="0" applyFill="1" applyBorder="1" applyAlignment="1" applyProtection="1">
      <alignment horizontal="center" vertical="center"/>
      <protection locked="0"/>
    </xf>
    <xf numFmtId="167" fontId="0" fillId="35" borderId="10" xfId="0" applyNumberFormat="1" applyFill="1" applyBorder="1" applyAlignment="1">
      <alignment horizontal="left" vertical="center" indent="1"/>
    </xf>
    <xf numFmtId="0" fontId="59" fillId="0" borderId="0" xfId="0" applyFont="1" applyAlignment="1">
      <alignment vertical="center"/>
    </xf>
    <xf numFmtId="43" fontId="0" fillId="35" borderId="10" xfId="1" applyFont="1" applyFill="1" applyBorder="1" applyAlignment="1">
      <alignment horizontal="left" vertical="center" indent="1"/>
    </xf>
    <xf numFmtId="0" fontId="53" fillId="0" borderId="0" xfId="0" applyFont="1" applyAlignment="1">
      <alignment vertical="top" wrapText="1"/>
    </xf>
    <xf numFmtId="0" fontId="46" fillId="0" borderId="0" xfId="0" applyFont="1" applyAlignment="1">
      <alignment vertical="top"/>
    </xf>
    <xf numFmtId="37" fontId="1" fillId="33" borderId="10" xfId="1" applyNumberFormat="1" applyFont="1" applyFill="1" applyBorder="1" applyAlignment="1" applyProtection="1">
      <alignment horizontal="center" vertical="center"/>
      <protection locked="0"/>
    </xf>
    <xf numFmtId="49" fontId="1" fillId="33" borderId="10" xfId="1" applyNumberFormat="1" applyFont="1" applyFill="1" applyBorder="1" applyAlignment="1" applyProtection="1">
      <alignment horizontal="center" vertical="center"/>
      <protection locked="0"/>
    </xf>
    <xf numFmtId="49" fontId="1" fillId="33" borderId="17" xfId="1" applyNumberFormat="1" applyFont="1" applyFill="1" applyBorder="1" applyAlignment="1" applyProtection="1">
      <alignment horizontal="center" vertical="center"/>
      <protection locked="0"/>
    </xf>
    <xf numFmtId="0" fontId="22" fillId="34" borderId="0" xfId="43" applyFont="1" applyFill="1" applyAlignment="1" applyProtection="1">
      <alignment horizontal="left" vertical="center" wrapText="1" indent="2"/>
      <protection hidden="1"/>
    </xf>
    <xf numFmtId="0" fontId="22" fillId="34" borderId="0" xfId="43" applyFont="1" applyFill="1" applyAlignment="1" applyProtection="1">
      <alignment horizontal="left" vertical="center" wrapText="1"/>
      <protection hidden="1"/>
    </xf>
    <xf numFmtId="0" fontId="0" fillId="62" borderId="0" xfId="0" applyFill="1" applyProtection="1">
      <protection hidden="1"/>
    </xf>
    <xf numFmtId="0" fontId="19" fillId="34" borderId="0" xfId="0" applyFont="1" applyFill="1" applyProtection="1">
      <protection hidden="1"/>
    </xf>
    <xf numFmtId="0" fontId="0" fillId="34" borderId="0" xfId="0" applyFill="1" applyProtection="1">
      <protection hidden="1"/>
    </xf>
    <xf numFmtId="0" fontId="24" fillId="0" borderId="0" xfId="43" applyFont="1" applyAlignment="1" applyProtection="1">
      <alignment vertical="center"/>
      <protection hidden="1"/>
    </xf>
    <xf numFmtId="0" fontId="24" fillId="34" borderId="0" xfId="43" applyFont="1" applyFill="1" applyAlignment="1" applyProtection="1">
      <alignment vertical="center"/>
      <protection hidden="1"/>
    </xf>
    <xf numFmtId="0" fontId="16" fillId="34" borderId="0" xfId="0" applyFont="1" applyFill="1" applyAlignment="1" applyProtection="1">
      <alignment horizontal="left"/>
      <protection hidden="1"/>
    </xf>
    <xf numFmtId="0" fontId="0" fillId="33" borderId="10" xfId="0" applyFill="1" applyBorder="1" applyAlignment="1" applyProtection="1">
      <alignment horizontal="left" vertical="center" indent="1"/>
      <protection hidden="1"/>
    </xf>
    <xf numFmtId="0" fontId="0" fillId="34" borderId="16" xfId="0" applyFill="1" applyBorder="1" applyAlignment="1" applyProtection="1">
      <alignment horizontal="left" vertical="center" wrapText="1" indent="1"/>
      <protection hidden="1"/>
    </xf>
    <xf numFmtId="0" fontId="0" fillId="34" borderId="16" xfId="0" applyFill="1" applyBorder="1" applyAlignment="1" applyProtection="1">
      <alignment horizontal="left" vertical="center" indent="1"/>
      <protection hidden="1"/>
    </xf>
    <xf numFmtId="0" fontId="0" fillId="35" borderId="10" xfId="0" applyFill="1" applyBorder="1" applyAlignment="1" applyProtection="1">
      <alignment horizontal="left" vertical="center" wrapText="1" indent="1"/>
      <protection hidden="1"/>
    </xf>
    <xf numFmtId="0" fontId="45" fillId="34" borderId="0" xfId="0" applyFont="1" applyFill="1" applyProtection="1">
      <protection hidden="1"/>
    </xf>
    <xf numFmtId="0" fontId="56" fillId="34" borderId="21" xfId="0" applyFont="1" applyFill="1" applyBorder="1" applyAlignment="1" applyProtection="1">
      <alignment horizontal="right"/>
      <protection hidden="1"/>
    </xf>
    <xf numFmtId="14" fontId="45" fillId="34" borderId="21" xfId="0" applyNumberFormat="1" applyFont="1" applyFill="1" applyBorder="1" applyAlignment="1" applyProtection="1">
      <alignment horizontal="center"/>
      <protection hidden="1"/>
    </xf>
    <xf numFmtId="0" fontId="0" fillId="34" borderId="0" xfId="0" applyFill="1" applyAlignment="1" applyProtection="1">
      <alignment vertical="center"/>
      <protection hidden="1"/>
    </xf>
    <xf numFmtId="0" fontId="0" fillId="0" borderId="0" xfId="0" applyAlignment="1" applyProtection="1">
      <alignment vertical="center"/>
      <protection hidden="1"/>
    </xf>
    <xf numFmtId="0" fontId="0" fillId="61" borderId="0" xfId="0" applyFill="1" applyProtection="1">
      <protection hidden="1"/>
    </xf>
    <xf numFmtId="0" fontId="0" fillId="0" borderId="0" xfId="0" applyProtection="1">
      <protection hidden="1"/>
    </xf>
    <xf numFmtId="0" fontId="16" fillId="34" borderId="0" xfId="0" applyFont="1" applyFill="1" applyAlignment="1" applyProtection="1">
      <alignment horizontal="center"/>
      <protection hidden="1"/>
    </xf>
    <xf numFmtId="0" fontId="0" fillId="34" borderId="0" xfId="0" applyFill="1" applyAlignment="1" applyProtection="1">
      <alignment horizontal="left" vertical="center" indent="1"/>
      <protection hidden="1"/>
    </xf>
    <xf numFmtId="0" fontId="0" fillId="34" borderId="0" xfId="0" applyFill="1" applyAlignment="1" applyProtection="1">
      <alignment horizontal="center" vertical="center"/>
      <protection hidden="1"/>
    </xf>
    <xf numFmtId="4" fontId="1" fillId="35" borderId="13" xfId="1" applyNumberFormat="1" applyFont="1" applyFill="1" applyBorder="1" applyAlignment="1" applyProtection="1">
      <alignment horizontal="center" vertical="center"/>
      <protection hidden="1"/>
    </xf>
    <xf numFmtId="7" fontId="1" fillId="35" borderId="19" xfId="1998" applyNumberFormat="1" applyFont="1" applyFill="1" applyBorder="1" applyAlignment="1" applyProtection="1">
      <alignment horizontal="center" vertical="center"/>
      <protection hidden="1"/>
    </xf>
    <xf numFmtId="0" fontId="44" fillId="34" borderId="0" xfId="0" applyFont="1" applyFill="1" applyAlignment="1" applyProtection="1">
      <alignment horizontal="left"/>
      <protection hidden="1"/>
    </xf>
    <xf numFmtId="39" fontId="1" fillId="35" borderId="10" xfId="1" applyNumberFormat="1" applyFont="1" applyFill="1" applyBorder="1" applyAlignment="1" applyProtection="1">
      <alignment horizontal="center" vertical="center"/>
      <protection hidden="1"/>
    </xf>
    <xf numFmtId="0" fontId="0" fillId="34" borderId="0" xfId="0" applyFill="1" applyAlignment="1" applyProtection="1">
      <alignment horizontal="left" vertical="top" wrapText="1"/>
      <protection hidden="1"/>
    </xf>
    <xf numFmtId="0" fontId="60" fillId="34" borderId="0" xfId="0" applyFont="1" applyFill="1" applyAlignment="1">
      <alignment horizontal="center" vertical="center"/>
    </xf>
    <xf numFmtId="0" fontId="60" fillId="34" borderId="0" xfId="0" applyFont="1" applyFill="1" applyAlignment="1">
      <alignment horizontal="left" vertical="center" wrapText="1"/>
    </xf>
    <xf numFmtId="1" fontId="60" fillId="34" borderId="0" xfId="0" applyNumberFormat="1" applyFont="1" applyFill="1" applyAlignment="1">
      <alignment horizontal="center" vertical="center"/>
    </xf>
    <xf numFmtId="166" fontId="60" fillId="34" borderId="0" xfId="0" applyNumberFormat="1" applyFont="1" applyFill="1" applyAlignment="1">
      <alignment horizontal="center" vertical="center"/>
    </xf>
    <xf numFmtId="3" fontId="60" fillId="34" borderId="0" xfId="0" applyNumberFormat="1" applyFont="1" applyFill="1" applyAlignment="1">
      <alignment horizontal="center" vertical="center"/>
    </xf>
    <xf numFmtId="169" fontId="60" fillId="34" borderId="0" xfId="0" applyNumberFormat="1" applyFont="1" applyFill="1" applyAlignment="1">
      <alignment horizontal="center" vertical="center"/>
    </xf>
    <xf numFmtId="0" fontId="60" fillId="34" borderId="0" xfId="0" applyFont="1" applyFill="1" applyAlignment="1">
      <alignment vertical="center"/>
    </xf>
    <xf numFmtId="0" fontId="61" fillId="34" borderId="0" xfId="0" applyFont="1" applyFill="1" applyAlignment="1">
      <alignment horizontal="center" vertical="center"/>
    </xf>
    <xf numFmtId="0" fontId="60" fillId="34" borderId="0" xfId="0" applyFont="1" applyFill="1" applyAlignment="1">
      <alignment horizontal="centerContinuous" vertical="center"/>
    </xf>
    <xf numFmtId="0" fontId="61" fillId="34" borderId="0" xfId="0" applyFont="1" applyFill="1" applyAlignment="1">
      <alignment horizontal="centerContinuous" vertical="center"/>
    </xf>
    <xf numFmtId="0" fontId="60" fillId="34" borderId="0" xfId="0" quotePrefix="1" applyFont="1" applyFill="1" applyAlignment="1">
      <alignment horizontal="centerContinuous" vertical="center"/>
    </xf>
    <xf numFmtId="0" fontId="64" fillId="34" borderId="0" xfId="0" applyFont="1" applyFill="1" applyAlignment="1">
      <alignment horizontal="centerContinuous" vertical="center" wrapText="1"/>
    </xf>
    <xf numFmtId="1" fontId="65" fillId="34" borderId="0" xfId="0" applyNumberFormat="1" applyFont="1" applyFill="1" applyAlignment="1">
      <alignment horizontal="centerContinuous" vertical="center"/>
    </xf>
    <xf numFmtId="0" fontId="65" fillId="34" borderId="0" xfId="0" applyFont="1" applyFill="1" applyAlignment="1">
      <alignment horizontal="centerContinuous" vertical="center"/>
    </xf>
    <xf numFmtId="166" fontId="65" fillId="34" borderId="0" xfId="0" applyNumberFormat="1" applyFont="1" applyFill="1" applyAlignment="1">
      <alignment horizontal="centerContinuous" vertical="center"/>
    </xf>
    <xf numFmtId="3" fontId="65" fillId="34" borderId="0" xfId="0" applyNumberFormat="1" applyFont="1" applyFill="1" applyAlignment="1">
      <alignment horizontal="centerContinuous" vertical="center"/>
    </xf>
    <xf numFmtId="169" fontId="65" fillId="34" borderId="0" xfId="0" applyNumberFormat="1" applyFont="1" applyFill="1" applyAlignment="1">
      <alignment horizontal="centerContinuous" vertical="center"/>
    </xf>
    <xf numFmtId="0" fontId="0" fillId="0" borderId="0" xfId="0" applyAlignment="1">
      <alignment vertical="top" wrapText="1"/>
    </xf>
    <xf numFmtId="0" fontId="66" fillId="34" borderId="0" xfId="0" applyFont="1" applyFill="1" applyAlignment="1">
      <alignment vertical="center" wrapText="1"/>
    </xf>
    <xf numFmtId="0" fontId="60" fillId="34" borderId="0" xfId="0" applyFont="1" applyFill="1" applyAlignment="1">
      <alignment vertical="center" wrapText="1"/>
    </xf>
    <xf numFmtId="0" fontId="61" fillId="34" borderId="0" xfId="0" applyFont="1" applyFill="1" applyAlignment="1">
      <alignment horizontal="center" vertical="center" wrapText="1"/>
    </xf>
    <xf numFmtId="0" fontId="69" fillId="34" borderId="0" xfId="0" applyFont="1" applyFill="1"/>
    <xf numFmtId="0" fontId="71" fillId="34" borderId="10" xfId="0" applyFont="1" applyFill="1" applyBorder="1" applyAlignment="1">
      <alignment horizontal="right" vertical="center" wrapText="1"/>
    </xf>
    <xf numFmtId="166" fontId="71" fillId="34" borderId="10" xfId="0" applyNumberFormat="1" applyFont="1" applyFill="1" applyBorder="1" applyAlignment="1">
      <alignment horizontal="left" vertical="center" wrapText="1"/>
    </xf>
    <xf numFmtId="3" fontId="71" fillId="34" borderId="10" xfId="0" applyNumberFormat="1" applyFont="1" applyFill="1" applyBorder="1" applyAlignment="1">
      <alignment horizontal="left" vertical="center" wrapText="1"/>
    </xf>
    <xf numFmtId="0" fontId="71" fillId="0" borderId="10" xfId="0" applyFont="1" applyBorder="1" applyAlignment="1">
      <alignment horizontal="right" vertical="center" wrapText="1"/>
    </xf>
    <xf numFmtId="164" fontId="71" fillId="34" borderId="10" xfId="0" applyNumberFormat="1" applyFont="1" applyFill="1" applyBorder="1" applyAlignment="1">
      <alignment horizontal="left" vertical="center"/>
    </xf>
    <xf numFmtId="0" fontId="71" fillId="34" borderId="0" xfId="0" applyFont="1" applyFill="1" applyAlignment="1">
      <alignment vertical="center"/>
    </xf>
    <xf numFmtId="0" fontId="73" fillId="34" borderId="0" xfId="0" applyFont="1" applyFill="1" applyAlignment="1">
      <alignment vertical="center"/>
    </xf>
    <xf numFmtId="0" fontId="75" fillId="34" borderId="38" xfId="0" applyFont="1" applyFill="1" applyBorder="1" applyAlignment="1">
      <alignment horizontal="center" vertical="center"/>
    </xf>
    <xf numFmtId="0" fontId="76" fillId="34" borderId="0" xfId="0" applyFont="1" applyFill="1" applyAlignment="1">
      <alignment horizontal="right" vertical="center" wrapText="1"/>
    </xf>
    <xf numFmtId="1" fontId="76" fillId="34" borderId="0" xfId="0" applyNumberFormat="1" applyFont="1" applyFill="1" applyAlignment="1">
      <alignment horizontal="center" vertical="center"/>
    </xf>
    <xf numFmtId="0" fontId="66" fillId="34" borderId="0" xfId="0" applyFont="1" applyFill="1" applyAlignment="1">
      <alignment horizontal="left" vertical="center" wrapText="1"/>
    </xf>
    <xf numFmtId="166" fontId="77" fillId="34" borderId="0" xfId="0" applyNumberFormat="1" applyFont="1" applyFill="1" applyAlignment="1">
      <alignment horizontal="center" vertical="top"/>
    </xf>
    <xf numFmtId="0" fontId="76" fillId="34" borderId="0" xfId="0" applyFont="1" applyFill="1" applyAlignment="1">
      <alignment vertical="center"/>
    </xf>
    <xf numFmtId="0" fontId="78" fillId="64" borderId="31" xfId="0" applyFont="1" applyFill="1" applyBorder="1" applyAlignment="1">
      <alignment horizontal="left" vertical="center" wrapText="1"/>
    </xf>
    <xf numFmtId="166" fontId="78" fillId="64" borderId="11" xfId="0" applyNumberFormat="1" applyFont="1" applyFill="1" applyBorder="1" applyAlignment="1">
      <alignment horizontal="center" vertical="center" wrapText="1"/>
    </xf>
    <xf numFmtId="3" fontId="78" fillId="64" borderId="11" xfId="0" applyNumberFormat="1" applyFont="1" applyFill="1" applyBorder="1" applyAlignment="1">
      <alignment horizontal="center" vertical="center" wrapText="1"/>
    </xf>
    <xf numFmtId="169" fontId="78" fillId="64" borderId="11" xfId="0" applyNumberFormat="1" applyFont="1" applyFill="1" applyBorder="1" applyAlignment="1">
      <alignment horizontal="center" vertical="center" wrapText="1"/>
    </xf>
    <xf numFmtId="166" fontId="78" fillId="64" borderId="32" xfId="0" applyNumberFormat="1" applyFont="1" applyFill="1" applyBorder="1" applyAlignment="1">
      <alignment horizontal="center" vertical="center" wrapText="1"/>
    </xf>
    <xf numFmtId="0" fontId="79" fillId="34" borderId="0" xfId="0" applyFont="1" applyFill="1" applyAlignment="1">
      <alignment horizontal="center" vertical="center"/>
    </xf>
    <xf numFmtId="1" fontId="76" fillId="34" borderId="0" xfId="0" quotePrefix="1" applyNumberFormat="1" applyFont="1" applyFill="1" applyAlignment="1">
      <alignment vertical="center"/>
    </xf>
    <xf numFmtId="2" fontId="76" fillId="34" borderId="0" xfId="0" quotePrefix="1" applyNumberFormat="1" applyFont="1" applyFill="1" applyAlignment="1">
      <alignment vertical="center"/>
    </xf>
    <xf numFmtId="2" fontId="76" fillId="34" borderId="31" xfId="0" applyNumberFormat="1" applyFont="1" applyFill="1" applyBorder="1" applyAlignment="1">
      <alignment horizontal="left" vertical="center" wrapText="1" indent="1"/>
    </xf>
    <xf numFmtId="0" fontId="76" fillId="34" borderId="31" xfId="0" applyFont="1" applyFill="1" applyBorder="1" applyAlignment="1">
      <alignment horizontal="left" vertical="center" wrapText="1" indent="1"/>
    </xf>
    <xf numFmtId="1" fontId="76" fillId="34" borderId="11" xfId="0" applyNumberFormat="1" applyFont="1" applyFill="1" applyBorder="1" applyAlignment="1">
      <alignment horizontal="center" vertical="center"/>
    </xf>
    <xf numFmtId="0" fontId="76" fillId="34" borderId="11" xfId="0" applyFont="1" applyFill="1" applyBorder="1" applyAlignment="1">
      <alignment horizontal="center" vertical="center"/>
    </xf>
    <xf numFmtId="166" fontId="76" fillId="34" borderId="11" xfId="0" applyNumberFormat="1" applyFont="1" applyFill="1" applyBorder="1" applyAlignment="1">
      <alignment horizontal="center" vertical="center"/>
    </xf>
    <xf numFmtId="3" fontId="76" fillId="34" borderId="11" xfId="0" applyNumberFormat="1" applyFont="1" applyFill="1" applyBorder="1" applyAlignment="1">
      <alignment horizontal="center" vertical="center"/>
    </xf>
    <xf numFmtId="0" fontId="69" fillId="65" borderId="0" xfId="0" applyFont="1" applyFill="1"/>
    <xf numFmtId="0" fontId="76" fillId="34" borderId="0" xfId="0" applyFont="1" applyFill="1" applyAlignment="1">
      <alignment horizontal="center" vertical="center"/>
    </xf>
    <xf numFmtId="0" fontId="76" fillId="34" borderId="0" xfId="0" applyFont="1" applyFill="1" applyAlignment="1">
      <alignment horizontal="left" vertical="center" wrapText="1"/>
    </xf>
    <xf numFmtId="166" fontId="76" fillId="34" borderId="0" xfId="0" applyNumberFormat="1" applyFont="1" applyFill="1" applyAlignment="1">
      <alignment horizontal="center" vertical="center"/>
    </xf>
    <xf numFmtId="3" fontId="76" fillId="34" borderId="0" xfId="0" applyNumberFormat="1" applyFont="1" applyFill="1" applyAlignment="1">
      <alignment horizontal="center" vertical="center"/>
    </xf>
    <xf numFmtId="169" fontId="76" fillId="34" borderId="0" xfId="0" applyNumberFormat="1" applyFont="1" applyFill="1" applyAlignment="1">
      <alignment horizontal="center" vertical="center"/>
    </xf>
    <xf numFmtId="0" fontId="79" fillId="34" borderId="0" xfId="0" applyFont="1" applyFill="1" applyAlignment="1">
      <alignment vertical="center"/>
    </xf>
    <xf numFmtId="0" fontId="16" fillId="0" borderId="21" xfId="0" applyFont="1" applyBorder="1" applyAlignment="1">
      <alignment horizontal="center" wrapText="1"/>
    </xf>
    <xf numFmtId="4" fontId="0" fillId="0" borderId="0" xfId="0" applyNumberFormat="1"/>
    <xf numFmtId="7" fontId="0" fillId="0" borderId="0" xfId="0" applyNumberFormat="1"/>
    <xf numFmtId="37" fontId="0" fillId="0" borderId="0" xfId="0" applyNumberFormat="1"/>
    <xf numFmtId="1" fontId="0" fillId="0" borderId="0" xfId="0" applyNumberFormat="1"/>
    <xf numFmtId="39" fontId="0" fillId="0" borderId="0" xfId="0" applyNumberFormat="1"/>
    <xf numFmtId="39" fontId="1" fillId="35" borderId="17" xfId="1" applyNumberFormat="1" applyFont="1" applyFill="1" applyBorder="1" applyAlignment="1" applyProtection="1">
      <alignment horizontal="center" vertical="center"/>
      <protection hidden="1"/>
    </xf>
    <xf numFmtId="7" fontId="1" fillId="35" borderId="20" xfId="1998" applyNumberFormat="1" applyFont="1" applyFill="1" applyBorder="1" applyAlignment="1" applyProtection="1">
      <alignment horizontal="center" vertical="center"/>
      <protection hidden="1"/>
    </xf>
    <xf numFmtId="49" fontId="0" fillId="35" borderId="10" xfId="0" applyNumberFormat="1" applyFill="1" applyBorder="1" applyAlignment="1">
      <alignment horizontal="left" vertical="center" indent="1"/>
    </xf>
    <xf numFmtId="49" fontId="6" fillId="2" borderId="10" xfId="7" applyNumberFormat="1" applyBorder="1" applyAlignment="1">
      <alignment horizontal="left" vertical="center" indent="1"/>
    </xf>
    <xf numFmtId="49" fontId="81" fillId="35" borderId="10" xfId="7" applyNumberFormat="1" applyFont="1" applyFill="1" applyBorder="1" applyAlignment="1">
      <alignment horizontal="left" vertical="center" indent="1"/>
    </xf>
    <xf numFmtId="0" fontId="0" fillId="34" borderId="10" xfId="0" applyFill="1" applyBorder="1"/>
    <xf numFmtId="0" fontId="0" fillId="66" borderId="10" xfId="0" applyFill="1" applyBorder="1"/>
    <xf numFmtId="0" fontId="0" fillId="34" borderId="0" xfId="0" applyFill="1" applyAlignment="1">
      <alignment horizontal="right"/>
    </xf>
    <xf numFmtId="0" fontId="0" fillId="35" borderId="10" xfId="0" applyFill="1" applyBorder="1"/>
    <xf numFmtId="14" fontId="0" fillId="33" borderId="14" xfId="0" applyNumberFormat="1" applyFill="1" applyBorder="1" applyAlignment="1" applyProtection="1">
      <alignment horizontal="left" vertical="center"/>
      <protection locked="0"/>
    </xf>
    <xf numFmtId="0" fontId="0" fillId="33" borderId="17" xfId="0" applyFill="1" applyBorder="1" applyAlignment="1" applyProtection="1">
      <alignment horizontal="left" vertical="center"/>
      <protection locked="0"/>
    </xf>
    <xf numFmtId="171" fontId="22" fillId="33" borderId="14" xfId="2000" applyNumberFormat="1" applyFont="1" applyFill="1" applyBorder="1" applyAlignment="1" applyProtection="1">
      <alignment horizontal="left" vertical="center"/>
      <protection locked="0" hidden="1"/>
    </xf>
    <xf numFmtId="39" fontId="0" fillId="35" borderId="10" xfId="0" applyNumberFormat="1" applyFill="1" applyBorder="1" applyAlignment="1">
      <alignment horizontal="left" vertical="center" indent="1"/>
    </xf>
    <xf numFmtId="164" fontId="45" fillId="34" borderId="0" xfId="0" applyNumberFormat="1" applyFont="1" applyFill="1" applyAlignment="1" applyProtection="1">
      <alignment horizontal="center"/>
      <protection hidden="1"/>
    </xf>
    <xf numFmtId="14" fontId="45" fillId="34" borderId="0" xfId="0" applyNumberFormat="1" applyFont="1" applyFill="1" applyAlignment="1" applyProtection="1">
      <alignment horizontal="center"/>
      <protection hidden="1"/>
    </xf>
    <xf numFmtId="3" fontId="1" fillId="35" borderId="13" xfId="1" applyNumberFormat="1" applyFont="1" applyFill="1" applyBorder="1" applyAlignment="1" applyProtection="1">
      <alignment horizontal="center" vertical="center"/>
      <protection hidden="1"/>
    </xf>
    <xf numFmtId="3" fontId="1" fillId="35" borderId="14" xfId="1" applyNumberFormat="1" applyFont="1" applyFill="1" applyBorder="1" applyAlignment="1" applyProtection="1">
      <alignment horizontal="center" vertical="center"/>
      <protection hidden="1"/>
    </xf>
    <xf numFmtId="49" fontId="1" fillId="33" borderId="19" xfId="1" applyNumberFormat="1" applyFont="1" applyFill="1" applyBorder="1" applyAlignment="1" applyProtection="1">
      <alignment horizontal="center" vertical="center"/>
      <protection locked="0"/>
    </xf>
    <xf numFmtId="49" fontId="1" fillId="33" borderId="20" xfId="1" applyNumberFormat="1" applyFont="1" applyFill="1" applyBorder="1" applyAlignment="1" applyProtection="1">
      <alignment horizontal="center" vertical="center"/>
      <protection locked="0"/>
    </xf>
    <xf numFmtId="166" fontId="57" fillId="36" borderId="37" xfId="0" applyNumberFormat="1" applyFont="1" applyFill="1" applyBorder="1" applyAlignment="1" applyProtection="1">
      <alignment horizontal="center" vertical="center"/>
      <protection hidden="1"/>
    </xf>
    <xf numFmtId="172" fontId="0" fillId="34" borderId="10" xfId="0" applyNumberFormat="1" applyFill="1" applyBorder="1" applyAlignment="1">
      <alignment horizontal="center" vertical="center"/>
    </xf>
    <xf numFmtId="4" fontId="0" fillId="34" borderId="10" xfId="0" applyNumberFormat="1" applyFill="1" applyBorder="1" applyAlignment="1">
      <alignment horizontal="center" vertical="center"/>
    </xf>
    <xf numFmtId="166" fontId="0" fillId="34" borderId="10" xfId="0" applyNumberFormat="1" applyFill="1" applyBorder="1" applyAlignment="1" applyProtection="1">
      <alignment horizontal="center" vertical="center"/>
      <protection hidden="1"/>
    </xf>
    <xf numFmtId="166" fontId="0" fillId="34" borderId="17" xfId="0" applyNumberFormat="1" applyFill="1" applyBorder="1" applyAlignment="1">
      <alignment horizontal="center" vertical="center"/>
    </xf>
    <xf numFmtId="0" fontId="17" fillId="69" borderId="0" xfId="0" applyFont="1" applyFill="1"/>
    <xf numFmtId="49" fontId="1" fillId="66" borderId="10" xfId="1" applyNumberFormat="1" applyFont="1" applyFill="1" applyBorder="1" applyAlignment="1" applyProtection="1">
      <alignment horizontal="center" vertical="center"/>
      <protection locked="0"/>
    </xf>
    <xf numFmtId="7" fontId="1" fillId="35" borderId="10" xfId="1998" applyNumberFormat="1" applyFont="1" applyFill="1" applyBorder="1" applyAlignment="1" applyProtection="1">
      <alignment horizontal="center" vertical="center"/>
      <protection hidden="1"/>
    </xf>
    <xf numFmtId="7" fontId="1" fillId="35" borderId="17" xfId="1998" applyNumberFormat="1" applyFont="1" applyFill="1" applyBorder="1" applyAlignment="1" applyProtection="1">
      <alignment horizontal="center" vertical="center"/>
      <protection hidden="1"/>
    </xf>
    <xf numFmtId="166" fontId="0" fillId="35" borderId="34" xfId="0" applyNumberFormat="1" applyFill="1" applyBorder="1" applyAlignment="1">
      <alignment horizontal="center" vertical="center"/>
    </xf>
    <xf numFmtId="0" fontId="0" fillId="34" borderId="0" xfId="0" applyFill="1" applyAlignment="1" applyProtection="1">
      <alignment vertical="top" wrapText="1"/>
      <protection hidden="1"/>
    </xf>
    <xf numFmtId="2" fontId="0" fillId="67" borderId="13" xfId="0" applyNumberFormat="1" applyFill="1" applyBorder="1" applyAlignment="1" applyProtection="1">
      <alignment horizontal="center" vertical="center"/>
      <protection locked="0"/>
    </xf>
    <xf numFmtId="0" fontId="0" fillId="34" borderId="0" xfId="0" applyFill="1" applyAlignment="1" applyProtection="1">
      <alignment vertical="top"/>
      <protection hidden="1"/>
    </xf>
    <xf numFmtId="0" fontId="0" fillId="34" borderId="16" xfId="0" applyFill="1" applyBorder="1" applyAlignment="1">
      <alignment horizontal="left" vertical="center" wrapText="1" indent="1"/>
    </xf>
    <xf numFmtId="0" fontId="0" fillId="34" borderId="10" xfId="0" applyFill="1" applyBorder="1" applyAlignment="1">
      <alignment horizontal="center" vertical="top" wrapText="1"/>
    </xf>
    <xf numFmtId="0" fontId="0" fillId="34" borderId="10" xfId="0" applyFill="1" applyBorder="1" applyAlignment="1">
      <alignment vertical="top" wrapText="1"/>
    </xf>
    <xf numFmtId="173" fontId="22" fillId="33" borderId="20" xfId="2000" applyNumberFormat="1" applyFont="1" applyFill="1" applyBorder="1" applyAlignment="1" applyProtection="1">
      <alignment horizontal="left" vertical="center"/>
      <protection locked="0" hidden="1"/>
    </xf>
    <xf numFmtId="0" fontId="0" fillId="33" borderId="17" xfId="0" applyFill="1" applyBorder="1" applyAlignment="1" applyProtection="1">
      <alignment horizontal="center" vertical="center"/>
      <protection locked="0"/>
    </xf>
    <xf numFmtId="4" fontId="1" fillId="35" borderId="14" xfId="1" applyNumberFormat="1" applyFont="1" applyFill="1" applyBorder="1" applyAlignment="1" applyProtection="1">
      <alignment horizontal="center" vertical="center"/>
      <protection hidden="1"/>
    </xf>
    <xf numFmtId="37" fontId="1" fillId="33" borderId="17" xfId="1" applyNumberFormat="1" applyFont="1" applyFill="1" applyBorder="1" applyAlignment="1" applyProtection="1">
      <alignment horizontal="center" vertical="center"/>
      <protection locked="0"/>
    </xf>
    <xf numFmtId="49" fontId="1" fillId="66" borderId="17" xfId="1" applyNumberFormat="1" applyFont="1" applyFill="1" applyBorder="1" applyAlignment="1" applyProtection="1">
      <alignment horizontal="center" vertical="center"/>
      <protection locked="0"/>
    </xf>
    <xf numFmtId="4" fontId="1" fillId="35" borderId="11" xfId="1" applyNumberFormat="1" applyFont="1" applyFill="1" applyBorder="1" applyAlignment="1" applyProtection="1">
      <alignment horizontal="center" vertical="center"/>
      <protection hidden="1"/>
    </xf>
    <xf numFmtId="4" fontId="1" fillId="35" borderId="43" xfId="1" applyNumberFormat="1" applyFont="1" applyFill="1" applyBorder="1" applyAlignment="1" applyProtection="1">
      <alignment horizontal="center" vertical="center"/>
      <protection hidden="1"/>
    </xf>
    <xf numFmtId="164" fontId="0" fillId="35" borderId="10" xfId="0" applyNumberFormat="1" applyFill="1" applyBorder="1" applyAlignment="1">
      <alignment horizontal="left" vertical="center" indent="1"/>
    </xf>
    <xf numFmtId="174" fontId="0" fillId="35" borderId="10" xfId="0" applyNumberFormat="1" applyFill="1" applyBorder="1" applyAlignment="1">
      <alignment horizontal="left" vertical="center" indent="1"/>
    </xf>
    <xf numFmtId="0" fontId="0" fillId="33" borderId="20" xfId="0" applyFill="1" applyBorder="1" applyAlignment="1" applyProtection="1">
      <alignment horizontal="left" vertical="center"/>
      <protection locked="0"/>
    </xf>
    <xf numFmtId="2" fontId="0" fillId="67" borderId="41" xfId="0" applyNumberFormat="1" applyFill="1" applyBorder="1" applyAlignment="1" applyProtection="1">
      <alignment horizontal="center" vertical="center"/>
      <protection locked="0"/>
    </xf>
    <xf numFmtId="49" fontId="1" fillId="33" borderId="44" xfId="1" applyNumberFormat="1" applyFont="1" applyFill="1" applyBorder="1" applyAlignment="1" applyProtection="1">
      <alignment horizontal="center" vertical="center"/>
      <protection locked="0"/>
    </xf>
    <xf numFmtId="2" fontId="0" fillId="67" borderId="14" xfId="0" applyNumberFormat="1" applyFill="1" applyBorder="1" applyAlignment="1" applyProtection="1">
      <alignment horizontal="center" vertical="center"/>
      <protection locked="0"/>
    </xf>
    <xf numFmtId="3" fontId="1" fillId="35" borderId="41" xfId="1" applyNumberFormat="1" applyFont="1" applyFill="1" applyBorder="1" applyAlignment="1" applyProtection="1">
      <alignment horizontal="center" vertical="center"/>
      <protection hidden="1"/>
    </xf>
    <xf numFmtId="4" fontId="1" fillId="35" borderId="31" xfId="1" applyNumberFormat="1" applyFont="1" applyFill="1" applyBorder="1" applyAlignment="1" applyProtection="1">
      <alignment horizontal="center" vertical="center"/>
      <protection hidden="1"/>
    </xf>
    <xf numFmtId="166" fontId="1" fillId="33" borderId="10" xfId="1998" applyNumberFormat="1" applyFont="1" applyFill="1" applyBorder="1" applyAlignment="1" applyProtection="1">
      <alignment horizontal="center" vertical="center"/>
      <protection locked="0"/>
    </xf>
    <xf numFmtId="3" fontId="0" fillId="33" borderId="10" xfId="1" applyNumberFormat="1" applyFont="1" applyFill="1" applyBorder="1" applyAlignment="1" applyProtection="1">
      <alignment horizontal="center" vertical="center"/>
      <protection hidden="1"/>
    </xf>
    <xf numFmtId="166" fontId="1" fillId="33" borderId="17" xfId="1998" applyNumberFormat="1" applyFont="1" applyFill="1" applyBorder="1" applyAlignment="1" applyProtection="1">
      <alignment horizontal="center" vertical="center"/>
      <protection locked="0"/>
    </xf>
    <xf numFmtId="3" fontId="0" fillId="33" borderId="17" xfId="1" applyNumberFormat="1" applyFont="1" applyFill="1" applyBorder="1" applyAlignment="1" applyProtection="1">
      <alignment horizontal="center" vertical="center"/>
      <protection hidden="1"/>
    </xf>
    <xf numFmtId="39" fontId="0" fillId="33" borderId="19" xfId="1" applyNumberFormat="1" applyFont="1" applyFill="1" applyBorder="1" applyAlignment="1" applyProtection="1">
      <alignment horizontal="center" vertical="center"/>
      <protection hidden="1"/>
    </xf>
    <xf numFmtId="39" fontId="0" fillId="33" borderId="20" xfId="1" applyNumberFormat="1" applyFont="1" applyFill="1" applyBorder="1" applyAlignment="1" applyProtection="1">
      <alignment horizontal="center" vertical="center"/>
      <protection hidden="1"/>
    </xf>
    <xf numFmtId="4" fontId="1" fillId="35" borderId="41" xfId="1" applyNumberFormat="1" applyFont="1" applyFill="1" applyBorder="1" applyAlignment="1" applyProtection="1">
      <alignment horizontal="center" vertical="center"/>
      <protection hidden="1"/>
    </xf>
    <xf numFmtId="39" fontId="0" fillId="33" borderId="44" xfId="1" applyNumberFormat="1" applyFont="1" applyFill="1" applyBorder="1" applyAlignment="1" applyProtection="1">
      <alignment horizontal="center" vertical="center"/>
      <protection hidden="1"/>
    </xf>
    <xf numFmtId="49" fontId="81" fillId="66" borderId="17" xfId="1" applyNumberFormat="1" applyFont="1" applyFill="1" applyBorder="1" applyAlignment="1" applyProtection="1">
      <alignment horizontal="center" vertical="center"/>
      <protection locked="0"/>
    </xf>
    <xf numFmtId="0" fontId="81" fillId="33" borderId="17" xfId="0" applyFont="1" applyFill="1" applyBorder="1" applyAlignment="1" applyProtection="1">
      <alignment horizontal="center" vertical="center"/>
      <protection locked="0"/>
    </xf>
    <xf numFmtId="49" fontId="0" fillId="66" borderId="17" xfId="1" applyNumberFormat="1" applyFont="1" applyFill="1" applyBorder="1" applyAlignment="1" applyProtection="1">
      <alignment horizontal="center" vertical="center"/>
      <protection locked="0"/>
    </xf>
    <xf numFmtId="49" fontId="0" fillId="33" borderId="17" xfId="1" applyNumberFormat="1" applyFont="1" applyFill="1" applyBorder="1" applyAlignment="1" applyProtection="1">
      <alignment horizontal="center" vertical="center"/>
      <protection locked="0"/>
    </xf>
    <xf numFmtId="7" fontId="1" fillId="35" borderId="44" xfId="1998" applyNumberFormat="1" applyFont="1" applyFill="1" applyBorder="1" applyAlignment="1" applyProtection="1">
      <alignment horizontal="center" vertical="center"/>
      <protection hidden="1"/>
    </xf>
    <xf numFmtId="0" fontId="16" fillId="33" borderId="0" xfId="0" applyFont="1" applyFill="1"/>
    <xf numFmtId="164" fontId="16" fillId="33" borderId="0" xfId="0" applyNumberFormat="1" applyFont="1" applyFill="1"/>
    <xf numFmtId="14" fontId="16" fillId="33" borderId="0" xfId="0" applyNumberFormat="1" applyFont="1" applyFill="1" applyAlignment="1">
      <alignment horizontal="right"/>
    </xf>
    <xf numFmtId="0" fontId="0" fillId="34" borderId="45" xfId="0" applyFill="1" applyBorder="1" applyAlignment="1">
      <alignment vertical="top" wrapText="1"/>
    </xf>
    <xf numFmtId="0" fontId="0" fillId="34" borderId="45" xfId="0" applyFill="1" applyBorder="1" applyAlignment="1">
      <alignment horizontal="left" vertical="center" indent="1"/>
    </xf>
    <xf numFmtId="0" fontId="0" fillId="36" borderId="46" xfId="0" applyFill="1" applyBorder="1" applyAlignment="1" applyProtection="1">
      <alignment horizontal="left" vertical="center" indent="1"/>
      <protection hidden="1"/>
    </xf>
    <xf numFmtId="7" fontId="1" fillId="35" borderId="47" xfId="1998" applyNumberFormat="1" applyFont="1" applyFill="1" applyBorder="1" applyAlignment="1" applyProtection="1">
      <alignment horizontal="center" vertical="center"/>
      <protection hidden="1"/>
    </xf>
    <xf numFmtId="0" fontId="0" fillId="35" borderId="10" xfId="0" applyFill="1" applyBorder="1" applyAlignment="1">
      <alignment vertical="center" wrapText="1"/>
    </xf>
    <xf numFmtId="0" fontId="0" fillId="0" borderId="48" xfId="0" applyBorder="1"/>
    <xf numFmtId="0" fontId="0" fillId="0" borderId="49" xfId="0" applyBorder="1"/>
    <xf numFmtId="0" fontId="0" fillId="0" borderId="50" xfId="0" applyBorder="1"/>
    <xf numFmtId="0" fontId="0" fillId="0" borderId="51" xfId="0" applyBorder="1"/>
    <xf numFmtId="0" fontId="0" fillId="70" borderId="48" xfId="0" applyFill="1" applyBorder="1"/>
    <xf numFmtId="0" fontId="0" fillId="70" borderId="49" xfId="0" applyFill="1" applyBorder="1"/>
    <xf numFmtId="0" fontId="0" fillId="70" borderId="50" xfId="0" applyFill="1" applyBorder="1"/>
    <xf numFmtId="0" fontId="0" fillId="70" borderId="51" xfId="0" applyFill="1" applyBorder="1"/>
    <xf numFmtId="0" fontId="0" fillId="63" borderId="10" xfId="0" applyFill="1" applyBorder="1" applyAlignment="1">
      <alignment vertical="center" wrapText="1"/>
    </xf>
    <xf numFmtId="2" fontId="0" fillId="70" borderId="48" xfId="0" applyNumberFormat="1" applyFill="1" applyBorder="1"/>
    <xf numFmtId="2" fontId="0" fillId="70" borderId="49" xfId="0" applyNumberFormat="1" applyFill="1" applyBorder="1"/>
    <xf numFmtId="2" fontId="0" fillId="70" borderId="50" xfId="0" applyNumberFormat="1" applyFill="1" applyBorder="1"/>
    <xf numFmtId="2" fontId="0" fillId="70" borderId="51" xfId="0" applyNumberFormat="1" applyFill="1" applyBorder="1"/>
    <xf numFmtId="0" fontId="16" fillId="61" borderId="48" xfId="0" applyFont="1" applyFill="1" applyBorder="1"/>
    <xf numFmtId="0" fontId="16" fillId="61" borderId="49" xfId="0" applyFont="1" applyFill="1" applyBorder="1"/>
    <xf numFmtId="0" fontId="16" fillId="61" borderId="50" xfId="0" applyFont="1" applyFill="1" applyBorder="1"/>
    <xf numFmtId="0" fontId="16" fillId="61" borderId="51" xfId="0" applyFont="1" applyFill="1" applyBorder="1"/>
    <xf numFmtId="12" fontId="0" fillId="70" borderId="49" xfId="0" applyNumberFormat="1" applyFill="1" applyBorder="1"/>
    <xf numFmtId="14" fontId="0" fillId="70" borderId="10" xfId="0" applyNumberFormat="1" applyFill="1" applyBorder="1" applyAlignment="1">
      <alignment wrapText="1"/>
    </xf>
    <xf numFmtId="13" fontId="0" fillId="70" borderId="50" xfId="0" applyNumberFormat="1" applyFill="1" applyBorder="1"/>
    <xf numFmtId="14" fontId="0" fillId="70" borderId="10" xfId="0" applyNumberFormat="1" applyFill="1" applyBorder="1"/>
    <xf numFmtId="0" fontId="16" fillId="0" borderId="0" xfId="0" applyFont="1"/>
    <xf numFmtId="0" fontId="84" fillId="66" borderId="55" xfId="0" applyFont="1" applyFill="1" applyBorder="1" applyAlignment="1">
      <alignment horizontal="center" vertical="center"/>
    </xf>
    <xf numFmtId="0" fontId="0" fillId="0" borderId="56" xfId="0" applyBorder="1"/>
    <xf numFmtId="0" fontId="16" fillId="0" borderId="57" xfId="0" applyFont="1" applyBorder="1"/>
    <xf numFmtId="0" fontId="0" fillId="0" borderId="57" xfId="0" applyBorder="1"/>
    <xf numFmtId="0" fontId="0" fillId="0" borderId="58" xfId="0" applyBorder="1"/>
    <xf numFmtId="0" fontId="0" fillId="0" borderId="62" xfId="0" applyBorder="1"/>
    <xf numFmtId="0" fontId="0" fillId="0" borderId="63" xfId="0" applyBorder="1"/>
    <xf numFmtId="0" fontId="16" fillId="0" borderId="64" xfId="0" applyFont="1" applyBorder="1" applyAlignment="1">
      <alignment horizontal="center"/>
    </xf>
    <xf numFmtId="0" fontId="16" fillId="0" borderId="65" xfId="0" applyFont="1" applyBorder="1" applyAlignment="1">
      <alignment horizontal="center"/>
    </xf>
    <xf numFmtId="0" fontId="16" fillId="0" borderId="66" xfId="0" applyFont="1" applyBorder="1" applyAlignment="1">
      <alignment horizontal="center"/>
    </xf>
    <xf numFmtId="0" fontId="16" fillId="0" borderId="62" xfId="0" applyFont="1" applyBorder="1"/>
    <xf numFmtId="0" fontId="0" fillId="0" borderId="67" xfId="0" applyBorder="1" applyAlignment="1">
      <alignment horizontal="center"/>
    </xf>
    <xf numFmtId="0" fontId="0" fillId="0" borderId="68" xfId="0" applyBorder="1" applyAlignment="1">
      <alignment horizontal="center"/>
    </xf>
    <xf numFmtId="0" fontId="0" fillId="73" borderId="0" xfId="0" applyFill="1"/>
    <xf numFmtId="0" fontId="0" fillId="71" borderId="0" xfId="0" applyFill="1"/>
    <xf numFmtId="0" fontId="0" fillId="0" borderId="69" xfId="0" applyBorder="1"/>
    <xf numFmtId="0" fontId="0" fillId="0" borderId="70" xfId="0" applyBorder="1"/>
    <xf numFmtId="0" fontId="0" fillId="0" borderId="71" xfId="0" applyBorder="1"/>
    <xf numFmtId="166" fontId="0" fillId="0" borderId="17" xfId="0" applyNumberFormat="1" applyBorder="1" applyAlignment="1">
      <alignment horizontal="center"/>
    </xf>
    <xf numFmtId="166" fontId="0" fillId="0" borderId="44" xfId="0" applyNumberFormat="1" applyBorder="1" applyAlignment="1">
      <alignment horizontal="center"/>
    </xf>
    <xf numFmtId="166" fontId="0" fillId="0" borderId="20" xfId="0" applyNumberFormat="1" applyBorder="1" applyAlignment="1">
      <alignment horizontal="center"/>
    </xf>
    <xf numFmtId="0" fontId="0" fillId="0" borderId="0" xfId="0" applyAlignment="1">
      <alignment horizontal="center" vertical="center"/>
    </xf>
    <xf numFmtId="0" fontId="0" fillId="33" borderId="0" xfId="0" applyFill="1" applyAlignment="1">
      <alignment horizontal="center" vertical="center"/>
    </xf>
    <xf numFmtId="0" fontId="0" fillId="0" borderId="10" xfId="0" applyBorder="1" applyAlignment="1">
      <alignment horizontal="center" vertical="center"/>
    </xf>
    <xf numFmtId="14" fontId="0" fillId="0" borderId="0" xfId="0" applyNumberFormat="1" applyAlignment="1">
      <alignment horizontal="center" vertical="center"/>
    </xf>
    <xf numFmtId="44" fontId="0" fillId="0" borderId="10" xfId="1998" applyFont="1" applyBorder="1" applyAlignment="1">
      <alignment horizontal="center" vertical="center"/>
    </xf>
    <xf numFmtId="0" fontId="0" fillId="0" borderId="42" xfId="0" applyBorder="1" applyAlignment="1">
      <alignment horizontal="center" vertical="center"/>
    </xf>
    <xf numFmtId="14" fontId="0" fillId="0" borderId="42" xfId="0" applyNumberFormat="1" applyBorder="1" applyAlignment="1">
      <alignment horizontal="center" vertical="center"/>
    </xf>
    <xf numFmtId="14" fontId="0" fillId="0" borderId="10" xfId="0" applyNumberFormat="1" applyBorder="1" applyAlignment="1">
      <alignment horizontal="center" vertical="center"/>
    </xf>
    <xf numFmtId="9" fontId="0" fillId="0" borderId="10" xfId="1998" applyNumberFormat="1" applyFont="1" applyBorder="1" applyAlignment="1">
      <alignment horizontal="center" vertical="center"/>
    </xf>
    <xf numFmtId="166" fontId="0" fillId="0" borderId="10" xfId="1998" applyNumberFormat="1" applyFont="1" applyBorder="1" applyAlignment="1">
      <alignment horizontal="center" vertical="center"/>
    </xf>
    <xf numFmtId="166" fontId="0" fillId="0" borderId="42" xfId="1998" applyNumberFormat="1" applyFont="1" applyBorder="1" applyAlignment="1">
      <alignment horizontal="center" vertical="center"/>
    </xf>
    <xf numFmtId="169" fontId="0" fillId="0" borderId="10" xfId="1998" applyNumberFormat="1" applyFont="1" applyBorder="1" applyAlignment="1">
      <alignment horizontal="center" vertical="center"/>
    </xf>
    <xf numFmtId="166" fontId="0" fillId="33" borderId="0" xfId="0" applyNumberFormat="1" applyFill="1" applyAlignment="1">
      <alignment horizontal="center" vertical="center"/>
    </xf>
    <xf numFmtId="9" fontId="0" fillId="33" borderId="0" xfId="0" applyNumberFormat="1" applyFill="1" applyAlignment="1">
      <alignment horizontal="center" vertical="center"/>
    </xf>
    <xf numFmtId="169" fontId="0" fillId="33" borderId="0" xfId="0" applyNumberFormat="1" applyFill="1" applyAlignment="1">
      <alignment horizontal="center" vertical="center"/>
    </xf>
    <xf numFmtId="2" fontId="0" fillId="35" borderId="10" xfId="0" applyNumberFormat="1" applyFill="1" applyBorder="1"/>
    <xf numFmtId="14" fontId="0" fillId="0" borderId="10" xfId="0" applyNumberFormat="1" applyBorder="1" applyAlignment="1">
      <alignment horizontal="left" vertical="center" indent="1"/>
    </xf>
    <xf numFmtId="0" fontId="0" fillId="0" borderId="10" xfId="0" applyBorder="1" applyAlignment="1">
      <alignment horizontal="left" vertical="center" indent="1"/>
    </xf>
    <xf numFmtId="0" fontId="0" fillId="0" borderId="10" xfId="0" applyBorder="1" applyAlignment="1">
      <alignment horizontal="left" vertical="center" wrapText="1" indent="1"/>
    </xf>
    <xf numFmtId="0" fontId="0" fillId="0" borderId="16" xfId="0" applyBorder="1" applyAlignment="1">
      <alignment horizontal="left" vertical="center" indent="1"/>
    </xf>
    <xf numFmtId="0" fontId="0" fillId="36" borderId="72" xfId="0" applyFill="1" applyBorder="1" applyAlignment="1" applyProtection="1">
      <alignment horizontal="left" vertical="center" indent="1"/>
      <protection hidden="1"/>
    </xf>
    <xf numFmtId="7" fontId="1" fillId="35" borderId="73" xfId="1998" applyNumberFormat="1" applyFont="1" applyFill="1" applyBorder="1" applyAlignment="1" applyProtection="1">
      <alignment horizontal="center" vertical="center"/>
      <protection hidden="1"/>
    </xf>
    <xf numFmtId="3" fontId="1" fillId="35" borderId="75" xfId="1" applyNumberFormat="1" applyFont="1" applyFill="1" applyBorder="1" applyAlignment="1" applyProtection="1">
      <alignment horizontal="center" vertical="center"/>
      <protection hidden="1"/>
    </xf>
    <xf numFmtId="4" fontId="1" fillId="35" borderId="77" xfId="1" applyNumberFormat="1" applyFont="1" applyFill="1" applyBorder="1" applyAlignment="1" applyProtection="1">
      <alignment horizontal="center" vertical="center"/>
      <protection hidden="1"/>
    </xf>
    <xf numFmtId="39" fontId="1" fillId="35" borderId="79" xfId="1" applyNumberFormat="1" applyFont="1" applyFill="1" applyBorder="1" applyAlignment="1" applyProtection="1">
      <alignment horizontal="center" vertical="center"/>
      <protection hidden="1"/>
    </xf>
    <xf numFmtId="39" fontId="1" fillId="35" borderId="20" xfId="1" applyNumberFormat="1" applyFont="1" applyFill="1" applyBorder="1" applyAlignment="1" applyProtection="1">
      <alignment horizontal="center" vertical="center"/>
      <protection hidden="1"/>
    </xf>
    <xf numFmtId="0" fontId="13" fillId="74" borderId="12" xfId="0" applyFont="1" applyFill="1" applyBorder="1" applyAlignment="1" applyProtection="1">
      <alignment horizontal="right" vertical="center" indent="1"/>
      <protection hidden="1"/>
    </xf>
    <xf numFmtId="0" fontId="13" fillId="74" borderId="15" xfId="0" applyFont="1" applyFill="1" applyBorder="1" applyAlignment="1" applyProtection="1">
      <alignment horizontal="right" vertical="center" indent="1"/>
      <protection hidden="1"/>
    </xf>
    <xf numFmtId="0" fontId="13" fillId="74" borderId="39" xfId="0" applyFont="1" applyFill="1" applyBorder="1" applyAlignment="1" applyProtection="1">
      <alignment horizontal="right" vertical="center" wrapText="1" indent="1"/>
      <protection hidden="1"/>
    </xf>
    <xf numFmtId="0" fontId="13" fillId="74" borderId="40" xfId="0" applyFont="1" applyFill="1" applyBorder="1" applyAlignment="1" applyProtection="1">
      <alignment horizontal="right" vertical="center" indent="1"/>
      <protection hidden="1"/>
    </xf>
    <xf numFmtId="0" fontId="13" fillId="74" borderId="12" xfId="0" applyFont="1" applyFill="1" applyBorder="1" applyAlignment="1" applyProtection="1">
      <alignment horizontal="right" vertical="center" wrapText="1" indent="1"/>
      <protection hidden="1"/>
    </xf>
    <xf numFmtId="0" fontId="13" fillId="74" borderId="18" xfId="0" applyFont="1" applyFill="1" applyBorder="1" applyAlignment="1" applyProtection="1">
      <alignment horizontal="right" vertical="center" indent="1"/>
      <protection hidden="1"/>
    </xf>
    <xf numFmtId="0" fontId="13" fillId="74" borderId="10" xfId="0" applyFont="1" applyFill="1" applyBorder="1" applyAlignment="1" applyProtection="1">
      <alignment horizontal="center" vertical="center"/>
      <protection hidden="1"/>
    </xf>
    <xf numFmtId="0" fontId="85" fillId="74" borderId="18" xfId="0" applyFont="1" applyFill="1" applyBorder="1" applyAlignment="1" applyProtection="1">
      <alignment horizontal="center" vertical="center"/>
      <protection hidden="1"/>
    </xf>
    <xf numFmtId="166" fontId="85" fillId="74" borderId="19" xfId="0" applyNumberFormat="1" applyFont="1" applyFill="1" applyBorder="1" applyAlignment="1" applyProtection="1">
      <alignment horizontal="center" vertical="center"/>
      <protection hidden="1"/>
    </xf>
    <xf numFmtId="0" fontId="0" fillId="34" borderId="15" xfId="0" applyFill="1" applyBorder="1" applyAlignment="1">
      <alignment horizontal="center" vertical="center"/>
    </xf>
    <xf numFmtId="0" fontId="17" fillId="74" borderId="12" xfId="0" applyFont="1" applyFill="1" applyBorder="1" applyAlignment="1" applyProtection="1">
      <alignment horizontal="left" vertical="center" indent="1"/>
      <protection hidden="1"/>
    </xf>
    <xf numFmtId="0" fontId="17" fillId="74" borderId="15" xfId="0" applyFont="1" applyFill="1" applyBorder="1" applyAlignment="1" applyProtection="1">
      <alignment horizontal="left" vertical="center" indent="1"/>
      <protection hidden="1"/>
    </xf>
    <xf numFmtId="0" fontId="17" fillId="74" borderId="18" xfId="0" applyFont="1" applyFill="1" applyBorder="1" applyAlignment="1" applyProtection="1">
      <alignment horizontal="left" vertical="center" indent="1"/>
      <protection hidden="1"/>
    </xf>
    <xf numFmtId="0" fontId="17" fillId="74" borderId="74" xfId="0" applyFont="1" applyFill="1" applyBorder="1" applyAlignment="1" applyProtection="1">
      <alignment horizontal="left" vertical="center" indent="1"/>
      <protection hidden="1"/>
    </xf>
    <xf numFmtId="0" fontId="17" fillId="74" borderId="78" xfId="0" applyFont="1" applyFill="1" applyBorder="1" applyAlignment="1" applyProtection="1">
      <alignment horizontal="left" vertical="center" indent="1"/>
      <protection hidden="1"/>
    </xf>
    <xf numFmtId="0" fontId="17" fillId="74" borderId="15" xfId="0" applyFont="1" applyFill="1" applyBorder="1" applyAlignment="1" applyProtection="1">
      <alignment horizontal="left" vertical="center" wrapText="1" indent="1"/>
      <protection hidden="1"/>
    </xf>
    <xf numFmtId="0" fontId="17" fillId="74" borderId="76" xfId="0" applyFont="1" applyFill="1" applyBorder="1" applyAlignment="1" applyProtection="1">
      <alignment horizontal="left" vertical="center" indent="1"/>
      <protection hidden="1"/>
    </xf>
    <xf numFmtId="0" fontId="88" fillId="34" borderId="0" xfId="0" applyFont="1" applyFill="1" applyProtection="1">
      <protection hidden="1"/>
    </xf>
    <xf numFmtId="0" fontId="86" fillId="34" borderId="0" xfId="0" applyFont="1" applyFill="1" applyProtection="1">
      <protection hidden="1"/>
    </xf>
    <xf numFmtId="0" fontId="0" fillId="74" borderId="0" xfId="0" applyFill="1"/>
    <xf numFmtId="0" fontId="16" fillId="0" borderId="0" xfId="0" applyFont="1" applyAlignment="1">
      <alignment horizontal="center"/>
    </xf>
    <xf numFmtId="0" fontId="0" fillId="35" borderId="80" xfId="0" applyFill="1" applyBorder="1" applyAlignment="1">
      <alignment vertical="center" wrapText="1"/>
    </xf>
    <xf numFmtId="2" fontId="81" fillId="63" borderId="80" xfId="0" applyNumberFormat="1" applyFont="1" applyFill="1" applyBorder="1" applyAlignment="1">
      <alignment horizontal="center" vertical="center" wrapText="1"/>
    </xf>
    <xf numFmtId="164" fontId="0" fillId="34" borderId="81" xfId="0" applyNumberFormat="1" applyFill="1" applyBorder="1" applyAlignment="1">
      <alignment horizontal="left" vertical="center"/>
    </xf>
    <xf numFmtId="0" fontId="0" fillId="34" borderId="80" xfId="0" applyFill="1" applyBorder="1" applyAlignment="1">
      <alignment horizontal="left" vertical="center" indent="1"/>
    </xf>
    <xf numFmtId="0" fontId="0" fillId="34" borderId="80" xfId="0" applyFill="1" applyBorder="1" applyAlignment="1">
      <alignment horizontal="left" vertical="center" wrapText="1" indent="1"/>
    </xf>
    <xf numFmtId="0" fontId="0" fillId="34" borderId="82" xfId="0" applyFill="1" applyBorder="1" applyAlignment="1">
      <alignment horizontal="left" vertical="center" indent="1"/>
    </xf>
    <xf numFmtId="0" fontId="0" fillId="36" borderId="84" xfId="0" applyFill="1" applyBorder="1" applyAlignment="1" applyProtection="1">
      <alignment horizontal="left" vertical="center" indent="1"/>
      <protection hidden="1"/>
    </xf>
    <xf numFmtId="0" fontId="0" fillId="33" borderId="83" xfId="0" applyFill="1" applyBorder="1" applyAlignment="1" applyProtection="1">
      <alignment horizontal="center" vertical="center"/>
      <protection locked="0"/>
    </xf>
    <xf numFmtId="49" fontId="1" fillId="33" borderId="83" xfId="1" applyNumberFormat="1" applyFont="1" applyFill="1" applyBorder="1" applyAlignment="1" applyProtection="1">
      <alignment horizontal="center" vertical="center"/>
      <protection locked="0"/>
    </xf>
    <xf numFmtId="37" fontId="1" fillId="33" borderId="83" xfId="1" applyNumberFormat="1" applyFont="1" applyFill="1" applyBorder="1" applyAlignment="1" applyProtection="1">
      <alignment horizontal="center" vertical="center"/>
      <protection locked="0"/>
    </xf>
    <xf numFmtId="166" fontId="1" fillId="33" borderId="86" xfId="1998" applyNumberFormat="1" applyFont="1" applyFill="1" applyBorder="1" applyAlignment="1" applyProtection="1">
      <alignment horizontal="center" vertical="center"/>
      <protection locked="0"/>
    </xf>
    <xf numFmtId="166" fontId="1" fillId="33" borderId="87" xfId="1998" applyNumberFormat="1" applyFont="1" applyFill="1" applyBorder="1" applyAlignment="1" applyProtection="1">
      <alignment horizontal="center" vertical="center"/>
      <protection locked="0"/>
    </xf>
    <xf numFmtId="39" fontId="1" fillId="35" borderId="83" xfId="1" applyNumberFormat="1" applyFont="1" applyFill="1" applyBorder="1" applyAlignment="1" applyProtection="1">
      <alignment horizontal="center" vertical="center"/>
      <protection hidden="1"/>
    </xf>
    <xf numFmtId="7" fontId="1" fillId="35" borderId="83" xfId="1998" applyNumberFormat="1" applyFont="1" applyFill="1" applyBorder="1" applyAlignment="1" applyProtection="1">
      <alignment horizontal="center" vertical="center"/>
      <protection hidden="1"/>
    </xf>
    <xf numFmtId="49" fontId="1" fillId="66" borderId="83" xfId="1" applyNumberFormat="1" applyFont="1" applyFill="1" applyBorder="1" applyAlignment="1" applyProtection="1">
      <alignment horizontal="center" vertical="center"/>
      <protection locked="0"/>
    </xf>
    <xf numFmtId="166" fontId="1" fillId="33" borderId="83" xfId="1998" applyNumberFormat="1" applyFont="1" applyFill="1" applyBorder="1" applyAlignment="1" applyProtection="1">
      <alignment horizontal="center" vertical="center"/>
      <protection locked="0"/>
    </xf>
    <xf numFmtId="3" fontId="0" fillId="33" borderId="83" xfId="1" applyNumberFormat="1" applyFont="1" applyFill="1" applyBorder="1" applyAlignment="1" applyProtection="1">
      <alignment horizontal="center" vertical="center"/>
      <protection hidden="1"/>
    </xf>
    <xf numFmtId="7" fontId="1" fillId="35" borderId="87" xfId="1998" applyNumberFormat="1" applyFont="1" applyFill="1" applyBorder="1" applyAlignment="1" applyProtection="1">
      <alignment horizontal="center" vertical="center"/>
      <protection hidden="1"/>
    </xf>
    <xf numFmtId="166" fontId="0" fillId="0" borderId="83" xfId="0" applyNumberFormat="1" applyBorder="1" applyAlignment="1">
      <alignment horizontal="center"/>
    </xf>
    <xf numFmtId="0" fontId="0" fillId="34" borderId="83" xfId="0" applyFill="1" applyBorder="1" applyAlignment="1" applyProtection="1">
      <alignment horizontal="left" vertical="center" wrapText="1" indent="1"/>
      <protection hidden="1"/>
    </xf>
    <xf numFmtId="164" fontId="0" fillId="34" borderId="83" xfId="0" applyNumberFormat="1" applyFill="1" applyBorder="1" applyAlignment="1">
      <alignment horizontal="center" vertical="center"/>
    </xf>
    <xf numFmtId="39" fontId="1" fillId="35" borderId="13" xfId="1" applyNumberFormat="1" applyFont="1" applyFill="1" applyBorder="1" applyAlignment="1" applyProtection="1">
      <alignment horizontal="center" vertical="center"/>
      <protection hidden="1"/>
    </xf>
    <xf numFmtId="1" fontId="0" fillId="33" borderId="10" xfId="0" applyNumberFormat="1" applyFill="1" applyBorder="1" applyAlignment="1" applyProtection="1">
      <alignment horizontal="center" vertical="center"/>
      <protection locked="0"/>
    </xf>
    <xf numFmtId="49" fontId="0" fillId="33" borderId="10" xfId="0" applyNumberFormat="1" applyFill="1" applyBorder="1" applyAlignment="1" applyProtection="1">
      <alignment horizontal="center" vertical="center"/>
      <protection locked="0"/>
    </xf>
    <xf numFmtId="49" fontId="0" fillId="33" borderId="19" xfId="0" applyNumberFormat="1" applyFill="1" applyBorder="1" applyAlignment="1" applyProtection="1">
      <alignment horizontal="center" vertical="center"/>
      <protection locked="0"/>
    </xf>
    <xf numFmtId="166" fontId="1" fillId="33" borderId="85" xfId="1" applyNumberFormat="1" applyFont="1" applyFill="1" applyBorder="1" applyAlignment="1" applyProtection="1">
      <alignment horizontal="center" vertical="center"/>
      <protection locked="0"/>
    </xf>
    <xf numFmtId="7" fontId="1" fillId="33" borderId="85" xfId="1" applyNumberFormat="1" applyFont="1" applyFill="1" applyBorder="1" applyAlignment="1" applyProtection="1">
      <alignment horizontal="center" vertical="center"/>
      <protection locked="0"/>
    </xf>
    <xf numFmtId="166" fontId="1" fillId="35" borderId="85" xfId="1998" applyNumberFormat="1" applyFont="1" applyFill="1" applyBorder="1" applyAlignment="1" applyProtection="1">
      <alignment horizontal="center" vertical="center"/>
      <protection hidden="1"/>
    </xf>
    <xf numFmtId="39" fontId="1" fillId="35" borderId="19" xfId="1" applyNumberFormat="1" applyFont="1" applyFill="1" applyBorder="1" applyAlignment="1" applyProtection="1">
      <alignment horizontal="center" vertical="center"/>
      <protection hidden="1"/>
    </xf>
    <xf numFmtId="166" fontId="1" fillId="35" borderId="86" xfId="1998" applyNumberFormat="1" applyFont="1" applyFill="1" applyBorder="1" applyAlignment="1" applyProtection="1">
      <alignment horizontal="center" vertical="center"/>
      <protection hidden="1"/>
    </xf>
    <xf numFmtId="7" fontId="1" fillId="35" borderId="85" xfId="1998" applyNumberFormat="1" applyFont="1" applyFill="1" applyBorder="1" applyAlignment="1" applyProtection="1">
      <alignment horizontal="center" vertical="center"/>
      <protection hidden="1"/>
    </xf>
    <xf numFmtId="166" fontId="1" fillId="33" borderId="86" xfId="1" applyNumberFormat="1" applyFont="1" applyFill="1" applyBorder="1" applyAlignment="1" applyProtection="1">
      <alignment horizontal="center" vertical="center"/>
      <protection locked="0"/>
    </xf>
    <xf numFmtId="2" fontId="93" fillId="74" borderId="19" xfId="0" applyNumberFormat="1" applyFont="1" applyFill="1" applyBorder="1" applyAlignment="1" applyProtection="1">
      <alignment horizontal="center" vertical="center"/>
      <protection hidden="1"/>
    </xf>
    <xf numFmtId="4" fontId="93" fillId="74" borderId="19" xfId="0" applyNumberFormat="1" applyFont="1" applyFill="1" applyBorder="1" applyAlignment="1" applyProtection="1">
      <alignment horizontal="center" vertical="center"/>
      <protection hidden="1"/>
    </xf>
    <xf numFmtId="166" fontId="93" fillId="74" borderId="20" xfId="0" applyNumberFormat="1" applyFont="1" applyFill="1" applyBorder="1" applyAlignment="1" applyProtection="1">
      <alignment horizontal="center" vertical="center"/>
      <protection hidden="1"/>
    </xf>
    <xf numFmtId="7" fontId="1" fillId="35" borderId="89" xfId="1998" applyNumberFormat="1" applyFont="1" applyFill="1" applyBorder="1" applyAlignment="1" applyProtection="1">
      <alignment horizontal="center" vertical="center"/>
      <protection hidden="1"/>
    </xf>
    <xf numFmtId="0" fontId="17" fillId="74" borderId="91" xfId="0" applyFont="1" applyFill="1" applyBorder="1" applyAlignment="1" applyProtection="1">
      <alignment horizontal="left" vertical="center" indent="1"/>
      <protection hidden="1"/>
    </xf>
    <xf numFmtId="0" fontId="17" fillId="74" borderId="92" xfId="0" applyFont="1" applyFill="1" applyBorder="1" applyAlignment="1" applyProtection="1">
      <alignment horizontal="left" vertical="center" indent="1"/>
      <protection hidden="1"/>
    </xf>
    <xf numFmtId="0" fontId="17" fillId="74" borderId="93" xfId="0" applyFont="1" applyFill="1" applyBorder="1" applyAlignment="1" applyProtection="1">
      <alignment horizontal="left" vertical="center" indent="1"/>
      <protection hidden="1"/>
    </xf>
    <xf numFmtId="7" fontId="1" fillId="35" borderId="94" xfId="1998" applyNumberFormat="1" applyFont="1" applyFill="1" applyBorder="1" applyAlignment="1" applyProtection="1">
      <alignment horizontal="center" vertical="center"/>
      <protection hidden="1"/>
    </xf>
    <xf numFmtId="0" fontId="17" fillId="74" borderId="95" xfId="0" applyFont="1" applyFill="1" applyBorder="1" applyAlignment="1" applyProtection="1">
      <alignment horizontal="left" vertical="center" indent="1"/>
      <protection hidden="1"/>
    </xf>
    <xf numFmtId="0" fontId="17" fillId="74" borderId="39" xfId="0" applyFont="1" applyFill="1" applyBorder="1" applyAlignment="1" applyProtection="1">
      <alignment horizontal="left" vertical="center" wrapText="1" indent="1"/>
      <protection hidden="1"/>
    </xf>
    <xf numFmtId="0" fontId="17" fillId="74" borderId="39" xfId="0" applyFont="1" applyFill="1" applyBorder="1" applyAlignment="1" applyProtection="1">
      <alignment horizontal="left" vertical="center" indent="1"/>
      <protection hidden="1"/>
    </xf>
    <xf numFmtId="0" fontId="17" fillId="74" borderId="40" xfId="0" applyFont="1" applyFill="1" applyBorder="1" applyAlignment="1" applyProtection="1">
      <alignment horizontal="left" vertical="center" indent="1"/>
      <protection hidden="1"/>
    </xf>
    <xf numFmtId="4" fontId="1" fillId="35" borderId="96" xfId="1" applyNumberFormat="1" applyFont="1" applyFill="1" applyBorder="1" applyAlignment="1" applyProtection="1">
      <alignment horizontal="center" vertical="center"/>
      <protection hidden="1"/>
    </xf>
    <xf numFmtId="0" fontId="0" fillId="33" borderId="97" xfId="0" applyFill="1" applyBorder="1" applyAlignment="1" applyProtection="1">
      <alignment horizontal="center" vertical="center"/>
      <protection locked="0"/>
    </xf>
    <xf numFmtId="168" fontId="1" fillId="33" borderId="97" xfId="1" applyNumberFormat="1" applyFont="1" applyFill="1" applyBorder="1" applyAlignment="1" applyProtection="1">
      <alignment horizontal="center" vertical="center"/>
      <protection locked="0"/>
    </xf>
    <xf numFmtId="49" fontId="0" fillId="33" borderId="97" xfId="1" applyNumberFormat="1" applyFont="1" applyFill="1" applyBorder="1" applyAlignment="1" applyProtection="1">
      <alignment horizontal="center" vertical="center"/>
      <protection locked="0"/>
    </xf>
    <xf numFmtId="49" fontId="0" fillId="33" borderId="98" xfId="1" applyNumberFormat="1" applyFont="1" applyFill="1" applyBorder="1" applyAlignment="1" applyProtection="1">
      <alignment horizontal="center" vertical="center"/>
      <protection locked="0"/>
    </xf>
    <xf numFmtId="3" fontId="1" fillId="35" borderId="99" xfId="1" applyNumberFormat="1" applyFont="1" applyFill="1" applyBorder="1" applyAlignment="1" applyProtection="1">
      <alignment horizontal="center" vertical="center"/>
      <protection hidden="1"/>
    </xf>
    <xf numFmtId="4" fontId="1" fillId="35" borderId="100" xfId="1" applyNumberFormat="1" applyFont="1" applyFill="1" applyBorder="1" applyAlignment="1" applyProtection="1">
      <alignment horizontal="center" vertical="center"/>
      <protection hidden="1"/>
    </xf>
    <xf numFmtId="39" fontId="1" fillId="35" borderId="101" xfId="1" applyNumberFormat="1" applyFont="1" applyFill="1" applyBorder="1" applyAlignment="1" applyProtection="1">
      <alignment horizontal="center" vertical="center"/>
      <protection hidden="1"/>
    </xf>
    <xf numFmtId="0" fontId="0" fillId="36" borderId="102" xfId="0" applyFill="1" applyBorder="1" applyAlignment="1" applyProtection="1">
      <alignment horizontal="left" vertical="center" indent="1"/>
      <protection hidden="1"/>
    </xf>
    <xf numFmtId="39" fontId="1" fillId="35" borderId="96" xfId="1" applyNumberFormat="1" applyFont="1" applyFill="1" applyBorder="1" applyAlignment="1" applyProtection="1">
      <alignment horizontal="center" vertical="center"/>
      <protection hidden="1"/>
    </xf>
    <xf numFmtId="1" fontId="0" fillId="33" borderId="97" xfId="0" applyNumberFormat="1" applyFill="1" applyBorder="1" applyAlignment="1" applyProtection="1">
      <alignment horizontal="center" vertical="center"/>
      <protection locked="0"/>
    </xf>
    <xf numFmtId="49" fontId="0" fillId="33" borderId="97" xfId="0" applyNumberFormat="1" applyFill="1" applyBorder="1" applyAlignment="1" applyProtection="1">
      <alignment horizontal="center" vertical="center"/>
      <protection locked="0"/>
    </xf>
    <xf numFmtId="49" fontId="0" fillId="33" borderId="98" xfId="0" applyNumberFormat="1" applyFill="1" applyBorder="1" applyAlignment="1" applyProtection="1">
      <alignment horizontal="center" vertical="center"/>
      <protection locked="0"/>
    </xf>
    <xf numFmtId="166" fontId="1" fillId="33" borderId="68" xfId="1" applyNumberFormat="1" applyFont="1" applyFill="1" applyBorder="1" applyAlignment="1" applyProtection="1">
      <alignment horizontal="center" vertical="center"/>
      <protection locked="0"/>
    </xf>
    <xf numFmtId="37" fontId="1" fillId="35" borderId="99" xfId="1" applyNumberFormat="1" applyFont="1" applyFill="1" applyBorder="1" applyAlignment="1" applyProtection="1">
      <alignment horizontal="center" vertical="center"/>
      <protection hidden="1"/>
    </xf>
    <xf numFmtId="0" fontId="0" fillId="36" borderId="103" xfId="0" applyFill="1" applyBorder="1" applyAlignment="1" applyProtection="1">
      <alignment horizontal="left" vertical="center" indent="1"/>
      <protection hidden="1"/>
    </xf>
    <xf numFmtId="0" fontId="0" fillId="36" borderId="104" xfId="0" applyFill="1" applyBorder="1" applyAlignment="1" applyProtection="1">
      <alignment horizontal="left" vertical="center" indent="1"/>
      <protection hidden="1"/>
    </xf>
    <xf numFmtId="166" fontId="1" fillId="35" borderId="99" xfId="1998" applyNumberFormat="1" applyFont="1" applyFill="1" applyBorder="1" applyAlignment="1" applyProtection="1">
      <alignment horizontal="center" vertical="center"/>
      <protection hidden="1"/>
    </xf>
    <xf numFmtId="166" fontId="1" fillId="35" borderId="101" xfId="1998" applyNumberFormat="1" applyFont="1" applyFill="1" applyBorder="1" applyAlignment="1" applyProtection="1">
      <alignment horizontal="center" vertical="center"/>
      <protection hidden="1"/>
    </xf>
    <xf numFmtId="1" fontId="1" fillId="33" borderId="97" xfId="1" applyNumberFormat="1" applyFont="1" applyFill="1" applyBorder="1" applyAlignment="1" applyProtection="1">
      <alignment horizontal="center" vertical="center"/>
      <protection locked="0"/>
    </xf>
    <xf numFmtId="49" fontId="1" fillId="33" borderId="97" xfId="1" applyNumberFormat="1" applyFont="1" applyFill="1" applyBorder="1" applyAlignment="1" applyProtection="1">
      <alignment horizontal="center" vertical="center"/>
      <protection locked="0"/>
    </xf>
    <xf numFmtId="49" fontId="1" fillId="33" borderId="98" xfId="1" applyNumberFormat="1" applyFont="1" applyFill="1" applyBorder="1" applyAlignment="1" applyProtection="1">
      <alignment horizontal="center" vertical="center"/>
      <protection locked="0"/>
    </xf>
    <xf numFmtId="37" fontId="1" fillId="35" borderId="96" xfId="1" applyNumberFormat="1" applyFont="1" applyFill="1" applyBorder="1" applyAlignment="1" applyProtection="1">
      <alignment horizontal="center" vertical="center"/>
      <protection hidden="1"/>
    </xf>
    <xf numFmtId="39" fontId="1" fillId="35" borderId="98" xfId="1" applyNumberFormat="1" applyFont="1" applyFill="1" applyBorder="1" applyAlignment="1" applyProtection="1">
      <alignment horizontal="center" vertical="center"/>
      <protection hidden="1"/>
    </xf>
    <xf numFmtId="7" fontId="1" fillId="35" borderId="90" xfId="1998" applyNumberFormat="1" applyFont="1" applyFill="1" applyBorder="1" applyAlignment="1" applyProtection="1">
      <alignment horizontal="center" vertical="center"/>
      <protection hidden="1"/>
    </xf>
    <xf numFmtId="167" fontId="0" fillId="34" borderId="10" xfId="0" applyNumberFormat="1" applyFill="1" applyBorder="1" applyAlignment="1" applyProtection="1">
      <alignment horizontal="center" vertical="center"/>
      <protection hidden="1"/>
    </xf>
    <xf numFmtId="4" fontId="0" fillId="35" borderId="100" xfId="1" applyNumberFormat="1" applyFont="1" applyFill="1" applyBorder="1" applyAlignment="1" applyProtection="1">
      <alignment horizontal="center" vertical="center"/>
      <protection hidden="1"/>
    </xf>
    <xf numFmtId="37" fontId="0" fillId="35" borderId="13" xfId="1" applyNumberFormat="1" applyFont="1" applyFill="1" applyBorder="1" applyAlignment="1" applyProtection="1">
      <alignment horizontal="center" vertical="center"/>
      <protection hidden="1"/>
    </xf>
    <xf numFmtId="2" fontId="45" fillId="34" borderId="21" xfId="0" applyNumberFormat="1" applyFont="1" applyFill="1" applyBorder="1" applyAlignment="1" applyProtection="1">
      <alignment horizontal="center"/>
      <protection hidden="1"/>
    </xf>
    <xf numFmtId="0" fontId="0" fillId="34" borderId="0" xfId="0" applyFill="1" applyAlignment="1" applyProtection="1">
      <alignment horizontal="left" vertical="top" wrapText="1"/>
      <protection hidden="1"/>
    </xf>
    <xf numFmtId="0" fontId="13" fillId="74" borderId="12" xfId="0" applyFont="1" applyFill="1" applyBorder="1" applyAlignment="1" applyProtection="1">
      <alignment horizontal="center" vertical="center"/>
      <protection hidden="1"/>
    </xf>
    <xf numFmtId="0" fontId="13" fillId="74" borderId="15" xfId="0" applyFont="1" applyFill="1" applyBorder="1" applyAlignment="1" applyProtection="1">
      <alignment horizontal="center" vertical="center"/>
      <protection hidden="1"/>
    </xf>
    <xf numFmtId="0" fontId="13" fillId="74" borderId="13" xfId="0" applyFont="1" applyFill="1" applyBorder="1" applyAlignment="1" applyProtection="1">
      <alignment horizontal="center" vertical="center"/>
      <protection hidden="1"/>
    </xf>
    <xf numFmtId="0" fontId="13" fillId="74" borderId="10" xfId="0" applyFont="1" applyFill="1" applyBorder="1" applyAlignment="1" applyProtection="1">
      <alignment horizontal="center" vertical="center"/>
      <protection hidden="1"/>
    </xf>
    <xf numFmtId="0" fontId="16" fillId="36" borderId="36" xfId="0" applyFont="1" applyFill="1" applyBorder="1" applyAlignment="1" applyProtection="1">
      <alignment horizontal="center" vertical="center"/>
      <protection hidden="1"/>
    </xf>
    <xf numFmtId="0" fontId="16" fillId="36" borderId="34" xfId="0" applyFont="1" applyFill="1" applyBorder="1" applyAlignment="1" applyProtection="1">
      <alignment horizontal="center" vertical="center"/>
      <protection hidden="1"/>
    </xf>
    <xf numFmtId="0" fontId="13" fillId="74" borderId="14" xfId="0" applyFont="1" applyFill="1" applyBorder="1" applyAlignment="1" applyProtection="1">
      <alignment horizontal="center" vertical="center"/>
      <protection hidden="1"/>
    </xf>
    <xf numFmtId="0" fontId="13" fillId="74" borderId="17" xfId="0" applyFont="1" applyFill="1" applyBorder="1" applyAlignment="1" applyProtection="1">
      <alignment horizontal="center" vertical="center"/>
      <protection hidden="1"/>
    </xf>
    <xf numFmtId="0" fontId="13" fillId="74" borderId="35" xfId="0" applyFont="1" applyFill="1" applyBorder="1" applyAlignment="1" applyProtection="1">
      <alignment horizontal="center" vertical="center"/>
      <protection hidden="1"/>
    </xf>
    <xf numFmtId="0" fontId="13" fillId="74" borderId="88" xfId="0" applyFont="1" applyFill="1" applyBorder="1" applyAlignment="1" applyProtection="1">
      <alignment horizontal="center" vertical="center"/>
      <protection hidden="1"/>
    </xf>
    <xf numFmtId="0" fontId="13" fillId="74" borderId="41" xfId="0" applyFont="1" applyFill="1" applyBorder="1" applyAlignment="1" applyProtection="1">
      <alignment horizontal="center" vertical="center"/>
      <protection hidden="1"/>
    </xf>
    <xf numFmtId="0" fontId="0" fillId="71" borderId="0" xfId="0" applyFill="1" applyAlignment="1">
      <alignment horizontal="center" vertical="top"/>
    </xf>
    <xf numFmtId="0" fontId="16" fillId="0" borderId="52" xfId="0" applyFont="1" applyBorder="1" applyAlignment="1">
      <alignment horizontal="center" vertical="center"/>
    </xf>
    <xf numFmtId="0" fontId="16" fillId="0" borderId="53" xfId="0" applyFont="1" applyBorder="1" applyAlignment="1">
      <alignment horizontal="center" vertical="center"/>
    </xf>
    <xf numFmtId="0" fontId="16" fillId="0" borderId="54" xfId="0" applyFont="1" applyBorder="1" applyAlignment="1">
      <alignment horizontal="center" vertical="center"/>
    </xf>
    <xf numFmtId="0" fontId="16" fillId="72" borderId="59" xfId="0" applyFont="1" applyFill="1" applyBorder="1" applyAlignment="1">
      <alignment horizontal="center"/>
    </xf>
    <xf numFmtId="0" fontId="16" fillId="72" borderId="60" xfId="0" applyFont="1" applyFill="1" applyBorder="1" applyAlignment="1">
      <alignment horizontal="center"/>
    </xf>
    <xf numFmtId="0" fontId="16" fillId="72" borderId="61" xfId="0" applyFont="1" applyFill="1" applyBorder="1" applyAlignment="1">
      <alignment horizontal="center"/>
    </xf>
    <xf numFmtId="0" fontId="16" fillId="66" borderId="0" xfId="0" applyFont="1" applyFill="1" applyAlignment="1">
      <alignment horizontal="center"/>
    </xf>
    <xf numFmtId="0" fontId="0" fillId="59" borderId="0" xfId="0" applyFill="1" applyAlignment="1">
      <alignment horizontal="center" vertical="top"/>
    </xf>
    <xf numFmtId="0" fontId="92" fillId="34" borderId="0" xfId="43" applyFont="1" applyFill="1" applyAlignment="1" applyProtection="1">
      <alignment horizontal="left" vertical="center" wrapText="1"/>
      <protection hidden="1"/>
    </xf>
    <xf numFmtId="0" fontId="22" fillId="34" borderId="0" xfId="43" applyFont="1" applyFill="1" applyAlignment="1" applyProtection="1">
      <alignment horizontal="left" vertical="center" wrapText="1"/>
      <protection hidden="1"/>
    </xf>
    <xf numFmtId="0" fontId="22" fillId="34" borderId="0" xfId="43" applyFont="1" applyFill="1" applyAlignment="1" applyProtection="1">
      <alignment horizontal="left" vertical="center" wrapText="1" indent="2"/>
      <protection hidden="1"/>
    </xf>
    <xf numFmtId="0" fontId="90" fillId="34" borderId="21" xfId="43" applyFont="1" applyFill="1" applyBorder="1" applyAlignment="1" applyProtection="1">
      <alignment horizontal="left" vertical="center"/>
      <protection hidden="1"/>
    </xf>
    <xf numFmtId="0" fontId="91" fillId="34" borderId="21" xfId="43" applyFont="1" applyFill="1" applyBorder="1" applyAlignment="1" applyProtection="1">
      <alignment horizontal="left" vertical="center"/>
      <protection hidden="1"/>
    </xf>
    <xf numFmtId="0" fontId="0" fillId="33" borderId="10" xfId="0" applyFill="1" applyBorder="1" applyAlignment="1" applyProtection="1">
      <alignment horizontal="left" vertical="center" indent="1"/>
      <protection hidden="1"/>
    </xf>
    <xf numFmtId="0" fontId="0" fillId="35" borderId="10" xfId="0" applyFill="1" applyBorder="1" applyAlignment="1" applyProtection="1">
      <alignment horizontal="left" vertical="center" indent="1"/>
      <protection hidden="1"/>
    </xf>
    <xf numFmtId="0" fontId="58" fillId="34" borderId="0" xfId="43" applyFont="1" applyFill="1" applyAlignment="1" applyProtection="1">
      <alignment horizontal="left" vertical="center"/>
      <protection hidden="1"/>
    </xf>
    <xf numFmtId="0" fontId="25" fillId="34" borderId="0" xfId="43" applyFont="1" applyFill="1" applyAlignment="1" applyProtection="1">
      <alignment horizontal="left" vertical="center"/>
      <protection hidden="1"/>
    </xf>
    <xf numFmtId="0" fontId="90" fillId="34" borderId="0" xfId="43" applyFont="1" applyFill="1" applyAlignment="1" applyProtection="1">
      <alignment horizontal="left" vertical="center"/>
      <protection hidden="1"/>
    </xf>
    <xf numFmtId="0" fontId="91" fillId="34" borderId="0" xfId="43" applyFont="1" applyFill="1" applyAlignment="1" applyProtection="1">
      <alignment horizontal="left" vertical="center"/>
      <protection hidden="1"/>
    </xf>
    <xf numFmtId="0" fontId="0" fillId="34" borderId="10" xfId="0" applyFill="1" applyBorder="1" applyAlignment="1" applyProtection="1">
      <alignment horizontal="left" vertical="center" wrapText="1" indent="1"/>
      <protection hidden="1"/>
    </xf>
    <xf numFmtId="0" fontId="0" fillId="34" borderId="16" xfId="0" applyFill="1" applyBorder="1" applyAlignment="1" applyProtection="1">
      <alignment horizontal="left" vertical="center" wrapText="1" indent="1"/>
      <protection hidden="1"/>
    </xf>
    <xf numFmtId="0" fontId="0" fillId="34" borderId="83" xfId="0" applyFill="1" applyBorder="1" applyAlignment="1" applyProtection="1">
      <alignment horizontal="left" vertical="center" wrapText="1" indent="1"/>
      <protection hidden="1"/>
    </xf>
    <xf numFmtId="0" fontId="0" fillId="34" borderId="10" xfId="0" applyFill="1" applyBorder="1" applyAlignment="1">
      <alignment horizontal="left" vertical="top" wrapText="1"/>
    </xf>
    <xf numFmtId="0" fontId="48" fillId="59" borderId="0" xfId="0" applyFont="1" applyFill="1" applyAlignment="1">
      <alignment horizontal="center" vertical="center"/>
    </xf>
    <xf numFmtId="0" fontId="50" fillId="0" borderId="0" xfId="0" applyFont="1" applyAlignment="1">
      <alignment horizontal="left" vertical="top" wrapText="1"/>
    </xf>
    <xf numFmtId="0" fontId="52" fillId="0" borderId="0" xfId="0" applyFont="1" applyAlignment="1">
      <alignment horizontal="left" vertical="top" wrapText="1"/>
    </xf>
    <xf numFmtId="0" fontId="53" fillId="0" borderId="0" xfId="0" applyFont="1" applyAlignment="1">
      <alignment horizontal="left" vertical="top" wrapText="1"/>
    </xf>
    <xf numFmtId="0" fontId="53" fillId="0" borderId="0" xfId="0" applyFont="1" applyAlignment="1">
      <alignment horizontal="left" vertical="top"/>
    </xf>
    <xf numFmtId="0" fontId="53" fillId="0" borderId="0" xfId="0" applyFont="1" applyAlignment="1">
      <alignment wrapText="1"/>
    </xf>
    <xf numFmtId="0" fontId="0" fillId="0" borderId="0" xfId="0"/>
    <xf numFmtId="43" fontId="16" fillId="36" borderId="16" xfId="1" applyFont="1" applyFill="1" applyBorder="1" applyAlignment="1">
      <alignment horizontal="center" vertical="center" wrapText="1"/>
    </xf>
    <xf numFmtId="43" fontId="16" fillId="36" borderId="33" xfId="1" applyFont="1" applyFill="1" applyBorder="1" applyAlignment="1">
      <alignment horizontal="center" vertical="center" wrapText="1"/>
    </xf>
    <xf numFmtId="43" fontId="16" fillId="36" borderId="83" xfId="1" applyFont="1" applyFill="1" applyBorder="1" applyAlignment="1">
      <alignment horizontal="center" vertical="center" wrapText="1"/>
    </xf>
    <xf numFmtId="0" fontId="16" fillId="36" borderId="80" xfId="0" applyFont="1" applyFill="1" applyBorder="1" applyAlignment="1">
      <alignment horizontal="center" vertical="center" wrapText="1"/>
    </xf>
    <xf numFmtId="0" fontId="16" fillId="36" borderId="11" xfId="0" applyFont="1" applyFill="1" applyBorder="1" applyAlignment="1">
      <alignment horizontal="center" vertical="center" wrapText="1"/>
    </xf>
    <xf numFmtId="0" fontId="49" fillId="68" borderId="0" xfId="0" applyFont="1" applyFill="1" applyAlignment="1">
      <alignment horizontal="center" vertical="center"/>
    </xf>
    <xf numFmtId="166" fontId="77" fillId="34" borderId="0" xfId="0" applyNumberFormat="1" applyFont="1" applyFill="1" applyAlignment="1">
      <alignment horizontal="center" vertical="center"/>
    </xf>
    <xf numFmtId="0" fontId="78" fillId="64" borderId="32" xfId="0" applyFont="1" applyFill="1" applyBorder="1" applyAlignment="1">
      <alignment horizontal="center" vertical="center" wrapText="1"/>
    </xf>
    <xf numFmtId="0" fontId="78" fillId="64" borderId="31" xfId="0" applyFont="1" applyFill="1" applyBorder="1" applyAlignment="1">
      <alignment horizontal="center" vertical="center" wrapText="1"/>
    </xf>
    <xf numFmtId="166" fontId="74" fillId="34" borderId="38" xfId="0" applyNumberFormat="1" applyFont="1" applyFill="1" applyBorder="1" applyAlignment="1">
      <alignment horizontal="center" vertical="center"/>
    </xf>
    <xf numFmtId="0" fontId="60" fillId="34" borderId="0" xfId="0" applyFont="1" applyFill="1" applyAlignment="1">
      <alignment horizontal="center" vertical="center"/>
    </xf>
    <xf numFmtId="3" fontId="72" fillId="34" borderId="0" xfId="0" applyNumberFormat="1" applyFont="1" applyFill="1" applyAlignment="1">
      <alignment horizontal="center" vertical="center"/>
    </xf>
    <xf numFmtId="0" fontId="70" fillId="34" borderId="0" xfId="0" applyFont="1" applyFill="1" applyAlignment="1">
      <alignment horizontal="left" vertical="center"/>
    </xf>
    <xf numFmtId="9" fontId="74" fillId="34" borderId="38" xfId="1999" applyFont="1" applyFill="1" applyBorder="1" applyAlignment="1">
      <alignment horizontal="center" vertical="center"/>
    </xf>
    <xf numFmtId="170" fontId="72" fillId="34" borderId="0" xfId="0" applyNumberFormat="1" applyFont="1" applyFill="1" applyAlignment="1">
      <alignment horizontal="center" vertical="center"/>
    </xf>
    <xf numFmtId="0" fontId="62" fillId="34" borderId="0" xfId="0" applyFont="1" applyFill="1" applyAlignment="1">
      <alignment horizontal="center" vertical="center" wrapText="1"/>
    </xf>
    <xf numFmtId="0" fontId="63" fillId="34" borderId="0" xfId="0" applyFont="1" applyFill="1" applyAlignment="1">
      <alignment horizontal="center" vertical="center" wrapText="1"/>
    </xf>
    <xf numFmtId="0" fontId="67" fillId="34" borderId="0" xfId="0" applyFont="1" applyFill="1" applyAlignment="1">
      <alignment horizontal="left" vertical="center" wrapText="1"/>
    </xf>
    <xf numFmtId="0" fontId="68" fillId="64" borderId="10" xfId="0" applyFont="1" applyFill="1" applyBorder="1" applyAlignment="1">
      <alignment horizontal="center" vertical="center" wrapText="1"/>
    </xf>
    <xf numFmtId="0" fontId="70" fillId="34" borderId="0" xfId="0" applyFont="1" applyFill="1" applyAlignment="1">
      <alignment horizontal="center" vertical="center"/>
    </xf>
    <xf numFmtId="0" fontId="86" fillId="34" borderId="0" xfId="0" applyFont="1" applyFill="1" applyAlignment="1" applyProtection="1">
      <alignment horizontal="left"/>
      <protection hidden="1"/>
    </xf>
    <xf numFmtId="0" fontId="87" fillId="34" borderId="0" xfId="0" applyFont="1" applyFill="1" applyAlignment="1" applyProtection="1">
      <alignment horizontal="left"/>
      <protection hidden="1"/>
    </xf>
    <xf numFmtId="0" fontId="88" fillId="34" borderId="0" xfId="0" applyFont="1" applyFill="1" applyAlignment="1" applyProtection="1">
      <alignment horizontal="left" vertical="center" wrapText="1"/>
      <protection hidden="1"/>
    </xf>
    <xf numFmtId="0" fontId="88" fillId="34" borderId="0" xfId="0" applyFont="1" applyFill="1" applyAlignment="1" applyProtection="1">
      <alignment vertical="center" wrapText="1"/>
      <protection hidden="1"/>
    </xf>
    <xf numFmtId="0" fontId="0" fillId="0" borderId="0" xfId="0" applyAlignment="1" applyProtection="1">
      <alignment horizontal="left" vertical="top" wrapText="1"/>
      <protection hidden="1"/>
    </xf>
    <xf numFmtId="0" fontId="89" fillId="34" borderId="0" xfId="0" applyFont="1" applyFill="1" applyAlignment="1" applyProtection="1">
      <alignment horizontal="left"/>
      <protection hidden="1"/>
    </xf>
  </cellXfs>
  <cellStyles count="2007">
    <cellStyle name="20% - Accent1" xfId="20" builtinId="30" customBuiltin="1"/>
    <cellStyle name="20% - Accent1 2" xfId="56" xr:uid="{00000000-0005-0000-0000-000001000000}"/>
    <cellStyle name="20% - Accent2" xfId="24" builtinId="34" customBuiltin="1"/>
    <cellStyle name="20% - Accent2 2" xfId="57" xr:uid="{00000000-0005-0000-0000-000003000000}"/>
    <cellStyle name="20% - Accent3" xfId="28" builtinId="38" customBuiltin="1"/>
    <cellStyle name="20% - Accent3 2" xfId="58" xr:uid="{00000000-0005-0000-0000-000005000000}"/>
    <cellStyle name="20% - Accent4" xfId="32" builtinId="42" customBuiltin="1"/>
    <cellStyle name="20% - Accent4 2" xfId="59" xr:uid="{00000000-0005-0000-0000-000007000000}"/>
    <cellStyle name="20% - Accent5" xfId="36" builtinId="46" customBuiltin="1"/>
    <cellStyle name="20% - Accent5 2" xfId="60" xr:uid="{00000000-0005-0000-0000-000009000000}"/>
    <cellStyle name="20% - Accent6" xfId="40" builtinId="50" customBuiltin="1"/>
    <cellStyle name="20% - Accent6 2" xfId="61" xr:uid="{00000000-0005-0000-0000-00000B000000}"/>
    <cellStyle name="40% - Accent1" xfId="21" builtinId="31" customBuiltin="1"/>
    <cellStyle name="40% - Accent1 2" xfId="62" xr:uid="{00000000-0005-0000-0000-00000D000000}"/>
    <cellStyle name="40% - Accent2" xfId="25" builtinId="35" customBuiltin="1"/>
    <cellStyle name="40% - Accent2 2" xfId="63" xr:uid="{00000000-0005-0000-0000-00000F000000}"/>
    <cellStyle name="40% - Accent3" xfId="29" builtinId="39" customBuiltin="1"/>
    <cellStyle name="40% - Accent3 2" xfId="64" xr:uid="{00000000-0005-0000-0000-000011000000}"/>
    <cellStyle name="40% - Accent4" xfId="33" builtinId="43" customBuiltin="1"/>
    <cellStyle name="40% - Accent4 2" xfId="65" xr:uid="{00000000-0005-0000-0000-000013000000}"/>
    <cellStyle name="40% - Accent5" xfId="37" builtinId="47" customBuiltin="1"/>
    <cellStyle name="40% - Accent5 2" xfId="66" xr:uid="{00000000-0005-0000-0000-000015000000}"/>
    <cellStyle name="40% - Accent6" xfId="41" builtinId="51" customBuiltin="1"/>
    <cellStyle name="40% - Accent6 2" xfId="67" xr:uid="{00000000-0005-0000-0000-000017000000}"/>
    <cellStyle name="60% - Accent1" xfId="22" builtinId="32" customBuiltin="1"/>
    <cellStyle name="60% - Accent1 2" xfId="68" xr:uid="{00000000-0005-0000-0000-000019000000}"/>
    <cellStyle name="60% - Accent2" xfId="26" builtinId="36" customBuiltin="1"/>
    <cellStyle name="60% - Accent2 2" xfId="69" xr:uid="{00000000-0005-0000-0000-00001B000000}"/>
    <cellStyle name="60% - Accent3" xfId="30" builtinId="40" customBuiltin="1"/>
    <cellStyle name="60% - Accent3 2" xfId="70" xr:uid="{00000000-0005-0000-0000-00001D000000}"/>
    <cellStyle name="60% - Accent4" xfId="34" builtinId="44" customBuiltin="1"/>
    <cellStyle name="60% - Accent4 2" xfId="71" xr:uid="{00000000-0005-0000-0000-00001F000000}"/>
    <cellStyle name="60% - Accent5" xfId="38" builtinId="48" customBuiltin="1"/>
    <cellStyle name="60% - Accent5 2" xfId="72" xr:uid="{00000000-0005-0000-0000-000021000000}"/>
    <cellStyle name="60% - Accent6" xfId="42" builtinId="52" customBuiltin="1"/>
    <cellStyle name="60% - Accent6 2" xfId="73" xr:uid="{00000000-0005-0000-0000-000023000000}"/>
    <cellStyle name="Accent1" xfId="19" builtinId="29" customBuiltin="1"/>
    <cellStyle name="Accent1 2" xfId="74" xr:uid="{00000000-0005-0000-0000-000025000000}"/>
    <cellStyle name="Accent2" xfId="23" builtinId="33" customBuiltin="1"/>
    <cellStyle name="Accent2 2" xfId="75" xr:uid="{00000000-0005-0000-0000-000027000000}"/>
    <cellStyle name="Accent3" xfId="27" builtinId="37" customBuiltin="1"/>
    <cellStyle name="Accent3 2" xfId="76" xr:uid="{00000000-0005-0000-0000-000029000000}"/>
    <cellStyle name="Accent4" xfId="31" builtinId="41" customBuiltin="1"/>
    <cellStyle name="Accent4 2" xfId="77" xr:uid="{00000000-0005-0000-0000-00002B000000}"/>
    <cellStyle name="Accent5" xfId="35" builtinId="45" customBuiltin="1"/>
    <cellStyle name="Accent5 2" xfId="78" xr:uid="{00000000-0005-0000-0000-00002D000000}"/>
    <cellStyle name="Accent6" xfId="39" builtinId="49" customBuiltin="1"/>
    <cellStyle name="Accent6 2" xfId="79" xr:uid="{00000000-0005-0000-0000-00002F000000}"/>
    <cellStyle name="Bad" xfId="8" builtinId="27" customBuiltin="1"/>
    <cellStyle name="Bad 2" xfId="80" xr:uid="{00000000-0005-0000-0000-000031000000}"/>
    <cellStyle name="Calculation" xfId="12" builtinId="22" customBuiltin="1"/>
    <cellStyle name="Calculation 2" xfId="81" xr:uid="{00000000-0005-0000-0000-000033000000}"/>
    <cellStyle name="Check Cell" xfId="14" builtinId="23" customBuiltin="1"/>
    <cellStyle name="Check Cell 2" xfId="82" xr:uid="{00000000-0005-0000-0000-000035000000}"/>
    <cellStyle name="Comma" xfId="1" builtinId="3"/>
    <cellStyle name="Comma 2" xfId="45" xr:uid="{00000000-0005-0000-0000-000037000000}"/>
    <cellStyle name="Comma 2 2" xfId="46" xr:uid="{00000000-0005-0000-0000-000038000000}"/>
    <cellStyle name="Comma 2 2 2" xfId="2003" xr:uid="{00000000-0005-0000-0000-000039000000}"/>
    <cellStyle name="Comma 2 3" xfId="2002" xr:uid="{00000000-0005-0000-0000-00003A000000}"/>
    <cellStyle name="Comma 3" xfId="47" xr:uid="{00000000-0005-0000-0000-00003B000000}"/>
    <cellStyle name="Comma 3 2" xfId="2004" xr:uid="{00000000-0005-0000-0000-00003C000000}"/>
    <cellStyle name="Comma 4" xfId="48" xr:uid="{00000000-0005-0000-0000-00003D000000}"/>
    <cellStyle name="Comma 5" xfId="44" xr:uid="{00000000-0005-0000-0000-00003E000000}"/>
    <cellStyle name="Comma 5 2" xfId="2001" xr:uid="{00000000-0005-0000-0000-00003F000000}"/>
    <cellStyle name="Currency" xfId="1998" builtinId="4"/>
    <cellStyle name="Currency 2" xfId="83" xr:uid="{00000000-0005-0000-0000-000041000000}"/>
    <cellStyle name="Currency 3" xfId="84" xr:uid="{00000000-0005-0000-0000-000042000000}"/>
    <cellStyle name="Explanatory Text" xfId="17" builtinId="53" customBuiltin="1"/>
    <cellStyle name="Explanatory Text 2" xfId="85" xr:uid="{00000000-0005-0000-0000-000044000000}"/>
    <cellStyle name="Good" xfId="7" builtinId="26" customBuiltin="1"/>
    <cellStyle name="Good 2" xfId="86" xr:uid="{00000000-0005-0000-0000-000046000000}"/>
    <cellStyle name="Heading 1" xfId="3" builtinId="16" customBuiltin="1"/>
    <cellStyle name="Heading 1 2" xfId="87" xr:uid="{00000000-0005-0000-0000-000048000000}"/>
    <cellStyle name="Heading 2" xfId="4" builtinId="17" customBuiltin="1"/>
    <cellStyle name="Heading 2 2" xfId="88" xr:uid="{00000000-0005-0000-0000-00004A000000}"/>
    <cellStyle name="Heading 3" xfId="5" builtinId="18" customBuiltin="1"/>
    <cellStyle name="Heading 3 2" xfId="89" xr:uid="{00000000-0005-0000-0000-00004C000000}"/>
    <cellStyle name="Heading 4" xfId="6" builtinId="19" customBuiltin="1"/>
    <cellStyle name="Heading 4 2" xfId="90" xr:uid="{00000000-0005-0000-0000-00004E000000}"/>
    <cellStyle name="Input" xfId="10" builtinId="20" customBuiltin="1"/>
    <cellStyle name="Input 2" xfId="91" xr:uid="{00000000-0005-0000-0000-000050000000}"/>
    <cellStyle name="Linked Cell" xfId="13" builtinId="24" customBuiltin="1"/>
    <cellStyle name="Linked Cell 2" xfId="92" xr:uid="{00000000-0005-0000-0000-000052000000}"/>
    <cellStyle name="Neutral" xfId="9" builtinId="28" customBuiltin="1"/>
    <cellStyle name="Neutral 2" xfId="93" xr:uid="{00000000-0005-0000-0000-000054000000}"/>
    <cellStyle name="Normal" xfId="0" builtinId="0"/>
    <cellStyle name="Normal 10 2" xfId="2000" xr:uid="{00000000-0005-0000-0000-000056000000}"/>
    <cellStyle name="Normal 2" xfId="49" xr:uid="{00000000-0005-0000-0000-000057000000}"/>
    <cellStyle name="Normal 2 10" xfId="94" xr:uid="{00000000-0005-0000-0000-000058000000}"/>
    <cellStyle name="Normal 2 10 10" xfId="95" xr:uid="{00000000-0005-0000-0000-000059000000}"/>
    <cellStyle name="Normal 2 10 11" xfId="96" xr:uid="{00000000-0005-0000-0000-00005A000000}"/>
    <cellStyle name="Normal 2 10 12" xfId="97" xr:uid="{00000000-0005-0000-0000-00005B000000}"/>
    <cellStyle name="Normal 2 10 13" xfId="98" xr:uid="{00000000-0005-0000-0000-00005C000000}"/>
    <cellStyle name="Normal 2 10 14" xfId="99" xr:uid="{00000000-0005-0000-0000-00005D000000}"/>
    <cellStyle name="Normal 2 10 15" xfId="100" xr:uid="{00000000-0005-0000-0000-00005E000000}"/>
    <cellStyle name="Normal 2 10 16" xfId="101" xr:uid="{00000000-0005-0000-0000-00005F000000}"/>
    <cellStyle name="Normal 2 10 17" xfId="102" xr:uid="{00000000-0005-0000-0000-000060000000}"/>
    <cellStyle name="Normal 2 10 18" xfId="103" xr:uid="{00000000-0005-0000-0000-000061000000}"/>
    <cellStyle name="Normal 2 10 19" xfId="104" xr:uid="{00000000-0005-0000-0000-000062000000}"/>
    <cellStyle name="Normal 2 10 2" xfId="105" xr:uid="{00000000-0005-0000-0000-000063000000}"/>
    <cellStyle name="Normal 2 10 20" xfId="106" xr:uid="{00000000-0005-0000-0000-000064000000}"/>
    <cellStyle name="Normal 2 10 21" xfId="107" xr:uid="{00000000-0005-0000-0000-000065000000}"/>
    <cellStyle name="Normal 2 10 22" xfId="108" xr:uid="{00000000-0005-0000-0000-000066000000}"/>
    <cellStyle name="Normal 2 10 23" xfId="109" xr:uid="{00000000-0005-0000-0000-000067000000}"/>
    <cellStyle name="Normal 2 10 3" xfId="110" xr:uid="{00000000-0005-0000-0000-000068000000}"/>
    <cellStyle name="Normal 2 10 4" xfId="111" xr:uid="{00000000-0005-0000-0000-000069000000}"/>
    <cellStyle name="Normal 2 10 5" xfId="112" xr:uid="{00000000-0005-0000-0000-00006A000000}"/>
    <cellStyle name="Normal 2 10 6" xfId="113" xr:uid="{00000000-0005-0000-0000-00006B000000}"/>
    <cellStyle name="Normal 2 10 7" xfId="114" xr:uid="{00000000-0005-0000-0000-00006C000000}"/>
    <cellStyle name="Normal 2 10 8" xfId="115" xr:uid="{00000000-0005-0000-0000-00006D000000}"/>
    <cellStyle name="Normal 2 10 9" xfId="116" xr:uid="{00000000-0005-0000-0000-00006E000000}"/>
    <cellStyle name="Normal 2 11" xfId="117" xr:uid="{00000000-0005-0000-0000-00006F000000}"/>
    <cellStyle name="Normal 2 11 10" xfId="118" xr:uid="{00000000-0005-0000-0000-000070000000}"/>
    <cellStyle name="Normal 2 11 11" xfId="119" xr:uid="{00000000-0005-0000-0000-000071000000}"/>
    <cellStyle name="Normal 2 11 12" xfId="120" xr:uid="{00000000-0005-0000-0000-000072000000}"/>
    <cellStyle name="Normal 2 11 13" xfId="121" xr:uid="{00000000-0005-0000-0000-000073000000}"/>
    <cellStyle name="Normal 2 11 14" xfId="122" xr:uid="{00000000-0005-0000-0000-000074000000}"/>
    <cellStyle name="Normal 2 11 15" xfId="123" xr:uid="{00000000-0005-0000-0000-000075000000}"/>
    <cellStyle name="Normal 2 11 16" xfId="124" xr:uid="{00000000-0005-0000-0000-000076000000}"/>
    <cellStyle name="Normal 2 11 17" xfId="125" xr:uid="{00000000-0005-0000-0000-000077000000}"/>
    <cellStyle name="Normal 2 11 18" xfId="126" xr:uid="{00000000-0005-0000-0000-000078000000}"/>
    <cellStyle name="Normal 2 11 19" xfId="127" xr:uid="{00000000-0005-0000-0000-000079000000}"/>
    <cellStyle name="Normal 2 11 2" xfId="128" xr:uid="{00000000-0005-0000-0000-00007A000000}"/>
    <cellStyle name="Normal 2 11 20" xfId="129" xr:uid="{00000000-0005-0000-0000-00007B000000}"/>
    <cellStyle name="Normal 2 11 21" xfId="130" xr:uid="{00000000-0005-0000-0000-00007C000000}"/>
    <cellStyle name="Normal 2 11 22" xfId="131" xr:uid="{00000000-0005-0000-0000-00007D000000}"/>
    <cellStyle name="Normal 2 11 23" xfId="132" xr:uid="{00000000-0005-0000-0000-00007E000000}"/>
    <cellStyle name="Normal 2 11 3" xfId="133" xr:uid="{00000000-0005-0000-0000-00007F000000}"/>
    <cellStyle name="Normal 2 11 4" xfId="134" xr:uid="{00000000-0005-0000-0000-000080000000}"/>
    <cellStyle name="Normal 2 11 5" xfId="135" xr:uid="{00000000-0005-0000-0000-000081000000}"/>
    <cellStyle name="Normal 2 11 6" xfId="136" xr:uid="{00000000-0005-0000-0000-000082000000}"/>
    <cellStyle name="Normal 2 11 7" xfId="137" xr:uid="{00000000-0005-0000-0000-000083000000}"/>
    <cellStyle name="Normal 2 11 8" xfId="138" xr:uid="{00000000-0005-0000-0000-000084000000}"/>
    <cellStyle name="Normal 2 11 9" xfId="139" xr:uid="{00000000-0005-0000-0000-000085000000}"/>
    <cellStyle name="Normal 2 12" xfId="140" xr:uid="{00000000-0005-0000-0000-000086000000}"/>
    <cellStyle name="Normal 2 12 10" xfId="141" xr:uid="{00000000-0005-0000-0000-000087000000}"/>
    <cellStyle name="Normal 2 12 11" xfId="142" xr:uid="{00000000-0005-0000-0000-000088000000}"/>
    <cellStyle name="Normal 2 12 12" xfId="143" xr:uid="{00000000-0005-0000-0000-000089000000}"/>
    <cellStyle name="Normal 2 12 13" xfId="144" xr:uid="{00000000-0005-0000-0000-00008A000000}"/>
    <cellStyle name="Normal 2 12 14" xfId="145" xr:uid="{00000000-0005-0000-0000-00008B000000}"/>
    <cellStyle name="Normal 2 12 15" xfId="146" xr:uid="{00000000-0005-0000-0000-00008C000000}"/>
    <cellStyle name="Normal 2 12 16" xfId="147" xr:uid="{00000000-0005-0000-0000-00008D000000}"/>
    <cellStyle name="Normal 2 12 17" xfId="148" xr:uid="{00000000-0005-0000-0000-00008E000000}"/>
    <cellStyle name="Normal 2 12 18" xfId="149" xr:uid="{00000000-0005-0000-0000-00008F000000}"/>
    <cellStyle name="Normal 2 12 19" xfId="150" xr:uid="{00000000-0005-0000-0000-000090000000}"/>
    <cellStyle name="Normal 2 12 2" xfId="151" xr:uid="{00000000-0005-0000-0000-000091000000}"/>
    <cellStyle name="Normal 2 12 20" xfId="152" xr:uid="{00000000-0005-0000-0000-000092000000}"/>
    <cellStyle name="Normal 2 12 21" xfId="153" xr:uid="{00000000-0005-0000-0000-000093000000}"/>
    <cellStyle name="Normal 2 12 22" xfId="154" xr:uid="{00000000-0005-0000-0000-000094000000}"/>
    <cellStyle name="Normal 2 12 23" xfId="155" xr:uid="{00000000-0005-0000-0000-000095000000}"/>
    <cellStyle name="Normal 2 12 3" xfId="156" xr:uid="{00000000-0005-0000-0000-000096000000}"/>
    <cellStyle name="Normal 2 12 4" xfId="157" xr:uid="{00000000-0005-0000-0000-000097000000}"/>
    <cellStyle name="Normal 2 12 5" xfId="158" xr:uid="{00000000-0005-0000-0000-000098000000}"/>
    <cellStyle name="Normal 2 12 6" xfId="159" xr:uid="{00000000-0005-0000-0000-000099000000}"/>
    <cellStyle name="Normal 2 12 7" xfId="160" xr:uid="{00000000-0005-0000-0000-00009A000000}"/>
    <cellStyle name="Normal 2 12 8" xfId="161" xr:uid="{00000000-0005-0000-0000-00009B000000}"/>
    <cellStyle name="Normal 2 12 9" xfId="162" xr:uid="{00000000-0005-0000-0000-00009C000000}"/>
    <cellStyle name="Normal 2 13" xfId="163" xr:uid="{00000000-0005-0000-0000-00009D000000}"/>
    <cellStyle name="Normal 2 13 10" xfId="164" xr:uid="{00000000-0005-0000-0000-00009E000000}"/>
    <cellStyle name="Normal 2 13 11" xfId="165" xr:uid="{00000000-0005-0000-0000-00009F000000}"/>
    <cellStyle name="Normal 2 13 12" xfId="166" xr:uid="{00000000-0005-0000-0000-0000A0000000}"/>
    <cellStyle name="Normal 2 13 13" xfId="167" xr:uid="{00000000-0005-0000-0000-0000A1000000}"/>
    <cellStyle name="Normal 2 13 14" xfId="168" xr:uid="{00000000-0005-0000-0000-0000A2000000}"/>
    <cellStyle name="Normal 2 13 15" xfId="169" xr:uid="{00000000-0005-0000-0000-0000A3000000}"/>
    <cellStyle name="Normal 2 13 16" xfId="170" xr:uid="{00000000-0005-0000-0000-0000A4000000}"/>
    <cellStyle name="Normal 2 13 17" xfId="171" xr:uid="{00000000-0005-0000-0000-0000A5000000}"/>
    <cellStyle name="Normal 2 13 18" xfId="172" xr:uid="{00000000-0005-0000-0000-0000A6000000}"/>
    <cellStyle name="Normal 2 13 19" xfId="173" xr:uid="{00000000-0005-0000-0000-0000A7000000}"/>
    <cellStyle name="Normal 2 13 2" xfId="174" xr:uid="{00000000-0005-0000-0000-0000A8000000}"/>
    <cellStyle name="Normal 2 13 20" xfId="175" xr:uid="{00000000-0005-0000-0000-0000A9000000}"/>
    <cellStyle name="Normal 2 13 21" xfId="176" xr:uid="{00000000-0005-0000-0000-0000AA000000}"/>
    <cellStyle name="Normal 2 13 22" xfId="177" xr:uid="{00000000-0005-0000-0000-0000AB000000}"/>
    <cellStyle name="Normal 2 13 23" xfId="178" xr:uid="{00000000-0005-0000-0000-0000AC000000}"/>
    <cellStyle name="Normal 2 13 3" xfId="179" xr:uid="{00000000-0005-0000-0000-0000AD000000}"/>
    <cellStyle name="Normal 2 13 4" xfId="180" xr:uid="{00000000-0005-0000-0000-0000AE000000}"/>
    <cellStyle name="Normal 2 13 5" xfId="181" xr:uid="{00000000-0005-0000-0000-0000AF000000}"/>
    <cellStyle name="Normal 2 13 6" xfId="182" xr:uid="{00000000-0005-0000-0000-0000B0000000}"/>
    <cellStyle name="Normal 2 13 7" xfId="183" xr:uid="{00000000-0005-0000-0000-0000B1000000}"/>
    <cellStyle name="Normal 2 13 8" xfId="184" xr:uid="{00000000-0005-0000-0000-0000B2000000}"/>
    <cellStyle name="Normal 2 13 9" xfId="185" xr:uid="{00000000-0005-0000-0000-0000B3000000}"/>
    <cellStyle name="Normal 2 14" xfId="186" xr:uid="{00000000-0005-0000-0000-0000B4000000}"/>
    <cellStyle name="Normal 2 14 10" xfId="187" xr:uid="{00000000-0005-0000-0000-0000B5000000}"/>
    <cellStyle name="Normal 2 14 11" xfId="188" xr:uid="{00000000-0005-0000-0000-0000B6000000}"/>
    <cellStyle name="Normal 2 14 12" xfId="189" xr:uid="{00000000-0005-0000-0000-0000B7000000}"/>
    <cellStyle name="Normal 2 14 13" xfId="190" xr:uid="{00000000-0005-0000-0000-0000B8000000}"/>
    <cellStyle name="Normal 2 14 14" xfId="191" xr:uid="{00000000-0005-0000-0000-0000B9000000}"/>
    <cellStyle name="Normal 2 14 15" xfId="192" xr:uid="{00000000-0005-0000-0000-0000BA000000}"/>
    <cellStyle name="Normal 2 14 16" xfId="193" xr:uid="{00000000-0005-0000-0000-0000BB000000}"/>
    <cellStyle name="Normal 2 14 17" xfId="194" xr:uid="{00000000-0005-0000-0000-0000BC000000}"/>
    <cellStyle name="Normal 2 14 18" xfId="195" xr:uid="{00000000-0005-0000-0000-0000BD000000}"/>
    <cellStyle name="Normal 2 14 19" xfId="196" xr:uid="{00000000-0005-0000-0000-0000BE000000}"/>
    <cellStyle name="Normal 2 14 2" xfId="197" xr:uid="{00000000-0005-0000-0000-0000BF000000}"/>
    <cellStyle name="Normal 2 14 20" xfId="198" xr:uid="{00000000-0005-0000-0000-0000C0000000}"/>
    <cellStyle name="Normal 2 14 21" xfId="199" xr:uid="{00000000-0005-0000-0000-0000C1000000}"/>
    <cellStyle name="Normal 2 14 22" xfId="200" xr:uid="{00000000-0005-0000-0000-0000C2000000}"/>
    <cellStyle name="Normal 2 14 23" xfId="201" xr:uid="{00000000-0005-0000-0000-0000C3000000}"/>
    <cellStyle name="Normal 2 14 3" xfId="202" xr:uid="{00000000-0005-0000-0000-0000C4000000}"/>
    <cellStyle name="Normal 2 14 4" xfId="203" xr:uid="{00000000-0005-0000-0000-0000C5000000}"/>
    <cellStyle name="Normal 2 14 5" xfId="204" xr:uid="{00000000-0005-0000-0000-0000C6000000}"/>
    <cellStyle name="Normal 2 14 6" xfId="205" xr:uid="{00000000-0005-0000-0000-0000C7000000}"/>
    <cellStyle name="Normal 2 14 7" xfId="206" xr:uid="{00000000-0005-0000-0000-0000C8000000}"/>
    <cellStyle name="Normal 2 14 8" xfId="207" xr:uid="{00000000-0005-0000-0000-0000C9000000}"/>
    <cellStyle name="Normal 2 14 9" xfId="208" xr:uid="{00000000-0005-0000-0000-0000CA000000}"/>
    <cellStyle name="Normal 2 15" xfId="209" xr:uid="{00000000-0005-0000-0000-0000CB000000}"/>
    <cellStyle name="Normal 2 15 10" xfId="210" xr:uid="{00000000-0005-0000-0000-0000CC000000}"/>
    <cellStyle name="Normal 2 15 11" xfId="211" xr:uid="{00000000-0005-0000-0000-0000CD000000}"/>
    <cellStyle name="Normal 2 15 12" xfId="212" xr:uid="{00000000-0005-0000-0000-0000CE000000}"/>
    <cellStyle name="Normal 2 15 13" xfId="213" xr:uid="{00000000-0005-0000-0000-0000CF000000}"/>
    <cellStyle name="Normal 2 15 14" xfId="214" xr:uid="{00000000-0005-0000-0000-0000D0000000}"/>
    <cellStyle name="Normal 2 15 15" xfId="215" xr:uid="{00000000-0005-0000-0000-0000D1000000}"/>
    <cellStyle name="Normal 2 15 16" xfId="216" xr:uid="{00000000-0005-0000-0000-0000D2000000}"/>
    <cellStyle name="Normal 2 15 17" xfId="217" xr:uid="{00000000-0005-0000-0000-0000D3000000}"/>
    <cellStyle name="Normal 2 15 18" xfId="218" xr:uid="{00000000-0005-0000-0000-0000D4000000}"/>
    <cellStyle name="Normal 2 15 19" xfId="219" xr:uid="{00000000-0005-0000-0000-0000D5000000}"/>
    <cellStyle name="Normal 2 15 2" xfId="220" xr:uid="{00000000-0005-0000-0000-0000D6000000}"/>
    <cellStyle name="Normal 2 15 20" xfId="221" xr:uid="{00000000-0005-0000-0000-0000D7000000}"/>
    <cellStyle name="Normal 2 15 21" xfId="222" xr:uid="{00000000-0005-0000-0000-0000D8000000}"/>
    <cellStyle name="Normal 2 15 22" xfId="223" xr:uid="{00000000-0005-0000-0000-0000D9000000}"/>
    <cellStyle name="Normal 2 15 23" xfId="224" xr:uid="{00000000-0005-0000-0000-0000DA000000}"/>
    <cellStyle name="Normal 2 15 3" xfId="225" xr:uid="{00000000-0005-0000-0000-0000DB000000}"/>
    <cellStyle name="Normal 2 15 4" xfId="226" xr:uid="{00000000-0005-0000-0000-0000DC000000}"/>
    <cellStyle name="Normal 2 15 5" xfId="227" xr:uid="{00000000-0005-0000-0000-0000DD000000}"/>
    <cellStyle name="Normal 2 15 6" xfId="228" xr:uid="{00000000-0005-0000-0000-0000DE000000}"/>
    <cellStyle name="Normal 2 15 7" xfId="229" xr:uid="{00000000-0005-0000-0000-0000DF000000}"/>
    <cellStyle name="Normal 2 15 8" xfId="230" xr:uid="{00000000-0005-0000-0000-0000E0000000}"/>
    <cellStyle name="Normal 2 15 9" xfId="231" xr:uid="{00000000-0005-0000-0000-0000E1000000}"/>
    <cellStyle name="Normal 2 16" xfId="232" xr:uid="{00000000-0005-0000-0000-0000E2000000}"/>
    <cellStyle name="Normal 2 16 10" xfId="233" xr:uid="{00000000-0005-0000-0000-0000E3000000}"/>
    <cellStyle name="Normal 2 16 11" xfId="234" xr:uid="{00000000-0005-0000-0000-0000E4000000}"/>
    <cellStyle name="Normal 2 16 12" xfId="235" xr:uid="{00000000-0005-0000-0000-0000E5000000}"/>
    <cellStyle name="Normal 2 16 13" xfId="236" xr:uid="{00000000-0005-0000-0000-0000E6000000}"/>
    <cellStyle name="Normal 2 16 14" xfId="237" xr:uid="{00000000-0005-0000-0000-0000E7000000}"/>
    <cellStyle name="Normal 2 16 15" xfId="238" xr:uid="{00000000-0005-0000-0000-0000E8000000}"/>
    <cellStyle name="Normal 2 16 16" xfId="239" xr:uid="{00000000-0005-0000-0000-0000E9000000}"/>
    <cellStyle name="Normal 2 16 17" xfId="240" xr:uid="{00000000-0005-0000-0000-0000EA000000}"/>
    <cellStyle name="Normal 2 16 18" xfId="241" xr:uid="{00000000-0005-0000-0000-0000EB000000}"/>
    <cellStyle name="Normal 2 16 19" xfId="242" xr:uid="{00000000-0005-0000-0000-0000EC000000}"/>
    <cellStyle name="Normal 2 16 2" xfId="243" xr:uid="{00000000-0005-0000-0000-0000ED000000}"/>
    <cellStyle name="Normal 2 16 20" xfId="244" xr:uid="{00000000-0005-0000-0000-0000EE000000}"/>
    <cellStyle name="Normal 2 16 21" xfId="245" xr:uid="{00000000-0005-0000-0000-0000EF000000}"/>
    <cellStyle name="Normal 2 16 22" xfId="246" xr:uid="{00000000-0005-0000-0000-0000F0000000}"/>
    <cellStyle name="Normal 2 16 23" xfId="247" xr:uid="{00000000-0005-0000-0000-0000F1000000}"/>
    <cellStyle name="Normal 2 16 3" xfId="248" xr:uid="{00000000-0005-0000-0000-0000F2000000}"/>
    <cellStyle name="Normal 2 16 4" xfId="249" xr:uid="{00000000-0005-0000-0000-0000F3000000}"/>
    <cellStyle name="Normal 2 16 5" xfId="250" xr:uid="{00000000-0005-0000-0000-0000F4000000}"/>
    <cellStyle name="Normal 2 16 6" xfId="251" xr:uid="{00000000-0005-0000-0000-0000F5000000}"/>
    <cellStyle name="Normal 2 16 7" xfId="252" xr:uid="{00000000-0005-0000-0000-0000F6000000}"/>
    <cellStyle name="Normal 2 16 8" xfId="253" xr:uid="{00000000-0005-0000-0000-0000F7000000}"/>
    <cellStyle name="Normal 2 16 9" xfId="254" xr:uid="{00000000-0005-0000-0000-0000F8000000}"/>
    <cellStyle name="Normal 2 17" xfId="255" xr:uid="{00000000-0005-0000-0000-0000F9000000}"/>
    <cellStyle name="Normal 2 17 10" xfId="256" xr:uid="{00000000-0005-0000-0000-0000FA000000}"/>
    <cellStyle name="Normal 2 17 11" xfId="257" xr:uid="{00000000-0005-0000-0000-0000FB000000}"/>
    <cellStyle name="Normal 2 17 12" xfId="258" xr:uid="{00000000-0005-0000-0000-0000FC000000}"/>
    <cellStyle name="Normal 2 17 13" xfId="259" xr:uid="{00000000-0005-0000-0000-0000FD000000}"/>
    <cellStyle name="Normal 2 17 14" xfId="260" xr:uid="{00000000-0005-0000-0000-0000FE000000}"/>
    <cellStyle name="Normal 2 17 15" xfId="261" xr:uid="{00000000-0005-0000-0000-0000FF000000}"/>
    <cellStyle name="Normal 2 17 16" xfId="262" xr:uid="{00000000-0005-0000-0000-000000010000}"/>
    <cellStyle name="Normal 2 17 17" xfId="263" xr:uid="{00000000-0005-0000-0000-000001010000}"/>
    <cellStyle name="Normal 2 17 18" xfId="264" xr:uid="{00000000-0005-0000-0000-000002010000}"/>
    <cellStyle name="Normal 2 17 19" xfId="265" xr:uid="{00000000-0005-0000-0000-000003010000}"/>
    <cellStyle name="Normal 2 17 2" xfId="266" xr:uid="{00000000-0005-0000-0000-000004010000}"/>
    <cellStyle name="Normal 2 17 20" xfId="267" xr:uid="{00000000-0005-0000-0000-000005010000}"/>
    <cellStyle name="Normal 2 17 21" xfId="268" xr:uid="{00000000-0005-0000-0000-000006010000}"/>
    <cellStyle name="Normal 2 17 22" xfId="269" xr:uid="{00000000-0005-0000-0000-000007010000}"/>
    <cellStyle name="Normal 2 17 23" xfId="270" xr:uid="{00000000-0005-0000-0000-000008010000}"/>
    <cellStyle name="Normal 2 17 3" xfId="271" xr:uid="{00000000-0005-0000-0000-000009010000}"/>
    <cellStyle name="Normal 2 17 4" xfId="272" xr:uid="{00000000-0005-0000-0000-00000A010000}"/>
    <cellStyle name="Normal 2 17 5" xfId="273" xr:uid="{00000000-0005-0000-0000-00000B010000}"/>
    <cellStyle name="Normal 2 17 6" xfId="274" xr:uid="{00000000-0005-0000-0000-00000C010000}"/>
    <cellStyle name="Normal 2 17 7" xfId="275" xr:uid="{00000000-0005-0000-0000-00000D010000}"/>
    <cellStyle name="Normal 2 17 8" xfId="276" xr:uid="{00000000-0005-0000-0000-00000E010000}"/>
    <cellStyle name="Normal 2 17 9" xfId="277" xr:uid="{00000000-0005-0000-0000-00000F010000}"/>
    <cellStyle name="Normal 2 18" xfId="278" xr:uid="{00000000-0005-0000-0000-000010010000}"/>
    <cellStyle name="Normal 2 18 10" xfId="279" xr:uid="{00000000-0005-0000-0000-000011010000}"/>
    <cellStyle name="Normal 2 18 11" xfId="280" xr:uid="{00000000-0005-0000-0000-000012010000}"/>
    <cellStyle name="Normal 2 18 12" xfId="281" xr:uid="{00000000-0005-0000-0000-000013010000}"/>
    <cellStyle name="Normal 2 18 13" xfId="282" xr:uid="{00000000-0005-0000-0000-000014010000}"/>
    <cellStyle name="Normal 2 18 14" xfId="283" xr:uid="{00000000-0005-0000-0000-000015010000}"/>
    <cellStyle name="Normal 2 18 15" xfId="284" xr:uid="{00000000-0005-0000-0000-000016010000}"/>
    <cellStyle name="Normal 2 18 16" xfId="285" xr:uid="{00000000-0005-0000-0000-000017010000}"/>
    <cellStyle name="Normal 2 18 17" xfId="286" xr:uid="{00000000-0005-0000-0000-000018010000}"/>
    <cellStyle name="Normal 2 18 18" xfId="287" xr:uid="{00000000-0005-0000-0000-000019010000}"/>
    <cellStyle name="Normal 2 18 19" xfId="288" xr:uid="{00000000-0005-0000-0000-00001A010000}"/>
    <cellStyle name="Normal 2 18 2" xfId="289" xr:uid="{00000000-0005-0000-0000-00001B010000}"/>
    <cellStyle name="Normal 2 18 20" xfId="290" xr:uid="{00000000-0005-0000-0000-00001C010000}"/>
    <cellStyle name="Normal 2 18 21" xfId="291" xr:uid="{00000000-0005-0000-0000-00001D010000}"/>
    <cellStyle name="Normal 2 18 22" xfId="292" xr:uid="{00000000-0005-0000-0000-00001E010000}"/>
    <cellStyle name="Normal 2 18 23" xfId="293" xr:uid="{00000000-0005-0000-0000-00001F010000}"/>
    <cellStyle name="Normal 2 18 3" xfId="294" xr:uid="{00000000-0005-0000-0000-000020010000}"/>
    <cellStyle name="Normal 2 18 4" xfId="295" xr:uid="{00000000-0005-0000-0000-000021010000}"/>
    <cellStyle name="Normal 2 18 5" xfId="296" xr:uid="{00000000-0005-0000-0000-000022010000}"/>
    <cellStyle name="Normal 2 18 6" xfId="297" xr:uid="{00000000-0005-0000-0000-000023010000}"/>
    <cellStyle name="Normal 2 18 7" xfId="298" xr:uid="{00000000-0005-0000-0000-000024010000}"/>
    <cellStyle name="Normal 2 18 8" xfId="299" xr:uid="{00000000-0005-0000-0000-000025010000}"/>
    <cellStyle name="Normal 2 18 9" xfId="300" xr:uid="{00000000-0005-0000-0000-000026010000}"/>
    <cellStyle name="Normal 2 19" xfId="301" xr:uid="{00000000-0005-0000-0000-000027010000}"/>
    <cellStyle name="Normal 2 19 10" xfId="302" xr:uid="{00000000-0005-0000-0000-000028010000}"/>
    <cellStyle name="Normal 2 19 11" xfId="303" xr:uid="{00000000-0005-0000-0000-000029010000}"/>
    <cellStyle name="Normal 2 19 12" xfId="304" xr:uid="{00000000-0005-0000-0000-00002A010000}"/>
    <cellStyle name="Normal 2 19 13" xfId="305" xr:uid="{00000000-0005-0000-0000-00002B010000}"/>
    <cellStyle name="Normal 2 19 14" xfId="306" xr:uid="{00000000-0005-0000-0000-00002C010000}"/>
    <cellStyle name="Normal 2 19 15" xfId="307" xr:uid="{00000000-0005-0000-0000-00002D010000}"/>
    <cellStyle name="Normal 2 19 16" xfId="308" xr:uid="{00000000-0005-0000-0000-00002E010000}"/>
    <cellStyle name="Normal 2 19 17" xfId="309" xr:uid="{00000000-0005-0000-0000-00002F010000}"/>
    <cellStyle name="Normal 2 19 18" xfId="310" xr:uid="{00000000-0005-0000-0000-000030010000}"/>
    <cellStyle name="Normal 2 19 19" xfId="311" xr:uid="{00000000-0005-0000-0000-000031010000}"/>
    <cellStyle name="Normal 2 19 2" xfId="312" xr:uid="{00000000-0005-0000-0000-000032010000}"/>
    <cellStyle name="Normal 2 19 20" xfId="313" xr:uid="{00000000-0005-0000-0000-000033010000}"/>
    <cellStyle name="Normal 2 19 21" xfId="314" xr:uid="{00000000-0005-0000-0000-000034010000}"/>
    <cellStyle name="Normal 2 19 22" xfId="315" xr:uid="{00000000-0005-0000-0000-000035010000}"/>
    <cellStyle name="Normal 2 19 23" xfId="316" xr:uid="{00000000-0005-0000-0000-000036010000}"/>
    <cellStyle name="Normal 2 19 3" xfId="317" xr:uid="{00000000-0005-0000-0000-000037010000}"/>
    <cellStyle name="Normal 2 19 4" xfId="318" xr:uid="{00000000-0005-0000-0000-000038010000}"/>
    <cellStyle name="Normal 2 19 5" xfId="319" xr:uid="{00000000-0005-0000-0000-000039010000}"/>
    <cellStyle name="Normal 2 19 6" xfId="320" xr:uid="{00000000-0005-0000-0000-00003A010000}"/>
    <cellStyle name="Normal 2 19 7" xfId="321" xr:uid="{00000000-0005-0000-0000-00003B010000}"/>
    <cellStyle name="Normal 2 19 8" xfId="322" xr:uid="{00000000-0005-0000-0000-00003C010000}"/>
    <cellStyle name="Normal 2 19 9" xfId="323" xr:uid="{00000000-0005-0000-0000-00003D010000}"/>
    <cellStyle name="Normal 2 2" xfId="50" xr:uid="{00000000-0005-0000-0000-00003E010000}"/>
    <cellStyle name="Normal 2 2 2" xfId="324" xr:uid="{00000000-0005-0000-0000-00003F010000}"/>
    <cellStyle name="Normal 2 20" xfId="325" xr:uid="{00000000-0005-0000-0000-000040010000}"/>
    <cellStyle name="Normal 2 20 10" xfId="326" xr:uid="{00000000-0005-0000-0000-000041010000}"/>
    <cellStyle name="Normal 2 20 11" xfId="327" xr:uid="{00000000-0005-0000-0000-000042010000}"/>
    <cellStyle name="Normal 2 20 12" xfId="328" xr:uid="{00000000-0005-0000-0000-000043010000}"/>
    <cellStyle name="Normal 2 20 13" xfId="329" xr:uid="{00000000-0005-0000-0000-000044010000}"/>
    <cellStyle name="Normal 2 20 14" xfId="330" xr:uid="{00000000-0005-0000-0000-000045010000}"/>
    <cellStyle name="Normal 2 20 15" xfId="331" xr:uid="{00000000-0005-0000-0000-000046010000}"/>
    <cellStyle name="Normal 2 20 16" xfId="332" xr:uid="{00000000-0005-0000-0000-000047010000}"/>
    <cellStyle name="Normal 2 20 17" xfId="333" xr:uid="{00000000-0005-0000-0000-000048010000}"/>
    <cellStyle name="Normal 2 20 18" xfId="334" xr:uid="{00000000-0005-0000-0000-000049010000}"/>
    <cellStyle name="Normal 2 20 19" xfId="335" xr:uid="{00000000-0005-0000-0000-00004A010000}"/>
    <cellStyle name="Normal 2 20 2" xfId="336" xr:uid="{00000000-0005-0000-0000-00004B010000}"/>
    <cellStyle name="Normal 2 20 20" xfId="337" xr:uid="{00000000-0005-0000-0000-00004C010000}"/>
    <cellStyle name="Normal 2 20 21" xfId="338" xr:uid="{00000000-0005-0000-0000-00004D010000}"/>
    <cellStyle name="Normal 2 20 22" xfId="339" xr:uid="{00000000-0005-0000-0000-00004E010000}"/>
    <cellStyle name="Normal 2 20 23" xfId="340" xr:uid="{00000000-0005-0000-0000-00004F010000}"/>
    <cellStyle name="Normal 2 20 3" xfId="341" xr:uid="{00000000-0005-0000-0000-000050010000}"/>
    <cellStyle name="Normal 2 20 4" xfId="342" xr:uid="{00000000-0005-0000-0000-000051010000}"/>
    <cellStyle name="Normal 2 20 5" xfId="343" xr:uid="{00000000-0005-0000-0000-000052010000}"/>
    <cellStyle name="Normal 2 20 6" xfId="344" xr:uid="{00000000-0005-0000-0000-000053010000}"/>
    <cellStyle name="Normal 2 20 7" xfId="345" xr:uid="{00000000-0005-0000-0000-000054010000}"/>
    <cellStyle name="Normal 2 20 8" xfId="346" xr:uid="{00000000-0005-0000-0000-000055010000}"/>
    <cellStyle name="Normal 2 20 9" xfId="347" xr:uid="{00000000-0005-0000-0000-000056010000}"/>
    <cellStyle name="Normal 2 21" xfId="348" xr:uid="{00000000-0005-0000-0000-000057010000}"/>
    <cellStyle name="Normal 2 21 10" xfId="349" xr:uid="{00000000-0005-0000-0000-000058010000}"/>
    <cellStyle name="Normal 2 21 11" xfId="350" xr:uid="{00000000-0005-0000-0000-000059010000}"/>
    <cellStyle name="Normal 2 21 12" xfId="351" xr:uid="{00000000-0005-0000-0000-00005A010000}"/>
    <cellStyle name="Normal 2 21 13" xfId="352" xr:uid="{00000000-0005-0000-0000-00005B010000}"/>
    <cellStyle name="Normal 2 21 14" xfId="353" xr:uid="{00000000-0005-0000-0000-00005C010000}"/>
    <cellStyle name="Normal 2 21 15" xfId="354" xr:uid="{00000000-0005-0000-0000-00005D010000}"/>
    <cellStyle name="Normal 2 21 16" xfId="355" xr:uid="{00000000-0005-0000-0000-00005E010000}"/>
    <cellStyle name="Normal 2 21 17" xfId="356" xr:uid="{00000000-0005-0000-0000-00005F010000}"/>
    <cellStyle name="Normal 2 21 18" xfId="357" xr:uid="{00000000-0005-0000-0000-000060010000}"/>
    <cellStyle name="Normal 2 21 19" xfId="358" xr:uid="{00000000-0005-0000-0000-000061010000}"/>
    <cellStyle name="Normal 2 21 2" xfId="359" xr:uid="{00000000-0005-0000-0000-000062010000}"/>
    <cellStyle name="Normal 2 21 20" xfId="360" xr:uid="{00000000-0005-0000-0000-000063010000}"/>
    <cellStyle name="Normal 2 21 21" xfId="361" xr:uid="{00000000-0005-0000-0000-000064010000}"/>
    <cellStyle name="Normal 2 21 22" xfId="362" xr:uid="{00000000-0005-0000-0000-000065010000}"/>
    <cellStyle name="Normal 2 21 23" xfId="363" xr:uid="{00000000-0005-0000-0000-000066010000}"/>
    <cellStyle name="Normal 2 21 3" xfId="364" xr:uid="{00000000-0005-0000-0000-000067010000}"/>
    <cellStyle name="Normal 2 21 4" xfId="365" xr:uid="{00000000-0005-0000-0000-000068010000}"/>
    <cellStyle name="Normal 2 21 5" xfId="366" xr:uid="{00000000-0005-0000-0000-000069010000}"/>
    <cellStyle name="Normal 2 21 6" xfId="367" xr:uid="{00000000-0005-0000-0000-00006A010000}"/>
    <cellStyle name="Normal 2 21 7" xfId="368" xr:uid="{00000000-0005-0000-0000-00006B010000}"/>
    <cellStyle name="Normal 2 21 8" xfId="369" xr:uid="{00000000-0005-0000-0000-00006C010000}"/>
    <cellStyle name="Normal 2 21 9" xfId="370" xr:uid="{00000000-0005-0000-0000-00006D010000}"/>
    <cellStyle name="Normal 2 22" xfId="371" xr:uid="{00000000-0005-0000-0000-00006E010000}"/>
    <cellStyle name="Normal 2 22 10" xfId="372" xr:uid="{00000000-0005-0000-0000-00006F010000}"/>
    <cellStyle name="Normal 2 22 11" xfId="373" xr:uid="{00000000-0005-0000-0000-000070010000}"/>
    <cellStyle name="Normal 2 22 12" xfId="374" xr:uid="{00000000-0005-0000-0000-000071010000}"/>
    <cellStyle name="Normal 2 22 13" xfId="375" xr:uid="{00000000-0005-0000-0000-000072010000}"/>
    <cellStyle name="Normal 2 22 14" xfId="376" xr:uid="{00000000-0005-0000-0000-000073010000}"/>
    <cellStyle name="Normal 2 22 15" xfId="377" xr:uid="{00000000-0005-0000-0000-000074010000}"/>
    <cellStyle name="Normal 2 22 16" xfId="378" xr:uid="{00000000-0005-0000-0000-000075010000}"/>
    <cellStyle name="Normal 2 22 17" xfId="379" xr:uid="{00000000-0005-0000-0000-000076010000}"/>
    <cellStyle name="Normal 2 22 18" xfId="380" xr:uid="{00000000-0005-0000-0000-000077010000}"/>
    <cellStyle name="Normal 2 22 19" xfId="381" xr:uid="{00000000-0005-0000-0000-000078010000}"/>
    <cellStyle name="Normal 2 22 2" xfId="382" xr:uid="{00000000-0005-0000-0000-000079010000}"/>
    <cellStyle name="Normal 2 22 20" xfId="383" xr:uid="{00000000-0005-0000-0000-00007A010000}"/>
    <cellStyle name="Normal 2 22 21" xfId="384" xr:uid="{00000000-0005-0000-0000-00007B010000}"/>
    <cellStyle name="Normal 2 22 22" xfId="385" xr:uid="{00000000-0005-0000-0000-00007C010000}"/>
    <cellStyle name="Normal 2 22 23" xfId="386" xr:uid="{00000000-0005-0000-0000-00007D010000}"/>
    <cellStyle name="Normal 2 22 3" xfId="387" xr:uid="{00000000-0005-0000-0000-00007E010000}"/>
    <cellStyle name="Normal 2 22 4" xfId="388" xr:uid="{00000000-0005-0000-0000-00007F010000}"/>
    <cellStyle name="Normal 2 22 5" xfId="389" xr:uid="{00000000-0005-0000-0000-000080010000}"/>
    <cellStyle name="Normal 2 22 6" xfId="390" xr:uid="{00000000-0005-0000-0000-000081010000}"/>
    <cellStyle name="Normal 2 22 7" xfId="391" xr:uid="{00000000-0005-0000-0000-000082010000}"/>
    <cellStyle name="Normal 2 22 8" xfId="392" xr:uid="{00000000-0005-0000-0000-000083010000}"/>
    <cellStyle name="Normal 2 22 9" xfId="393" xr:uid="{00000000-0005-0000-0000-000084010000}"/>
    <cellStyle name="Normal 2 23" xfId="394" xr:uid="{00000000-0005-0000-0000-000085010000}"/>
    <cellStyle name="Normal 2 23 10" xfId="395" xr:uid="{00000000-0005-0000-0000-000086010000}"/>
    <cellStyle name="Normal 2 23 11" xfId="396" xr:uid="{00000000-0005-0000-0000-000087010000}"/>
    <cellStyle name="Normal 2 23 12" xfId="397" xr:uid="{00000000-0005-0000-0000-000088010000}"/>
    <cellStyle name="Normal 2 23 13" xfId="398" xr:uid="{00000000-0005-0000-0000-000089010000}"/>
    <cellStyle name="Normal 2 23 14" xfId="399" xr:uid="{00000000-0005-0000-0000-00008A010000}"/>
    <cellStyle name="Normal 2 23 15" xfId="400" xr:uid="{00000000-0005-0000-0000-00008B010000}"/>
    <cellStyle name="Normal 2 23 16" xfId="401" xr:uid="{00000000-0005-0000-0000-00008C010000}"/>
    <cellStyle name="Normal 2 23 17" xfId="402" xr:uid="{00000000-0005-0000-0000-00008D010000}"/>
    <cellStyle name="Normal 2 23 18" xfId="403" xr:uid="{00000000-0005-0000-0000-00008E010000}"/>
    <cellStyle name="Normal 2 23 19" xfId="404" xr:uid="{00000000-0005-0000-0000-00008F010000}"/>
    <cellStyle name="Normal 2 23 2" xfId="405" xr:uid="{00000000-0005-0000-0000-000090010000}"/>
    <cellStyle name="Normal 2 23 20" xfId="406" xr:uid="{00000000-0005-0000-0000-000091010000}"/>
    <cellStyle name="Normal 2 23 21" xfId="407" xr:uid="{00000000-0005-0000-0000-000092010000}"/>
    <cellStyle name="Normal 2 23 22" xfId="408" xr:uid="{00000000-0005-0000-0000-000093010000}"/>
    <cellStyle name="Normal 2 23 23" xfId="409" xr:uid="{00000000-0005-0000-0000-000094010000}"/>
    <cellStyle name="Normal 2 23 3" xfId="410" xr:uid="{00000000-0005-0000-0000-000095010000}"/>
    <cellStyle name="Normal 2 23 4" xfId="411" xr:uid="{00000000-0005-0000-0000-000096010000}"/>
    <cellStyle name="Normal 2 23 5" xfId="412" xr:uid="{00000000-0005-0000-0000-000097010000}"/>
    <cellStyle name="Normal 2 23 6" xfId="413" xr:uid="{00000000-0005-0000-0000-000098010000}"/>
    <cellStyle name="Normal 2 23 7" xfId="414" xr:uid="{00000000-0005-0000-0000-000099010000}"/>
    <cellStyle name="Normal 2 23 8" xfId="415" xr:uid="{00000000-0005-0000-0000-00009A010000}"/>
    <cellStyle name="Normal 2 23 9" xfId="416" xr:uid="{00000000-0005-0000-0000-00009B010000}"/>
    <cellStyle name="Normal 2 24" xfId="417" xr:uid="{00000000-0005-0000-0000-00009C010000}"/>
    <cellStyle name="Normal 2 24 10" xfId="418" xr:uid="{00000000-0005-0000-0000-00009D010000}"/>
    <cellStyle name="Normal 2 24 11" xfId="419" xr:uid="{00000000-0005-0000-0000-00009E010000}"/>
    <cellStyle name="Normal 2 24 12" xfId="420" xr:uid="{00000000-0005-0000-0000-00009F010000}"/>
    <cellStyle name="Normal 2 24 13" xfId="421" xr:uid="{00000000-0005-0000-0000-0000A0010000}"/>
    <cellStyle name="Normal 2 24 14" xfId="422" xr:uid="{00000000-0005-0000-0000-0000A1010000}"/>
    <cellStyle name="Normal 2 24 15" xfId="423" xr:uid="{00000000-0005-0000-0000-0000A2010000}"/>
    <cellStyle name="Normal 2 24 16" xfId="424" xr:uid="{00000000-0005-0000-0000-0000A3010000}"/>
    <cellStyle name="Normal 2 24 17" xfId="425" xr:uid="{00000000-0005-0000-0000-0000A4010000}"/>
    <cellStyle name="Normal 2 24 18" xfId="426" xr:uid="{00000000-0005-0000-0000-0000A5010000}"/>
    <cellStyle name="Normal 2 24 19" xfId="427" xr:uid="{00000000-0005-0000-0000-0000A6010000}"/>
    <cellStyle name="Normal 2 24 2" xfId="428" xr:uid="{00000000-0005-0000-0000-0000A7010000}"/>
    <cellStyle name="Normal 2 24 20" xfId="429" xr:uid="{00000000-0005-0000-0000-0000A8010000}"/>
    <cellStyle name="Normal 2 24 21" xfId="430" xr:uid="{00000000-0005-0000-0000-0000A9010000}"/>
    <cellStyle name="Normal 2 24 22" xfId="431" xr:uid="{00000000-0005-0000-0000-0000AA010000}"/>
    <cellStyle name="Normal 2 24 23" xfId="432" xr:uid="{00000000-0005-0000-0000-0000AB010000}"/>
    <cellStyle name="Normal 2 24 3" xfId="433" xr:uid="{00000000-0005-0000-0000-0000AC010000}"/>
    <cellStyle name="Normal 2 24 4" xfId="434" xr:uid="{00000000-0005-0000-0000-0000AD010000}"/>
    <cellStyle name="Normal 2 24 5" xfId="435" xr:uid="{00000000-0005-0000-0000-0000AE010000}"/>
    <cellStyle name="Normal 2 24 6" xfId="436" xr:uid="{00000000-0005-0000-0000-0000AF010000}"/>
    <cellStyle name="Normal 2 24 7" xfId="437" xr:uid="{00000000-0005-0000-0000-0000B0010000}"/>
    <cellStyle name="Normal 2 24 8" xfId="438" xr:uid="{00000000-0005-0000-0000-0000B1010000}"/>
    <cellStyle name="Normal 2 24 9" xfId="439" xr:uid="{00000000-0005-0000-0000-0000B2010000}"/>
    <cellStyle name="Normal 2 25" xfId="440" xr:uid="{00000000-0005-0000-0000-0000B3010000}"/>
    <cellStyle name="Normal 2 25 10" xfId="441" xr:uid="{00000000-0005-0000-0000-0000B4010000}"/>
    <cellStyle name="Normal 2 25 11" xfId="442" xr:uid="{00000000-0005-0000-0000-0000B5010000}"/>
    <cellStyle name="Normal 2 25 12" xfId="443" xr:uid="{00000000-0005-0000-0000-0000B6010000}"/>
    <cellStyle name="Normal 2 25 13" xfId="444" xr:uid="{00000000-0005-0000-0000-0000B7010000}"/>
    <cellStyle name="Normal 2 25 14" xfId="445" xr:uid="{00000000-0005-0000-0000-0000B8010000}"/>
    <cellStyle name="Normal 2 25 15" xfId="446" xr:uid="{00000000-0005-0000-0000-0000B9010000}"/>
    <cellStyle name="Normal 2 25 16" xfId="447" xr:uid="{00000000-0005-0000-0000-0000BA010000}"/>
    <cellStyle name="Normal 2 25 17" xfId="448" xr:uid="{00000000-0005-0000-0000-0000BB010000}"/>
    <cellStyle name="Normal 2 25 18" xfId="449" xr:uid="{00000000-0005-0000-0000-0000BC010000}"/>
    <cellStyle name="Normal 2 25 19" xfId="450" xr:uid="{00000000-0005-0000-0000-0000BD010000}"/>
    <cellStyle name="Normal 2 25 2" xfId="451" xr:uid="{00000000-0005-0000-0000-0000BE010000}"/>
    <cellStyle name="Normal 2 25 20" xfId="452" xr:uid="{00000000-0005-0000-0000-0000BF010000}"/>
    <cellStyle name="Normal 2 25 21" xfId="453" xr:uid="{00000000-0005-0000-0000-0000C0010000}"/>
    <cellStyle name="Normal 2 25 22" xfId="454" xr:uid="{00000000-0005-0000-0000-0000C1010000}"/>
    <cellStyle name="Normal 2 25 23" xfId="455" xr:uid="{00000000-0005-0000-0000-0000C2010000}"/>
    <cellStyle name="Normal 2 25 3" xfId="456" xr:uid="{00000000-0005-0000-0000-0000C3010000}"/>
    <cellStyle name="Normal 2 25 4" xfId="457" xr:uid="{00000000-0005-0000-0000-0000C4010000}"/>
    <cellStyle name="Normal 2 25 5" xfId="458" xr:uid="{00000000-0005-0000-0000-0000C5010000}"/>
    <cellStyle name="Normal 2 25 6" xfId="459" xr:uid="{00000000-0005-0000-0000-0000C6010000}"/>
    <cellStyle name="Normal 2 25 7" xfId="460" xr:uid="{00000000-0005-0000-0000-0000C7010000}"/>
    <cellStyle name="Normal 2 25 8" xfId="461" xr:uid="{00000000-0005-0000-0000-0000C8010000}"/>
    <cellStyle name="Normal 2 25 9" xfId="462" xr:uid="{00000000-0005-0000-0000-0000C9010000}"/>
    <cellStyle name="Normal 2 26" xfId="463" xr:uid="{00000000-0005-0000-0000-0000CA010000}"/>
    <cellStyle name="Normal 2 26 10" xfId="464" xr:uid="{00000000-0005-0000-0000-0000CB010000}"/>
    <cellStyle name="Normal 2 26 11" xfId="465" xr:uid="{00000000-0005-0000-0000-0000CC010000}"/>
    <cellStyle name="Normal 2 26 12" xfId="466" xr:uid="{00000000-0005-0000-0000-0000CD010000}"/>
    <cellStyle name="Normal 2 26 13" xfId="467" xr:uid="{00000000-0005-0000-0000-0000CE010000}"/>
    <cellStyle name="Normal 2 26 14" xfId="468" xr:uid="{00000000-0005-0000-0000-0000CF010000}"/>
    <cellStyle name="Normal 2 26 15" xfId="469" xr:uid="{00000000-0005-0000-0000-0000D0010000}"/>
    <cellStyle name="Normal 2 26 16" xfId="470" xr:uid="{00000000-0005-0000-0000-0000D1010000}"/>
    <cellStyle name="Normal 2 26 17" xfId="471" xr:uid="{00000000-0005-0000-0000-0000D2010000}"/>
    <cellStyle name="Normal 2 26 18" xfId="472" xr:uid="{00000000-0005-0000-0000-0000D3010000}"/>
    <cellStyle name="Normal 2 26 19" xfId="473" xr:uid="{00000000-0005-0000-0000-0000D4010000}"/>
    <cellStyle name="Normal 2 26 2" xfId="474" xr:uid="{00000000-0005-0000-0000-0000D5010000}"/>
    <cellStyle name="Normal 2 26 20" xfId="475" xr:uid="{00000000-0005-0000-0000-0000D6010000}"/>
    <cellStyle name="Normal 2 26 21" xfId="476" xr:uid="{00000000-0005-0000-0000-0000D7010000}"/>
    <cellStyle name="Normal 2 26 22" xfId="477" xr:uid="{00000000-0005-0000-0000-0000D8010000}"/>
    <cellStyle name="Normal 2 26 23" xfId="478" xr:uid="{00000000-0005-0000-0000-0000D9010000}"/>
    <cellStyle name="Normal 2 26 3" xfId="479" xr:uid="{00000000-0005-0000-0000-0000DA010000}"/>
    <cellStyle name="Normal 2 26 4" xfId="480" xr:uid="{00000000-0005-0000-0000-0000DB010000}"/>
    <cellStyle name="Normal 2 26 5" xfId="481" xr:uid="{00000000-0005-0000-0000-0000DC010000}"/>
    <cellStyle name="Normal 2 26 6" xfId="482" xr:uid="{00000000-0005-0000-0000-0000DD010000}"/>
    <cellStyle name="Normal 2 26 7" xfId="483" xr:uid="{00000000-0005-0000-0000-0000DE010000}"/>
    <cellStyle name="Normal 2 26 8" xfId="484" xr:uid="{00000000-0005-0000-0000-0000DF010000}"/>
    <cellStyle name="Normal 2 26 9" xfId="485" xr:uid="{00000000-0005-0000-0000-0000E0010000}"/>
    <cellStyle name="Normal 2 27" xfId="486" xr:uid="{00000000-0005-0000-0000-0000E1010000}"/>
    <cellStyle name="Normal 2 27 10" xfId="487" xr:uid="{00000000-0005-0000-0000-0000E2010000}"/>
    <cellStyle name="Normal 2 27 11" xfId="488" xr:uid="{00000000-0005-0000-0000-0000E3010000}"/>
    <cellStyle name="Normal 2 27 12" xfId="489" xr:uid="{00000000-0005-0000-0000-0000E4010000}"/>
    <cellStyle name="Normal 2 27 13" xfId="490" xr:uid="{00000000-0005-0000-0000-0000E5010000}"/>
    <cellStyle name="Normal 2 27 14" xfId="491" xr:uid="{00000000-0005-0000-0000-0000E6010000}"/>
    <cellStyle name="Normal 2 27 15" xfId="492" xr:uid="{00000000-0005-0000-0000-0000E7010000}"/>
    <cellStyle name="Normal 2 27 16" xfId="493" xr:uid="{00000000-0005-0000-0000-0000E8010000}"/>
    <cellStyle name="Normal 2 27 17" xfId="494" xr:uid="{00000000-0005-0000-0000-0000E9010000}"/>
    <cellStyle name="Normal 2 27 18" xfId="495" xr:uid="{00000000-0005-0000-0000-0000EA010000}"/>
    <cellStyle name="Normal 2 27 19" xfId="496" xr:uid="{00000000-0005-0000-0000-0000EB010000}"/>
    <cellStyle name="Normal 2 27 2" xfId="497" xr:uid="{00000000-0005-0000-0000-0000EC010000}"/>
    <cellStyle name="Normal 2 27 20" xfId="498" xr:uid="{00000000-0005-0000-0000-0000ED010000}"/>
    <cellStyle name="Normal 2 27 21" xfId="499" xr:uid="{00000000-0005-0000-0000-0000EE010000}"/>
    <cellStyle name="Normal 2 27 22" xfId="500" xr:uid="{00000000-0005-0000-0000-0000EF010000}"/>
    <cellStyle name="Normal 2 27 23" xfId="501" xr:uid="{00000000-0005-0000-0000-0000F0010000}"/>
    <cellStyle name="Normal 2 27 3" xfId="502" xr:uid="{00000000-0005-0000-0000-0000F1010000}"/>
    <cellStyle name="Normal 2 27 4" xfId="503" xr:uid="{00000000-0005-0000-0000-0000F2010000}"/>
    <cellStyle name="Normal 2 27 5" xfId="504" xr:uid="{00000000-0005-0000-0000-0000F3010000}"/>
    <cellStyle name="Normal 2 27 6" xfId="505" xr:uid="{00000000-0005-0000-0000-0000F4010000}"/>
    <cellStyle name="Normal 2 27 7" xfId="506" xr:uid="{00000000-0005-0000-0000-0000F5010000}"/>
    <cellStyle name="Normal 2 27 8" xfId="507" xr:uid="{00000000-0005-0000-0000-0000F6010000}"/>
    <cellStyle name="Normal 2 27 9" xfId="508" xr:uid="{00000000-0005-0000-0000-0000F7010000}"/>
    <cellStyle name="Normal 2 28" xfId="509" xr:uid="{00000000-0005-0000-0000-0000F8010000}"/>
    <cellStyle name="Normal 2 28 10" xfId="510" xr:uid="{00000000-0005-0000-0000-0000F9010000}"/>
    <cellStyle name="Normal 2 28 11" xfId="511" xr:uid="{00000000-0005-0000-0000-0000FA010000}"/>
    <cellStyle name="Normal 2 28 12" xfId="512" xr:uid="{00000000-0005-0000-0000-0000FB010000}"/>
    <cellStyle name="Normal 2 28 13" xfId="513" xr:uid="{00000000-0005-0000-0000-0000FC010000}"/>
    <cellStyle name="Normal 2 28 14" xfId="514" xr:uid="{00000000-0005-0000-0000-0000FD010000}"/>
    <cellStyle name="Normal 2 28 15" xfId="515" xr:uid="{00000000-0005-0000-0000-0000FE010000}"/>
    <cellStyle name="Normal 2 28 16" xfId="516" xr:uid="{00000000-0005-0000-0000-0000FF010000}"/>
    <cellStyle name="Normal 2 28 17" xfId="517" xr:uid="{00000000-0005-0000-0000-000000020000}"/>
    <cellStyle name="Normal 2 28 18" xfId="518" xr:uid="{00000000-0005-0000-0000-000001020000}"/>
    <cellStyle name="Normal 2 28 19" xfId="519" xr:uid="{00000000-0005-0000-0000-000002020000}"/>
    <cellStyle name="Normal 2 28 2" xfId="520" xr:uid="{00000000-0005-0000-0000-000003020000}"/>
    <cellStyle name="Normal 2 28 20" xfId="521" xr:uid="{00000000-0005-0000-0000-000004020000}"/>
    <cellStyle name="Normal 2 28 21" xfId="522" xr:uid="{00000000-0005-0000-0000-000005020000}"/>
    <cellStyle name="Normal 2 28 22" xfId="523" xr:uid="{00000000-0005-0000-0000-000006020000}"/>
    <cellStyle name="Normal 2 28 23" xfId="524" xr:uid="{00000000-0005-0000-0000-000007020000}"/>
    <cellStyle name="Normal 2 28 3" xfId="525" xr:uid="{00000000-0005-0000-0000-000008020000}"/>
    <cellStyle name="Normal 2 28 4" xfId="526" xr:uid="{00000000-0005-0000-0000-000009020000}"/>
    <cellStyle name="Normal 2 28 5" xfId="527" xr:uid="{00000000-0005-0000-0000-00000A020000}"/>
    <cellStyle name="Normal 2 28 6" xfId="528" xr:uid="{00000000-0005-0000-0000-00000B020000}"/>
    <cellStyle name="Normal 2 28 7" xfId="529" xr:uid="{00000000-0005-0000-0000-00000C020000}"/>
    <cellStyle name="Normal 2 28 8" xfId="530" xr:uid="{00000000-0005-0000-0000-00000D020000}"/>
    <cellStyle name="Normal 2 28 9" xfId="531" xr:uid="{00000000-0005-0000-0000-00000E020000}"/>
    <cellStyle name="Normal 2 29" xfId="532" xr:uid="{00000000-0005-0000-0000-00000F020000}"/>
    <cellStyle name="Normal 2 29 10" xfId="533" xr:uid="{00000000-0005-0000-0000-000010020000}"/>
    <cellStyle name="Normal 2 29 11" xfId="534" xr:uid="{00000000-0005-0000-0000-000011020000}"/>
    <cellStyle name="Normal 2 29 12" xfId="535" xr:uid="{00000000-0005-0000-0000-000012020000}"/>
    <cellStyle name="Normal 2 29 13" xfId="536" xr:uid="{00000000-0005-0000-0000-000013020000}"/>
    <cellStyle name="Normal 2 29 14" xfId="537" xr:uid="{00000000-0005-0000-0000-000014020000}"/>
    <cellStyle name="Normal 2 29 15" xfId="538" xr:uid="{00000000-0005-0000-0000-000015020000}"/>
    <cellStyle name="Normal 2 29 16" xfId="539" xr:uid="{00000000-0005-0000-0000-000016020000}"/>
    <cellStyle name="Normal 2 29 17" xfId="540" xr:uid="{00000000-0005-0000-0000-000017020000}"/>
    <cellStyle name="Normal 2 29 18" xfId="541" xr:uid="{00000000-0005-0000-0000-000018020000}"/>
    <cellStyle name="Normal 2 29 19" xfId="542" xr:uid="{00000000-0005-0000-0000-000019020000}"/>
    <cellStyle name="Normal 2 29 2" xfId="543" xr:uid="{00000000-0005-0000-0000-00001A020000}"/>
    <cellStyle name="Normal 2 29 20" xfId="544" xr:uid="{00000000-0005-0000-0000-00001B020000}"/>
    <cellStyle name="Normal 2 29 21" xfId="545" xr:uid="{00000000-0005-0000-0000-00001C020000}"/>
    <cellStyle name="Normal 2 29 22" xfId="546" xr:uid="{00000000-0005-0000-0000-00001D020000}"/>
    <cellStyle name="Normal 2 29 23" xfId="547" xr:uid="{00000000-0005-0000-0000-00001E020000}"/>
    <cellStyle name="Normal 2 29 3" xfId="548" xr:uid="{00000000-0005-0000-0000-00001F020000}"/>
    <cellStyle name="Normal 2 29 4" xfId="549" xr:uid="{00000000-0005-0000-0000-000020020000}"/>
    <cellStyle name="Normal 2 29 5" xfId="550" xr:uid="{00000000-0005-0000-0000-000021020000}"/>
    <cellStyle name="Normal 2 29 6" xfId="551" xr:uid="{00000000-0005-0000-0000-000022020000}"/>
    <cellStyle name="Normal 2 29 7" xfId="552" xr:uid="{00000000-0005-0000-0000-000023020000}"/>
    <cellStyle name="Normal 2 29 8" xfId="553" xr:uid="{00000000-0005-0000-0000-000024020000}"/>
    <cellStyle name="Normal 2 29 9" xfId="554" xr:uid="{00000000-0005-0000-0000-000025020000}"/>
    <cellStyle name="Normal 2 3" xfId="555" xr:uid="{00000000-0005-0000-0000-000026020000}"/>
    <cellStyle name="Normal 2 30" xfId="556" xr:uid="{00000000-0005-0000-0000-000027020000}"/>
    <cellStyle name="Normal 2 30 10" xfId="557" xr:uid="{00000000-0005-0000-0000-000028020000}"/>
    <cellStyle name="Normal 2 30 11" xfId="558" xr:uid="{00000000-0005-0000-0000-000029020000}"/>
    <cellStyle name="Normal 2 30 12" xfId="559" xr:uid="{00000000-0005-0000-0000-00002A020000}"/>
    <cellStyle name="Normal 2 30 13" xfId="560" xr:uid="{00000000-0005-0000-0000-00002B020000}"/>
    <cellStyle name="Normal 2 30 14" xfId="561" xr:uid="{00000000-0005-0000-0000-00002C020000}"/>
    <cellStyle name="Normal 2 30 15" xfId="562" xr:uid="{00000000-0005-0000-0000-00002D020000}"/>
    <cellStyle name="Normal 2 30 16" xfId="563" xr:uid="{00000000-0005-0000-0000-00002E020000}"/>
    <cellStyle name="Normal 2 30 17" xfId="564" xr:uid="{00000000-0005-0000-0000-00002F020000}"/>
    <cellStyle name="Normal 2 30 18" xfId="565" xr:uid="{00000000-0005-0000-0000-000030020000}"/>
    <cellStyle name="Normal 2 30 19" xfId="566" xr:uid="{00000000-0005-0000-0000-000031020000}"/>
    <cellStyle name="Normal 2 30 2" xfId="567" xr:uid="{00000000-0005-0000-0000-000032020000}"/>
    <cellStyle name="Normal 2 30 20" xfId="568" xr:uid="{00000000-0005-0000-0000-000033020000}"/>
    <cellStyle name="Normal 2 30 21" xfId="569" xr:uid="{00000000-0005-0000-0000-000034020000}"/>
    <cellStyle name="Normal 2 30 22" xfId="570" xr:uid="{00000000-0005-0000-0000-000035020000}"/>
    <cellStyle name="Normal 2 30 23" xfId="571" xr:uid="{00000000-0005-0000-0000-000036020000}"/>
    <cellStyle name="Normal 2 30 3" xfId="572" xr:uid="{00000000-0005-0000-0000-000037020000}"/>
    <cellStyle name="Normal 2 30 4" xfId="573" xr:uid="{00000000-0005-0000-0000-000038020000}"/>
    <cellStyle name="Normal 2 30 5" xfId="574" xr:uid="{00000000-0005-0000-0000-000039020000}"/>
    <cellStyle name="Normal 2 30 6" xfId="575" xr:uid="{00000000-0005-0000-0000-00003A020000}"/>
    <cellStyle name="Normal 2 30 7" xfId="576" xr:uid="{00000000-0005-0000-0000-00003B020000}"/>
    <cellStyle name="Normal 2 30 8" xfId="577" xr:uid="{00000000-0005-0000-0000-00003C020000}"/>
    <cellStyle name="Normal 2 30 9" xfId="578" xr:uid="{00000000-0005-0000-0000-00003D020000}"/>
    <cellStyle name="Normal 2 31" xfId="579" xr:uid="{00000000-0005-0000-0000-00003E020000}"/>
    <cellStyle name="Normal 2 31 10" xfId="580" xr:uid="{00000000-0005-0000-0000-00003F020000}"/>
    <cellStyle name="Normal 2 31 11" xfId="581" xr:uid="{00000000-0005-0000-0000-000040020000}"/>
    <cellStyle name="Normal 2 31 12" xfId="582" xr:uid="{00000000-0005-0000-0000-000041020000}"/>
    <cellStyle name="Normal 2 31 13" xfId="583" xr:uid="{00000000-0005-0000-0000-000042020000}"/>
    <cellStyle name="Normal 2 31 14" xfId="584" xr:uid="{00000000-0005-0000-0000-000043020000}"/>
    <cellStyle name="Normal 2 31 15" xfId="585" xr:uid="{00000000-0005-0000-0000-000044020000}"/>
    <cellStyle name="Normal 2 31 16" xfId="586" xr:uid="{00000000-0005-0000-0000-000045020000}"/>
    <cellStyle name="Normal 2 31 17" xfId="587" xr:uid="{00000000-0005-0000-0000-000046020000}"/>
    <cellStyle name="Normal 2 31 18" xfId="588" xr:uid="{00000000-0005-0000-0000-000047020000}"/>
    <cellStyle name="Normal 2 31 19" xfId="589" xr:uid="{00000000-0005-0000-0000-000048020000}"/>
    <cellStyle name="Normal 2 31 2" xfId="590" xr:uid="{00000000-0005-0000-0000-000049020000}"/>
    <cellStyle name="Normal 2 31 20" xfId="591" xr:uid="{00000000-0005-0000-0000-00004A020000}"/>
    <cellStyle name="Normal 2 31 21" xfId="592" xr:uid="{00000000-0005-0000-0000-00004B020000}"/>
    <cellStyle name="Normal 2 31 22" xfId="593" xr:uid="{00000000-0005-0000-0000-00004C020000}"/>
    <cellStyle name="Normal 2 31 23" xfId="594" xr:uid="{00000000-0005-0000-0000-00004D020000}"/>
    <cellStyle name="Normal 2 31 3" xfId="595" xr:uid="{00000000-0005-0000-0000-00004E020000}"/>
    <cellStyle name="Normal 2 31 4" xfId="596" xr:uid="{00000000-0005-0000-0000-00004F020000}"/>
    <cellStyle name="Normal 2 31 5" xfId="597" xr:uid="{00000000-0005-0000-0000-000050020000}"/>
    <cellStyle name="Normal 2 31 6" xfId="598" xr:uid="{00000000-0005-0000-0000-000051020000}"/>
    <cellStyle name="Normal 2 31 7" xfId="599" xr:uid="{00000000-0005-0000-0000-000052020000}"/>
    <cellStyle name="Normal 2 31 8" xfId="600" xr:uid="{00000000-0005-0000-0000-000053020000}"/>
    <cellStyle name="Normal 2 31 9" xfId="601" xr:uid="{00000000-0005-0000-0000-000054020000}"/>
    <cellStyle name="Normal 2 32" xfId="602" xr:uid="{00000000-0005-0000-0000-000055020000}"/>
    <cellStyle name="Normal 2 32 10" xfId="603" xr:uid="{00000000-0005-0000-0000-000056020000}"/>
    <cellStyle name="Normal 2 32 11" xfId="604" xr:uid="{00000000-0005-0000-0000-000057020000}"/>
    <cellStyle name="Normal 2 32 12" xfId="605" xr:uid="{00000000-0005-0000-0000-000058020000}"/>
    <cellStyle name="Normal 2 32 13" xfId="606" xr:uid="{00000000-0005-0000-0000-000059020000}"/>
    <cellStyle name="Normal 2 32 14" xfId="607" xr:uid="{00000000-0005-0000-0000-00005A020000}"/>
    <cellStyle name="Normal 2 32 15" xfId="608" xr:uid="{00000000-0005-0000-0000-00005B020000}"/>
    <cellStyle name="Normal 2 32 16" xfId="609" xr:uid="{00000000-0005-0000-0000-00005C020000}"/>
    <cellStyle name="Normal 2 32 17" xfId="610" xr:uid="{00000000-0005-0000-0000-00005D020000}"/>
    <cellStyle name="Normal 2 32 18" xfId="611" xr:uid="{00000000-0005-0000-0000-00005E020000}"/>
    <cellStyle name="Normal 2 32 19" xfId="612" xr:uid="{00000000-0005-0000-0000-00005F020000}"/>
    <cellStyle name="Normal 2 32 2" xfId="613" xr:uid="{00000000-0005-0000-0000-000060020000}"/>
    <cellStyle name="Normal 2 32 20" xfId="614" xr:uid="{00000000-0005-0000-0000-000061020000}"/>
    <cellStyle name="Normal 2 32 21" xfId="615" xr:uid="{00000000-0005-0000-0000-000062020000}"/>
    <cellStyle name="Normal 2 32 22" xfId="616" xr:uid="{00000000-0005-0000-0000-000063020000}"/>
    <cellStyle name="Normal 2 32 23" xfId="617" xr:uid="{00000000-0005-0000-0000-000064020000}"/>
    <cellStyle name="Normal 2 32 3" xfId="618" xr:uid="{00000000-0005-0000-0000-000065020000}"/>
    <cellStyle name="Normal 2 32 4" xfId="619" xr:uid="{00000000-0005-0000-0000-000066020000}"/>
    <cellStyle name="Normal 2 32 5" xfId="620" xr:uid="{00000000-0005-0000-0000-000067020000}"/>
    <cellStyle name="Normal 2 32 6" xfId="621" xr:uid="{00000000-0005-0000-0000-000068020000}"/>
    <cellStyle name="Normal 2 32 7" xfId="622" xr:uid="{00000000-0005-0000-0000-000069020000}"/>
    <cellStyle name="Normal 2 32 8" xfId="623" xr:uid="{00000000-0005-0000-0000-00006A020000}"/>
    <cellStyle name="Normal 2 32 9" xfId="624" xr:uid="{00000000-0005-0000-0000-00006B020000}"/>
    <cellStyle name="Normal 2 33" xfId="625" xr:uid="{00000000-0005-0000-0000-00006C020000}"/>
    <cellStyle name="Normal 2 33 10" xfId="626" xr:uid="{00000000-0005-0000-0000-00006D020000}"/>
    <cellStyle name="Normal 2 33 11" xfId="627" xr:uid="{00000000-0005-0000-0000-00006E020000}"/>
    <cellStyle name="Normal 2 33 12" xfId="628" xr:uid="{00000000-0005-0000-0000-00006F020000}"/>
    <cellStyle name="Normal 2 33 13" xfId="629" xr:uid="{00000000-0005-0000-0000-000070020000}"/>
    <cellStyle name="Normal 2 33 14" xfId="630" xr:uid="{00000000-0005-0000-0000-000071020000}"/>
    <cellStyle name="Normal 2 33 15" xfId="631" xr:uid="{00000000-0005-0000-0000-000072020000}"/>
    <cellStyle name="Normal 2 33 16" xfId="632" xr:uid="{00000000-0005-0000-0000-000073020000}"/>
    <cellStyle name="Normal 2 33 17" xfId="633" xr:uid="{00000000-0005-0000-0000-000074020000}"/>
    <cellStyle name="Normal 2 33 18" xfId="634" xr:uid="{00000000-0005-0000-0000-000075020000}"/>
    <cellStyle name="Normal 2 33 19" xfId="635" xr:uid="{00000000-0005-0000-0000-000076020000}"/>
    <cellStyle name="Normal 2 33 2" xfId="636" xr:uid="{00000000-0005-0000-0000-000077020000}"/>
    <cellStyle name="Normal 2 33 20" xfId="637" xr:uid="{00000000-0005-0000-0000-000078020000}"/>
    <cellStyle name="Normal 2 33 21" xfId="638" xr:uid="{00000000-0005-0000-0000-000079020000}"/>
    <cellStyle name="Normal 2 33 22" xfId="639" xr:uid="{00000000-0005-0000-0000-00007A020000}"/>
    <cellStyle name="Normal 2 33 23" xfId="640" xr:uid="{00000000-0005-0000-0000-00007B020000}"/>
    <cellStyle name="Normal 2 33 3" xfId="641" xr:uid="{00000000-0005-0000-0000-00007C020000}"/>
    <cellStyle name="Normal 2 33 4" xfId="642" xr:uid="{00000000-0005-0000-0000-00007D020000}"/>
    <cellStyle name="Normal 2 33 5" xfId="643" xr:uid="{00000000-0005-0000-0000-00007E020000}"/>
    <cellStyle name="Normal 2 33 6" xfId="644" xr:uid="{00000000-0005-0000-0000-00007F020000}"/>
    <cellStyle name="Normal 2 33 7" xfId="645" xr:uid="{00000000-0005-0000-0000-000080020000}"/>
    <cellStyle name="Normal 2 33 8" xfId="646" xr:uid="{00000000-0005-0000-0000-000081020000}"/>
    <cellStyle name="Normal 2 33 9" xfId="647" xr:uid="{00000000-0005-0000-0000-000082020000}"/>
    <cellStyle name="Normal 2 34" xfId="648" xr:uid="{00000000-0005-0000-0000-000083020000}"/>
    <cellStyle name="Normal 2 34 10" xfId="649" xr:uid="{00000000-0005-0000-0000-000084020000}"/>
    <cellStyle name="Normal 2 34 11" xfId="650" xr:uid="{00000000-0005-0000-0000-000085020000}"/>
    <cellStyle name="Normal 2 34 12" xfId="651" xr:uid="{00000000-0005-0000-0000-000086020000}"/>
    <cellStyle name="Normal 2 34 13" xfId="652" xr:uid="{00000000-0005-0000-0000-000087020000}"/>
    <cellStyle name="Normal 2 34 14" xfId="653" xr:uid="{00000000-0005-0000-0000-000088020000}"/>
    <cellStyle name="Normal 2 34 15" xfId="654" xr:uid="{00000000-0005-0000-0000-000089020000}"/>
    <cellStyle name="Normal 2 34 16" xfId="655" xr:uid="{00000000-0005-0000-0000-00008A020000}"/>
    <cellStyle name="Normal 2 34 17" xfId="656" xr:uid="{00000000-0005-0000-0000-00008B020000}"/>
    <cellStyle name="Normal 2 34 18" xfId="657" xr:uid="{00000000-0005-0000-0000-00008C020000}"/>
    <cellStyle name="Normal 2 34 19" xfId="658" xr:uid="{00000000-0005-0000-0000-00008D020000}"/>
    <cellStyle name="Normal 2 34 2" xfId="659" xr:uid="{00000000-0005-0000-0000-00008E020000}"/>
    <cellStyle name="Normal 2 34 20" xfId="660" xr:uid="{00000000-0005-0000-0000-00008F020000}"/>
    <cellStyle name="Normal 2 34 21" xfId="661" xr:uid="{00000000-0005-0000-0000-000090020000}"/>
    <cellStyle name="Normal 2 34 22" xfId="662" xr:uid="{00000000-0005-0000-0000-000091020000}"/>
    <cellStyle name="Normal 2 34 23" xfId="663" xr:uid="{00000000-0005-0000-0000-000092020000}"/>
    <cellStyle name="Normal 2 34 3" xfId="664" xr:uid="{00000000-0005-0000-0000-000093020000}"/>
    <cellStyle name="Normal 2 34 4" xfId="665" xr:uid="{00000000-0005-0000-0000-000094020000}"/>
    <cellStyle name="Normal 2 34 5" xfId="666" xr:uid="{00000000-0005-0000-0000-000095020000}"/>
    <cellStyle name="Normal 2 34 6" xfId="667" xr:uid="{00000000-0005-0000-0000-000096020000}"/>
    <cellStyle name="Normal 2 34 7" xfId="668" xr:uid="{00000000-0005-0000-0000-000097020000}"/>
    <cellStyle name="Normal 2 34 8" xfId="669" xr:uid="{00000000-0005-0000-0000-000098020000}"/>
    <cellStyle name="Normal 2 34 9" xfId="670" xr:uid="{00000000-0005-0000-0000-000099020000}"/>
    <cellStyle name="Normal 2 35" xfId="671" xr:uid="{00000000-0005-0000-0000-00009A020000}"/>
    <cellStyle name="Normal 2 35 10" xfId="672" xr:uid="{00000000-0005-0000-0000-00009B020000}"/>
    <cellStyle name="Normal 2 35 11" xfId="673" xr:uid="{00000000-0005-0000-0000-00009C020000}"/>
    <cellStyle name="Normal 2 35 12" xfId="674" xr:uid="{00000000-0005-0000-0000-00009D020000}"/>
    <cellStyle name="Normal 2 35 13" xfId="675" xr:uid="{00000000-0005-0000-0000-00009E020000}"/>
    <cellStyle name="Normal 2 35 14" xfId="676" xr:uid="{00000000-0005-0000-0000-00009F020000}"/>
    <cellStyle name="Normal 2 35 15" xfId="677" xr:uid="{00000000-0005-0000-0000-0000A0020000}"/>
    <cellStyle name="Normal 2 35 16" xfId="678" xr:uid="{00000000-0005-0000-0000-0000A1020000}"/>
    <cellStyle name="Normal 2 35 17" xfId="679" xr:uid="{00000000-0005-0000-0000-0000A2020000}"/>
    <cellStyle name="Normal 2 35 18" xfId="680" xr:uid="{00000000-0005-0000-0000-0000A3020000}"/>
    <cellStyle name="Normal 2 35 19" xfId="681" xr:uid="{00000000-0005-0000-0000-0000A4020000}"/>
    <cellStyle name="Normal 2 35 2" xfId="682" xr:uid="{00000000-0005-0000-0000-0000A5020000}"/>
    <cellStyle name="Normal 2 35 20" xfId="683" xr:uid="{00000000-0005-0000-0000-0000A6020000}"/>
    <cellStyle name="Normal 2 35 21" xfId="684" xr:uid="{00000000-0005-0000-0000-0000A7020000}"/>
    <cellStyle name="Normal 2 35 22" xfId="685" xr:uid="{00000000-0005-0000-0000-0000A8020000}"/>
    <cellStyle name="Normal 2 35 23" xfId="686" xr:uid="{00000000-0005-0000-0000-0000A9020000}"/>
    <cellStyle name="Normal 2 35 3" xfId="687" xr:uid="{00000000-0005-0000-0000-0000AA020000}"/>
    <cellStyle name="Normal 2 35 4" xfId="688" xr:uid="{00000000-0005-0000-0000-0000AB020000}"/>
    <cellStyle name="Normal 2 35 5" xfId="689" xr:uid="{00000000-0005-0000-0000-0000AC020000}"/>
    <cellStyle name="Normal 2 35 6" xfId="690" xr:uid="{00000000-0005-0000-0000-0000AD020000}"/>
    <cellStyle name="Normal 2 35 7" xfId="691" xr:uid="{00000000-0005-0000-0000-0000AE020000}"/>
    <cellStyle name="Normal 2 35 8" xfId="692" xr:uid="{00000000-0005-0000-0000-0000AF020000}"/>
    <cellStyle name="Normal 2 35 9" xfId="693" xr:uid="{00000000-0005-0000-0000-0000B0020000}"/>
    <cellStyle name="Normal 2 36" xfId="694" xr:uid="{00000000-0005-0000-0000-0000B1020000}"/>
    <cellStyle name="Normal 2 36 10" xfId="695" xr:uid="{00000000-0005-0000-0000-0000B2020000}"/>
    <cellStyle name="Normal 2 36 11" xfId="696" xr:uid="{00000000-0005-0000-0000-0000B3020000}"/>
    <cellStyle name="Normal 2 36 12" xfId="697" xr:uid="{00000000-0005-0000-0000-0000B4020000}"/>
    <cellStyle name="Normal 2 36 13" xfId="698" xr:uid="{00000000-0005-0000-0000-0000B5020000}"/>
    <cellStyle name="Normal 2 36 14" xfId="699" xr:uid="{00000000-0005-0000-0000-0000B6020000}"/>
    <cellStyle name="Normal 2 36 15" xfId="700" xr:uid="{00000000-0005-0000-0000-0000B7020000}"/>
    <cellStyle name="Normal 2 36 16" xfId="701" xr:uid="{00000000-0005-0000-0000-0000B8020000}"/>
    <cellStyle name="Normal 2 36 17" xfId="702" xr:uid="{00000000-0005-0000-0000-0000B9020000}"/>
    <cellStyle name="Normal 2 36 18" xfId="703" xr:uid="{00000000-0005-0000-0000-0000BA020000}"/>
    <cellStyle name="Normal 2 36 19" xfId="704" xr:uid="{00000000-0005-0000-0000-0000BB020000}"/>
    <cellStyle name="Normal 2 36 2" xfId="705" xr:uid="{00000000-0005-0000-0000-0000BC020000}"/>
    <cellStyle name="Normal 2 36 20" xfId="706" xr:uid="{00000000-0005-0000-0000-0000BD020000}"/>
    <cellStyle name="Normal 2 36 21" xfId="707" xr:uid="{00000000-0005-0000-0000-0000BE020000}"/>
    <cellStyle name="Normal 2 36 22" xfId="708" xr:uid="{00000000-0005-0000-0000-0000BF020000}"/>
    <cellStyle name="Normal 2 36 23" xfId="709" xr:uid="{00000000-0005-0000-0000-0000C0020000}"/>
    <cellStyle name="Normal 2 36 3" xfId="710" xr:uid="{00000000-0005-0000-0000-0000C1020000}"/>
    <cellStyle name="Normal 2 36 4" xfId="711" xr:uid="{00000000-0005-0000-0000-0000C2020000}"/>
    <cellStyle name="Normal 2 36 5" xfId="712" xr:uid="{00000000-0005-0000-0000-0000C3020000}"/>
    <cellStyle name="Normal 2 36 6" xfId="713" xr:uid="{00000000-0005-0000-0000-0000C4020000}"/>
    <cellStyle name="Normal 2 36 7" xfId="714" xr:uid="{00000000-0005-0000-0000-0000C5020000}"/>
    <cellStyle name="Normal 2 36 8" xfId="715" xr:uid="{00000000-0005-0000-0000-0000C6020000}"/>
    <cellStyle name="Normal 2 36 9" xfId="716" xr:uid="{00000000-0005-0000-0000-0000C7020000}"/>
    <cellStyle name="Normal 2 37" xfId="717" xr:uid="{00000000-0005-0000-0000-0000C8020000}"/>
    <cellStyle name="Normal 2 37 10" xfId="718" xr:uid="{00000000-0005-0000-0000-0000C9020000}"/>
    <cellStyle name="Normal 2 37 11" xfId="719" xr:uid="{00000000-0005-0000-0000-0000CA020000}"/>
    <cellStyle name="Normal 2 37 12" xfId="720" xr:uid="{00000000-0005-0000-0000-0000CB020000}"/>
    <cellStyle name="Normal 2 37 13" xfId="721" xr:uid="{00000000-0005-0000-0000-0000CC020000}"/>
    <cellStyle name="Normal 2 37 14" xfId="722" xr:uid="{00000000-0005-0000-0000-0000CD020000}"/>
    <cellStyle name="Normal 2 37 15" xfId="723" xr:uid="{00000000-0005-0000-0000-0000CE020000}"/>
    <cellStyle name="Normal 2 37 16" xfId="724" xr:uid="{00000000-0005-0000-0000-0000CF020000}"/>
    <cellStyle name="Normal 2 37 17" xfId="725" xr:uid="{00000000-0005-0000-0000-0000D0020000}"/>
    <cellStyle name="Normal 2 37 18" xfId="726" xr:uid="{00000000-0005-0000-0000-0000D1020000}"/>
    <cellStyle name="Normal 2 37 19" xfId="727" xr:uid="{00000000-0005-0000-0000-0000D2020000}"/>
    <cellStyle name="Normal 2 37 2" xfId="728" xr:uid="{00000000-0005-0000-0000-0000D3020000}"/>
    <cellStyle name="Normal 2 37 20" xfId="729" xr:uid="{00000000-0005-0000-0000-0000D4020000}"/>
    <cellStyle name="Normal 2 37 21" xfId="730" xr:uid="{00000000-0005-0000-0000-0000D5020000}"/>
    <cellStyle name="Normal 2 37 22" xfId="731" xr:uid="{00000000-0005-0000-0000-0000D6020000}"/>
    <cellStyle name="Normal 2 37 23" xfId="732" xr:uid="{00000000-0005-0000-0000-0000D7020000}"/>
    <cellStyle name="Normal 2 37 3" xfId="733" xr:uid="{00000000-0005-0000-0000-0000D8020000}"/>
    <cellStyle name="Normal 2 37 4" xfId="734" xr:uid="{00000000-0005-0000-0000-0000D9020000}"/>
    <cellStyle name="Normal 2 37 5" xfId="735" xr:uid="{00000000-0005-0000-0000-0000DA020000}"/>
    <cellStyle name="Normal 2 37 6" xfId="736" xr:uid="{00000000-0005-0000-0000-0000DB020000}"/>
    <cellStyle name="Normal 2 37 7" xfId="737" xr:uid="{00000000-0005-0000-0000-0000DC020000}"/>
    <cellStyle name="Normal 2 37 8" xfId="738" xr:uid="{00000000-0005-0000-0000-0000DD020000}"/>
    <cellStyle name="Normal 2 37 9" xfId="739" xr:uid="{00000000-0005-0000-0000-0000DE020000}"/>
    <cellStyle name="Normal 2 38" xfId="740" xr:uid="{00000000-0005-0000-0000-0000DF020000}"/>
    <cellStyle name="Normal 2 38 10" xfId="741" xr:uid="{00000000-0005-0000-0000-0000E0020000}"/>
    <cellStyle name="Normal 2 38 11" xfId="742" xr:uid="{00000000-0005-0000-0000-0000E1020000}"/>
    <cellStyle name="Normal 2 38 12" xfId="743" xr:uid="{00000000-0005-0000-0000-0000E2020000}"/>
    <cellStyle name="Normal 2 38 13" xfId="744" xr:uid="{00000000-0005-0000-0000-0000E3020000}"/>
    <cellStyle name="Normal 2 38 14" xfId="745" xr:uid="{00000000-0005-0000-0000-0000E4020000}"/>
    <cellStyle name="Normal 2 38 15" xfId="746" xr:uid="{00000000-0005-0000-0000-0000E5020000}"/>
    <cellStyle name="Normal 2 38 16" xfId="747" xr:uid="{00000000-0005-0000-0000-0000E6020000}"/>
    <cellStyle name="Normal 2 38 17" xfId="748" xr:uid="{00000000-0005-0000-0000-0000E7020000}"/>
    <cellStyle name="Normal 2 38 18" xfId="749" xr:uid="{00000000-0005-0000-0000-0000E8020000}"/>
    <cellStyle name="Normal 2 38 19" xfId="750" xr:uid="{00000000-0005-0000-0000-0000E9020000}"/>
    <cellStyle name="Normal 2 38 2" xfId="751" xr:uid="{00000000-0005-0000-0000-0000EA020000}"/>
    <cellStyle name="Normal 2 38 20" xfId="752" xr:uid="{00000000-0005-0000-0000-0000EB020000}"/>
    <cellStyle name="Normal 2 38 21" xfId="753" xr:uid="{00000000-0005-0000-0000-0000EC020000}"/>
    <cellStyle name="Normal 2 38 22" xfId="754" xr:uid="{00000000-0005-0000-0000-0000ED020000}"/>
    <cellStyle name="Normal 2 38 23" xfId="755" xr:uid="{00000000-0005-0000-0000-0000EE020000}"/>
    <cellStyle name="Normal 2 38 3" xfId="756" xr:uid="{00000000-0005-0000-0000-0000EF020000}"/>
    <cellStyle name="Normal 2 38 4" xfId="757" xr:uid="{00000000-0005-0000-0000-0000F0020000}"/>
    <cellStyle name="Normal 2 38 5" xfId="758" xr:uid="{00000000-0005-0000-0000-0000F1020000}"/>
    <cellStyle name="Normal 2 38 6" xfId="759" xr:uid="{00000000-0005-0000-0000-0000F2020000}"/>
    <cellStyle name="Normal 2 38 7" xfId="760" xr:uid="{00000000-0005-0000-0000-0000F3020000}"/>
    <cellStyle name="Normal 2 38 8" xfId="761" xr:uid="{00000000-0005-0000-0000-0000F4020000}"/>
    <cellStyle name="Normal 2 38 9" xfId="762" xr:uid="{00000000-0005-0000-0000-0000F5020000}"/>
    <cellStyle name="Normal 2 39" xfId="763" xr:uid="{00000000-0005-0000-0000-0000F6020000}"/>
    <cellStyle name="Normal 2 39 10" xfId="764" xr:uid="{00000000-0005-0000-0000-0000F7020000}"/>
    <cellStyle name="Normal 2 39 11" xfId="765" xr:uid="{00000000-0005-0000-0000-0000F8020000}"/>
    <cellStyle name="Normal 2 39 12" xfId="766" xr:uid="{00000000-0005-0000-0000-0000F9020000}"/>
    <cellStyle name="Normal 2 39 13" xfId="767" xr:uid="{00000000-0005-0000-0000-0000FA020000}"/>
    <cellStyle name="Normal 2 39 14" xfId="768" xr:uid="{00000000-0005-0000-0000-0000FB020000}"/>
    <cellStyle name="Normal 2 39 15" xfId="769" xr:uid="{00000000-0005-0000-0000-0000FC020000}"/>
    <cellStyle name="Normal 2 39 16" xfId="770" xr:uid="{00000000-0005-0000-0000-0000FD020000}"/>
    <cellStyle name="Normal 2 39 17" xfId="771" xr:uid="{00000000-0005-0000-0000-0000FE020000}"/>
    <cellStyle name="Normal 2 39 18" xfId="772" xr:uid="{00000000-0005-0000-0000-0000FF020000}"/>
    <cellStyle name="Normal 2 39 19" xfId="773" xr:uid="{00000000-0005-0000-0000-000000030000}"/>
    <cellStyle name="Normal 2 39 2" xfId="774" xr:uid="{00000000-0005-0000-0000-000001030000}"/>
    <cellStyle name="Normal 2 39 20" xfId="775" xr:uid="{00000000-0005-0000-0000-000002030000}"/>
    <cellStyle name="Normal 2 39 21" xfId="776" xr:uid="{00000000-0005-0000-0000-000003030000}"/>
    <cellStyle name="Normal 2 39 22" xfId="777" xr:uid="{00000000-0005-0000-0000-000004030000}"/>
    <cellStyle name="Normal 2 39 23" xfId="778" xr:uid="{00000000-0005-0000-0000-000005030000}"/>
    <cellStyle name="Normal 2 39 3" xfId="779" xr:uid="{00000000-0005-0000-0000-000006030000}"/>
    <cellStyle name="Normal 2 39 4" xfId="780" xr:uid="{00000000-0005-0000-0000-000007030000}"/>
    <cellStyle name="Normal 2 39 5" xfId="781" xr:uid="{00000000-0005-0000-0000-000008030000}"/>
    <cellStyle name="Normal 2 39 6" xfId="782" xr:uid="{00000000-0005-0000-0000-000009030000}"/>
    <cellStyle name="Normal 2 39 7" xfId="783" xr:uid="{00000000-0005-0000-0000-00000A030000}"/>
    <cellStyle name="Normal 2 39 8" xfId="784" xr:uid="{00000000-0005-0000-0000-00000B030000}"/>
    <cellStyle name="Normal 2 39 9" xfId="785" xr:uid="{00000000-0005-0000-0000-00000C030000}"/>
    <cellStyle name="Normal 2 4" xfId="786" xr:uid="{00000000-0005-0000-0000-00000D030000}"/>
    <cellStyle name="Normal 2 40" xfId="787" xr:uid="{00000000-0005-0000-0000-00000E030000}"/>
    <cellStyle name="Normal 2 41" xfId="788" xr:uid="{00000000-0005-0000-0000-00000F030000}"/>
    <cellStyle name="Normal 2 42" xfId="789" xr:uid="{00000000-0005-0000-0000-000010030000}"/>
    <cellStyle name="Normal 2 43" xfId="790" xr:uid="{00000000-0005-0000-0000-000011030000}"/>
    <cellStyle name="Normal 2 44" xfId="791" xr:uid="{00000000-0005-0000-0000-000012030000}"/>
    <cellStyle name="Normal 2 45" xfId="792" xr:uid="{00000000-0005-0000-0000-000013030000}"/>
    <cellStyle name="Normal 2 46" xfId="793" xr:uid="{00000000-0005-0000-0000-000014030000}"/>
    <cellStyle name="Normal 2 47" xfId="794" xr:uid="{00000000-0005-0000-0000-000015030000}"/>
    <cellStyle name="Normal 2 48" xfId="795" xr:uid="{00000000-0005-0000-0000-000016030000}"/>
    <cellStyle name="Normal 2 49" xfId="796" xr:uid="{00000000-0005-0000-0000-000017030000}"/>
    <cellStyle name="Normal 2 5" xfId="797" xr:uid="{00000000-0005-0000-0000-000018030000}"/>
    <cellStyle name="Normal 2 5 10" xfId="798" xr:uid="{00000000-0005-0000-0000-000019030000}"/>
    <cellStyle name="Normal 2 5 11" xfId="799" xr:uid="{00000000-0005-0000-0000-00001A030000}"/>
    <cellStyle name="Normal 2 5 12" xfId="800" xr:uid="{00000000-0005-0000-0000-00001B030000}"/>
    <cellStyle name="Normal 2 5 13" xfId="801" xr:uid="{00000000-0005-0000-0000-00001C030000}"/>
    <cellStyle name="Normal 2 5 14" xfId="802" xr:uid="{00000000-0005-0000-0000-00001D030000}"/>
    <cellStyle name="Normal 2 5 15" xfId="803" xr:uid="{00000000-0005-0000-0000-00001E030000}"/>
    <cellStyle name="Normal 2 5 16" xfId="804" xr:uid="{00000000-0005-0000-0000-00001F030000}"/>
    <cellStyle name="Normal 2 5 17" xfId="805" xr:uid="{00000000-0005-0000-0000-000020030000}"/>
    <cellStyle name="Normal 2 5 18" xfId="806" xr:uid="{00000000-0005-0000-0000-000021030000}"/>
    <cellStyle name="Normal 2 5 19" xfId="807" xr:uid="{00000000-0005-0000-0000-000022030000}"/>
    <cellStyle name="Normal 2 5 2" xfId="808" xr:uid="{00000000-0005-0000-0000-000023030000}"/>
    <cellStyle name="Normal 2 5 2 10" xfId="809" xr:uid="{00000000-0005-0000-0000-000024030000}"/>
    <cellStyle name="Normal 2 5 2 11" xfId="810" xr:uid="{00000000-0005-0000-0000-000025030000}"/>
    <cellStyle name="Normal 2 5 2 12" xfId="811" xr:uid="{00000000-0005-0000-0000-000026030000}"/>
    <cellStyle name="Normal 2 5 2 13" xfId="812" xr:uid="{00000000-0005-0000-0000-000027030000}"/>
    <cellStyle name="Normal 2 5 2 14" xfId="813" xr:uid="{00000000-0005-0000-0000-000028030000}"/>
    <cellStyle name="Normal 2 5 2 15" xfId="814" xr:uid="{00000000-0005-0000-0000-000029030000}"/>
    <cellStyle name="Normal 2 5 2 16" xfId="815" xr:uid="{00000000-0005-0000-0000-00002A030000}"/>
    <cellStyle name="Normal 2 5 2 17" xfId="816" xr:uid="{00000000-0005-0000-0000-00002B030000}"/>
    <cellStyle name="Normal 2 5 2 18" xfId="817" xr:uid="{00000000-0005-0000-0000-00002C030000}"/>
    <cellStyle name="Normal 2 5 2 19" xfId="818" xr:uid="{00000000-0005-0000-0000-00002D030000}"/>
    <cellStyle name="Normal 2 5 2 2" xfId="819" xr:uid="{00000000-0005-0000-0000-00002E030000}"/>
    <cellStyle name="Normal 2 5 2 2 10" xfId="820" xr:uid="{00000000-0005-0000-0000-00002F030000}"/>
    <cellStyle name="Normal 2 5 2 2 11" xfId="821" xr:uid="{00000000-0005-0000-0000-000030030000}"/>
    <cellStyle name="Normal 2 5 2 2 12" xfId="822" xr:uid="{00000000-0005-0000-0000-000031030000}"/>
    <cellStyle name="Normal 2 5 2 2 13" xfId="823" xr:uid="{00000000-0005-0000-0000-000032030000}"/>
    <cellStyle name="Normal 2 5 2 2 14" xfId="824" xr:uid="{00000000-0005-0000-0000-000033030000}"/>
    <cellStyle name="Normal 2 5 2 2 15" xfId="825" xr:uid="{00000000-0005-0000-0000-000034030000}"/>
    <cellStyle name="Normal 2 5 2 2 16" xfId="826" xr:uid="{00000000-0005-0000-0000-000035030000}"/>
    <cellStyle name="Normal 2 5 2 2 17" xfId="827" xr:uid="{00000000-0005-0000-0000-000036030000}"/>
    <cellStyle name="Normal 2 5 2 2 18" xfId="828" xr:uid="{00000000-0005-0000-0000-000037030000}"/>
    <cellStyle name="Normal 2 5 2 2 19" xfId="829" xr:uid="{00000000-0005-0000-0000-000038030000}"/>
    <cellStyle name="Normal 2 5 2 2 2" xfId="830" xr:uid="{00000000-0005-0000-0000-000039030000}"/>
    <cellStyle name="Normal 2 5 2 2 20" xfId="831" xr:uid="{00000000-0005-0000-0000-00003A030000}"/>
    <cellStyle name="Normal 2 5 2 2 21" xfId="832" xr:uid="{00000000-0005-0000-0000-00003B030000}"/>
    <cellStyle name="Normal 2 5 2 2 22" xfId="833" xr:uid="{00000000-0005-0000-0000-00003C030000}"/>
    <cellStyle name="Normal 2 5 2 2 23" xfId="834" xr:uid="{00000000-0005-0000-0000-00003D030000}"/>
    <cellStyle name="Normal 2 5 2 2 24" xfId="835" xr:uid="{00000000-0005-0000-0000-00003E030000}"/>
    <cellStyle name="Normal 2 5 2 2 25" xfId="836" xr:uid="{00000000-0005-0000-0000-00003F030000}"/>
    <cellStyle name="Normal 2 5 2 2 26" xfId="837" xr:uid="{00000000-0005-0000-0000-000040030000}"/>
    <cellStyle name="Normal 2 5 2 2 27" xfId="838" xr:uid="{00000000-0005-0000-0000-000041030000}"/>
    <cellStyle name="Normal 2 5 2 2 28" xfId="839" xr:uid="{00000000-0005-0000-0000-000042030000}"/>
    <cellStyle name="Normal 2 5 2 2 29" xfId="840" xr:uid="{00000000-0005-0000-0000-000043030000}"/>
    <cellStyle name="Normal 2 5 2 2 3" xfId="841" xr:uid="{00000000-0005-0000-0000-000044030000}"/>
    <cellStyle name="Normal 2 5 2 2 30" xfId="842" xr:uid="{00000000-0005-0000-0000-000045030000}"/>
    <cellStyle name="Normal 2 5 2 2 31" xfId="843" xr:uid="{00000000-0005-0000-0000-000046030000}"/>
    <cellStyle name="Normal 2 5 2 2 32" xfId="844" xr:uid="{00000000-0005-0000-0000-000047030000}"/>
    <cellStyle name="Normal 2 5 2 2 33" xfId="845" xr:uid="{00000000-0005-0000-0000-000048030000}"/>
    <cellStyle name="Normal 2 5 2 2 34" xfId="846" xr:uid="{00000000-0005-0000-0000-000049030000}"/>
    <cellStyle name="Normal 2 5 2 2 35" xfId="847" xr:uid="{00000000-0005-0000-0000-00004A030000}"/>
    <cellStyle name="Normal 2 5 2 2 36" xfId="848" xr:uid="{00000000-0005-0000-0000-00004B030000}"/>
    <cellStyle name="Normal 2 5 2 2 37" xfId="849" xr:uid="{00000000-0005-0000-0000-00004C030000}"/>
    <cellStyle name="Normal 2 5 2 2 38" xfId="850" xr:uid="{00000000-0005-0000-0000-00004D030000}"/>
    <cellStyle name="Normal 2 5 2 2 39" xfId="851" xr:uid="{00000000-0005-0000-0000-00004E030000}"/>
    <cellStyle name="Normal 2 5 2 2 4" xfId="852" xr:uid="{00000000-0005-0000-0000-00004F030000}"/>
    <cellStyle name="Normal 2 5 2 2 40" xfId="853" xr:uid="{00000000-0005-0000-0000-000050030000}"/>
    <cellStyle name="Normal 2 5 2 2 41" xfId="854" xr:uid="{00000000-0005-0000-0000-000051030000}"/>
    <cellStyle name="Normal 2 5 2 2 42" xfId="855" xr:uid="{00000000-0005-0000-0000-000052030000}"/>
    <cellStyle name="Normal 2 5 2 2 43" xfId="856" xr:uid="{00000000-0005-0000-0000-000053030000}"/>
    <cellStyle name="Normal 2 5 2 2 44" xfId="857" xr:uid="{00000000-0005-0000-0000-000054030000}"/>
    <cellStyle name="Normal 2 5 2 2 45" xfId="858" xr:uid="{00000000-0005-0000-0000-000055030000}"/>
    <cellStyle name="Normal 2 5 2 2 46" xfId="859" xr:uid="{00000000-0005-0000-0000-000056030000}"/>
    <cellStyle name="Normal 2 5 2 2 47" xfId="860" xr:uid="{00000000-0005-0000-0000-000057030000}"/>
    <cellStyle name="Normal 2 5 2 2 48" xfId="861" xr:uid="{00000000-0005-0000-0000-000058030000}"/>
    <cellStyle name="Normal 2 5 2 2 49" xfId="862" xr:uid="{00000000-0005-0000-0000-000059030000}"/>
    <cellStyle name="Normal 2 5 2 2 5" xfId="863" xr:uid="{00000000-0005-0000-0000-00005A030000}"/>
    <cellStyle name="Normal 2 5 2 2 50" xfId="864" xr:uid="{00000000-0005-0000-0000-00005B030000}"/>
    <cellStyle name="Normal 2 5 2 2 51" xfId="865" xr:uid="{00000000-0005-0000-0000-00005C030000}"/>
    <cellStyle name="Normal 2 5 2 2 52" xfId="866" xr:uid="{00000000-0005-0000-0000-00005D030000}"/>
    <cellStyle name="Normal 2 5 2 2 53" xfId="867" xr:uid="{00000000-0005-0000-0000-00005E030000}"/>
    <cellStyle name="Normal 2 5 2 2 54" xfId="868" xr:uid="{00000000-0005-0000-0000-00005F030000}"/>
    <cellStyle name="Normal 2 5 2 2 55" xfId="869" xr:uid="{00000000-0005-0000-0000-000060030000}"/>
    <cellStyle name="Normal 2 5 2 2 6" xfId="870" xr:uid="{00000000-0005-0000-0000-000061030000}"/>
    <cellStyle name="Normal 2 5 2 2 7" xfId="871" xr:uid="{00000000-0005-0000-0000-000062030000}"/>
    <cellStyle name="Normal 2 5 2 2 8" xfId="872" xr:uid="{00000000-0005-0000-0000-000063030000}"/>
    <cellStyle name="Normal 2 5 2 2 9" xfId="873" xr:uid="{00000000-0005-0000-0000-000064030000}"/>
    <cellStyle name="Normal 2 5 2 20" xfId="874" xr:uid="{00000000-0005-0000-0000-000065030000}"/>
    <cellStyle name="Normal 2 5 2 21" xfId="875" xr:uid="{00000000-0005-0000-0000-000066030000}"/>
    <cellStyle name="Normal 2 5 2 22" xfId="876" xr:uid="{00000000-0005-0000-0000-000067030000}"/>
    <cellStyle name="Normal 2 5 2 23" xfId="877" xr:uid="{00000000-0005-0000-0000-000068030000}"/>
    <cellStyle name="Normal 2 5 2 24" xfId="878" xr:uid="{00000000-0005-0000-0000-000069030000}"/>
    <cellStyle name="Normal 2 5 2 25" xfId="879" xr:uid="{00000000-0005-0000-0000-00006A030000}"/>
    <cellStyle name="Normal 2 5 2 26" xfId="880" xr:uid="{00000000-0005-0000-0000-00006B030000}"/>
    <cellStyle name="Normal 2 5 2 27" xfId="881" xr:uid="{00000000-0005-0000-0000-00006C030000}"/>
    <cellStyle name="Normal 2 5 2 28" xfId="882" xr:uid="{00000000-0005-0000-0000-00006D030000}"/>
    <cellStyle name="Normal 2 5 2 29" xfId="883" xr:uid="{00000000-0005-0000-0000-00006E030000}"/>
    <cellStyle name="Normal 2 5 2 3" xfId="884" xr:uid="{00000000-0005-0000-0000-00006F030000}"/>
    <cellStyle name="Normal 2 5 2 30" xfId="885" xr:uid="{00000000-0005-0000-0000-000070030000}"/>
    <cellStyle name="Normal 2 5 2 31" xfId="886" xr:uid="{00000000-0005-0000-0000-000071030000}"/>
    <cellStyle name="Normal 2 5 2 32" xfId="887" xr:uid="{00000000-0005-0000-0000-000072030000}"/>
    <cellStyle name="Normal 2 5 2 33" xfId="888" xr:uid="{00000000-0005-0000-0000-000073030000}"/>
    <cellStyle name="Normal 2 5 2 4" xfId="889" xr:uid="{00000000-0005-0000-0000-000074030000}"/>
    <cellStyle name="Normal 2 5 2 5" xfId="890" xr:uid="{00000000-0005-0000-0000-000075030000}"/>
    <cellStyle name="Normal 2 5 2 6" xfId="891" xr:uid="{00000000-0005-0000-0000-000076030000}"/>
    <cellStyle name="Normal 2 5 2 7" xfId="892" xr:uid="{00000000-0005-0000-0000-000077030000}"/>
    <cellStyle name="Normal 2 5 2 8" xfId="893" xr:uid="{00000000-0005-0000-0000-000078030000}"/>
    <cellStyle name="Normal 2 5 2 9" xfId="894" xr:uid="{00000000-0005-0000-0000-000079030000}"/>
    <cellStyle name="Normal 2 5 20" xfId="895" xr:uid="{00000000-0005-0000-0000-00007A030000}"/>
    <cellStyle name="Normal 2 5 21" xfId="896" xr:uid="{00000000-0005-0000-0000-00007B030000}"/>
    <cellStyle name="Normal 2 5 22" xfId="897" xr:uid="{00000000-0005-0000-0000-00007C030000}"/>
    <cellStyle name="Normal 2 5 23" xfId="898" xr:uid="{00000000-0005-0000-0000-00007D030000}"/>
    <cellStyle name="Normal 2 5 24" xfId="899" xr:uid="{00000000-0005-0000-0000-00007E030000}"/>
    <cellStyle name="Normal 2 5 25" xfId="900" xr:uid="{00000000-0005-0000-0000-00007F030000}"/>
    <cellStyle name="Normal 2 5 26" xfId="901" xr:uid="{00000000-0005-0000-0000-000080030000}"/>
    <cellStyle name="Normal 2 5 27" xfId="902" xr:uid="{00000000-0005-0000-0000-000081030000}"/>
    <cellStyle name="Normal 2 5 28" xfId="903" xr:uid="{00000000-0005-0000-0000-000082030000}"/>
    <cellStyle name="Normal 2 5 29" xfId="904" xr:uid="{00000000-0005-0000-0000-000083030000}"/>
    <cellStyle name="Normal 2 5 3" xfId="905" xr:uid="{00000000-0005-0000-0000-000084030000}"/>
    <cellStyle name="Normal 2 5 30" xfId="906" xr:uid="{00000000-0005-0000-0000-000085030000}"/>
    <cellStyle name="Normal 2 5 31" xfId="907" xr:uid="{00000000-0005-0000-0000-000086030000}"/>
    <cellStyle name="Normal 2 5 32" xfId="908" xr:uid="{00000000-0005-0000-0000-000087030000}"/>
    <cellStyle name="Normal 2 5 33" xfId="909" xr:uid="{00000000-0005-0000-0000-000088030000}"/>
    <cellStyle name="Normal 2 5 34" xfId="910" xr:uid="{00000000-0005-0000-0000-000089030000}"/>
    <cellStyle name="Normal 2 5 35" xfId="911" xr:uid="{00000000-0005-0000-0000-00008A030000}"/>
    <cellStyle name="Normal 2 5 36" xfId="912" xr:uid="{00000000-0005-0000-0000-00008B030000}"/>
    <cellStyle name="Normal 2 5 37" xfId="913" xr:uid="{00000000-0005-0000-0000-00008C030000}"/>
    <cellStyle name="Normal 2 5 38" xfId="914" xr:uid="{00000000-0005-0000-0000-00008D030000}"/>
    <cellStyle name="Normal 2 5 39" xfId="915" xr:uid="{00000000-0005-0000-0000-00008E030000}"/>
    <cellStyle name="Normal 2 5 4" xfId="916" xr:uid="{00000000-0005-0000-0000-00008F030000}"/>
    <cellStyle name="Normal 2 5 40" xfId="917" xr:uid="{00000000-0005-0000-0000-000090030000}"/>
    <cellStyle name="Normal 2 5 41" xfId="918" xr:uid="{00000000-0005-0000-0000-000091030000}"/>
    <cellStyle name="Normal 2 5 42" xfId="919" xr:uid="{00000000-0005-0000-0000-000092030000}"/>
    <cellStyle name="Normal 2 5 43" xfId="920" xr:uid="{00000000-0005-0000-0000-000093030000}"/>
    <cellStyle name="Normal 2 5 44" xfId="921" xr:uid="{00000000-0005-0000-0000-000094030000}"/>
    <cellStyle name="Normal 2 5 45" xfId="922" xr:uid="{00000000-0005-0000-0000-000095030000}"/>
    <cellStyle name="Normal 2 5 46" xfId="923" xr:uid="{00000000-0005-0000-0000-000096030000}"/>
    <cellStyle name="Normal 2 5 47" xfId="924" xr:uid="{00000000-0005-0000-0000-000097030000}"/>
    <cellStyle name="Normal 2 5 48" xfId="925" xr:uid="{00000000-0005-0000-0000-000098030000}"/>
    <cellStyle name="Normal 2 5 49" xfId="926" xr:uid="{00000000-0005-0000-0000-000099030000}"/>
    <cellStyle name="Normal 2 5 5" xfId="927" xr:uid="{00000000-0005-0000-0000-00009A030000}"/>
    <cellStyle name="Normal 2 5 50" xfId="928" xr:uid="{00000000-0005-0000-0000-00009B030000}"/>
    <cellStyle name="Normal 2 5 51" xfId="929" xr:uid="{00000000-0005-0000-0000-00009C030000}"/>
    <cellStyle name="Normal 2 5 52" xfId="930" xr:uid="{00000000-0005-0000-0000-00009D030000}"/>
    <cellStyle name="Normal 2 5 53" xfId="931" xr:uid="{00000000-0005-0000-0000-00009E030000}"/>
    <cellStyle name="Normal 2 5 54" xfId="932" xr:uid="{00000000-0005-0000-0000-00009F030000}"/>
    <cellStyle name="Normal 2 5 55" xfId="933" xr:uid="{00000000-0005-0000-0000-0000A0030000}"/>
    <cellStyle name="Normal 2 5 56" xfId="934" xr:uid="{00000000-0005-0000-0000-0000A1030000}"/>
    <cellStyle name="Normal 2 5 57" xfId="935" xr:uid="{00000000-0005-0000-0000-0000A2030000}"/>
    <cellStyle name="Normal 2 5 58" xfId="936" xr:uid="{00000000-0005-0000-0000-0000A3030000}"/>
    <cellStyle name="Normal 2 5 59" xfId="937" xr:uid="{00000000-0005-0000-0000-0000A4030000}"/>
    <cellStyle name="Normal 2 5 6" xfId="938" xr:uid="{00000000-0005-0000-0000-0000A5030000}"/>
    <cellStyle name="Normal 2 5 60" xfId="939" xr:uid="{00000000-0005-0000-0000-0000A6030000}"/>
    <cellStyle name="Normal 2 5 61" xfId="940" xr:uid="{00000000-0005-0000-0000-0000A7030000}"/>
    <cellStyle name="Normal 2 5 62" xfId="941" xr:uid="{00000000-0005-0000-0000-0000A8030000}"/>
    <cellStyle name="Normal 2 5 63" xfId="942" xr:uid="{00000000-0005-0000-0000-0000A9030000}"/>
    <cellStyle name="Normal 2 5 64" xfId="943" xr:uid="{00000000-0005-0000-0000-0000AA030000}"/>
    <cellStyle name="Normal 2 5 65" xfId="944" xr:uid="{00000000-0005-0000-0000-0000AB030000}"/>
    <cellStyle name="Normal 2 5 66" xfId="945" xr:uid="{00000000-0005-0000-0000-0000AC030000}"/>
    <cellStyle name="Normal 2 5 67" xfId="946" xr:uid="{00000000-0005-0000-0000-0000AD030000}"/>
    <cellStyle name="Normal 2 5 68" xfId="947" xr:uid="{00000000-0005-0000-0000-0000AE030000}"/>
    <cellStyle name="Normal 2 5 69" xfId="948" xr:uid="{00000000-0005-0000-0000-0000AF030000}"/>
    <cellStyle name="Normal 2 5 7" xfId="949" xr:uid="{00000000-0005-0000-0000-0000B0030000}"/>
    <cellStyle name="Normal 2 5 70" xfId="950" xr:uid="{00000000-0005-0000-0000-0000B1030000}"/>
    <cellStyle name="Normal 2 5 71" xfId="951" xr:uid="{00000000-0005-0000-0000-0000B2030000}"/>
    <cellStyle name="Normal 2 5 72" xfId="952" xr:uid="{00000000-0005-0000-0000-0000B3030000}"/>
    <cellStyle name="Normal 2 5 73" xfId="953" xr:uid="{00000000-0005-0000-0000-0000B4030000}"/>
    <cellStyle name="Normal 2 5 74" xfId="954" xr:uid="{00000000-0005-0000-0000-0000B5030000}"/>
    <cellStyle name="Normal 2 5 75" xfId="955" xr:uid="{00000000-0005-0000-0000-0000B6030000}"/>
    <cellStyle name="Normal 2 5 76" xfId="956" xr:uid="{00000000-0005-0000-0000-0000B7030000}"/>
    <cellStyle name="Normal 2 5 77" xfId="957" xr:uid="{00000000-0005-0000-0000-0000B8030000}"/>
    <cellStyle name="Normal 2 5 78" xfId="958" xr:uid="{00000000-0005-0000-0000-0000B9030000}"/>
    <cellStyle name="Normal 2 5 79" xfId="959" xr:uid="{00000000-0005-0000-0000-0000BA030000}"/>
    <cellStyle name="Normal 2 5 8" xfId="960" xr:uid="{00000000-0005-0000-0000-0000BB030000}"/>
    <cellStyle name="Normal 2 5 80" xfId="961" xr:uid="{00000000-0005-0000-0000-0000BC030000}"/>
    <cellStyle name="Normal 2 5 81" xfId="962" xr:uid="{00000000-0005-0000-0000-0000BD030000}"/>
    <cellStyle name="Normal 2 5 82" xfId="963" xr:uid="{00000000-0005-0000-0000-0000BE030000}"/>
    <cellStyle name="Normal 2 5 83" xfId="964" xr:uid="{00000000-0005-0000-0000-0000BF030000}"/>
    <cellStyle name="Normal 2 5 84" xfId="965" xr:uid="{00000000-0005-0000-0000-0000C0030000}"/>
    <cellStyle name="Normal 2 5 85" xfId="966" xr:uid="{00000000-0005-0000-0000-0000C1030000}"/>
    <cellStyle name="Normal 2 5 86" xfId="967" xr:uid="{00000000-0005-0000-0000-0000C2030000}"/>
    <cellStyle name="Normal 2 5 87" xfId="968" xr:uid="{00000000-0005-0000-0000-0000C3030000}"/>
    <cellStyle name="Normal 2 5 9" xfId="969" xr:uid="{00000000-0005-0000-0000-0000C4030000}"/>
    <cellStyle name="Normal 2 5_DEER 032008 Cost Summary Delivery - Rev 4 (2)" xfId="970" xr:uid="{00000000-0005-0000-0000-0000C5030000}"/>
    <cellStyle name="Normal 2 50" xfId="971" xr:uid="{00000000-0005-0000-0000-0000C6030000}"/>
    <cellStyle name="Normal 2 51" xfId="972" xr:uid="{00000000-0005-0000-0000-0000C7030000}"/>
    <cellStyle name="Normal 2 52" xfId="973" xr:uid="{00000000-0005-0000-0000-0000C8030000}"/>
    <cellStyle name="Normal 2 53" xfId="974" xr:uid="{00000000-0005-0000-0000-0000C9030000}"/>
    <cellStyle name="Normal 2 54" xfId="975" xr:uid="{00000000-0005-0000-0000-0000CA030000}"/>
    <cellStyle name="Normal 2 55" xfId="976" xr:uid="{00000000-0005-0000-0000-0000CB030000}"/>
    <cellStyle name="Normal 2 56" xfId="977" xr:uid="{00000000-0005-0000-0000-0000CC030000}"/>
    <cellStyle name="Normal 2 57" xfId="978" xr:uid="{00000000-0005-0000-0000-0000CD030000}"/>
    <cellStyle name="Normal 2 58" xfId="979" xr:uid="{00000000-0005-0000-0000-0000CE030000}"/>
    <cellStyle name="Normal 2 59" xfId="980" xr:uid="{00000000-0005-0000-0000-0000CF030000}"/>
    <cellStyle name="Normal 2 6" xfId="981" xr:uid="{00000000-0005-0000-0000-0000D0030000}"/>
    <cellStyle name="Normal 2 60" xfId="982" xr:uid="{00000000-0005-0000-0000-0000D1030000}"/>
    <cellStyle name="Normal 2 61" xfId="983" xr:uid="{00000000-0005-0000-0000-0000D2030000}"/>
    <cellStyle name="Normal 2 62" xfId="984" xr:uid="{00000000-0005-0000-0000-0000D3030000}"/>
    <cellStyle name="Normal 2 63" xfId="985" xr:uid="{00000000-0005-0000-0000-0000D4030000}"/>
    <cellStyle name="Normal 2 64" xfId="986" xr:uid="{00000000-0005-0000-0000-0000D5030000}"/>
    <cellStyle name="Normal 2 65" xfId="987" xr:uid="{00000000-0005-0000-0000-0000D6030000}"/>
    <cellStyle name="Normal 2 66" xfId="988" xr:uid="{00000000-0005-0000-0000-0000D7030000}"/>
    <cellStyle name="Normal 2 67" xfId="989" xr:uid="{00000000-0005-0000-0000-0000D8030000}"/>
    <cellStyle name="Normal 2 68" xfId="990" xr:uid="{00000000-0005-0000-0000-0000D9030000}"/>
    <cellStyle name="Normal 2 69" xfId="991" xr:uid="{00000000-0005-0000-0000-0000DA030000}"/>
    <cellStyle name="Normal 2 7" xfId="992" xr:uid="{00000000-0005-0000-0000-0000DB030000}"/>
    <cellStyle name="Normal 2 70" xfId="993" xr:uid="{00000000-0005-0000-0000-0000DC030000}"/>
    <cellStyle name="Normal 2 71" xfId="994" xr:uid="{00000000-0005-0000-0000-0000DD030000}"/>
    <cellStyle name="Normal 2 72" xfId="995" xr:uid="{00000000-0005-0000-0000-0000DE030000}"/>
    <cellStyle name="Normal 2 73" xfId="996" xr:uid="{00000000-0005-0000-0000-0000DF030000}"/>
    <cellStyle name="Normal 2 74" xfId="997" xr:uid="{00000000-0005-0000-0000-0000E0030000}"/>
    <cellStyle name="Normal 2 75" xfId="998" xr:uid="{00000000-0005-0000-0000-0000E1030000}"/>
    <cellStyle name="Normal 2 76" xfId="999" xr:uid="{00000000-0005-0000-0000-0000E2030000}"/>
    <cellStyle name="Normal 2 77" xfId="1000" xr:uid="{00000000-0005-0000-0000-0000E3030000}"/>
    <cellStyle name="Normal 2 78" xfId="1001" xr:uid="{00000000-0005-0000-0000-0000E4030000}"/>
    <cellStyle name="Normal 2 79" xfId="1002" xr:uid="{00000000-0005-0000-0000-0000E5030000}"/>
    <cellStyle name="Normal 2 8" xfId="1003" xr:uid="{00000000-0005-0000-0000-0000E6030000}"/>
    <cellStyle name="Normal 2 8 10" xfId="1004" xr:uid="{00000000-0005-0000-0000-0000E7030000}"/>
    <cellStyle name="Normal 2 8 11" xfId="1005" xr:uid="{00000000-0005-0000-0000-0000E8030000}"/>
    <cellStyle name="Normal 2 8 12" xfId="1006" xr:uid="{00000000-0005-0000-0000-0000E9030000}"/>
    <cellStyle name="Normal 2 8 13" xfId="1007" xr:uid="{00000000-0005-0000-0000-0000EA030000}"/>
    <cellStyle name="Normal 2 8 14" xfId="1008" xr:uid="{00000000-0005-0000-0000-0000EB030000}"/>
    <cellStyle name="Normal 2 8 15" xfId="1009" xr:uid="{00000000-0005-0000-0000-0000EC030000}"/>
    <cellStyle name="Normal 2 8 16" xfId="1010" xr:uid="{00000000-0005-0000-0000-0000ED030000}"/>
    <cellStyle name="Normal 2 8 17" xfId="1011" xr:uid="{00000000-0005-0000-0000-0000EE030000}"/>
    <cellStyle name="Normal 2 8 18" xfId="1012" xr:uid="{00000000-0005-0000-0000-0000EF030000}"/>
    <cellStyle name="Normal 2 8 19" xfId="1013" xr:uid="{00000000-0005-0000-0000-0000F0030000}"/>
    <cellStyle name="Normal 2 8 2" xfId="1014" xr:uid="{00000000-0005-0000-0000-0000F1030000}"/>
    <cellStyle name="Normal 2 8 20" xfId="1015" xr:uid="{00000000-0005-0000-0000-0000F2030000}"/>
    <cellStyle name="Normal 2 8 21" xfId="1016" xr:uid="{00000000-0005-0000-0000-0000F3030000}"/>
    <cellStyle name="Normal 2 8 22" xfId="1017" xr:uid="{00000000-0005-0000-0000-0000F4030000}"/>
    <cellStyle name="Normal 2 8 23" xfId="1018" xr:uid="{00000000-0005-0000-0000-0000F5030000}"/>
    <cellStyle name="Normal 2 8 3" xfId="1019" xr:uid="{00000000-0005-0000-0000-0000F6030000}"/>
    <cellStyle name="Normal 2 8 4" xfId="1020" xr:uid="{00000000-0005-0000-0000-0000F7030000}"/>
    <cellStyle name="Normal 2 8 5" xfId="1021" xr:uid="{00000000-0005-0000-0000-0000F8030000}"/>
    <cellStyle name="Normal 2 8 6" xfId="1022" xr:uid="{00000000-0005-0000-0000-0000F9030000}"/>
    <cellStyle name="Normal 2 8 7" xfId="1023" xr:uid="{00000000-0005-0000-0000-0000FA030000}"/>
    <cellStyle name="Normal 2 8 8" xfId="1024" xr:uid="{00000000-0005-0000-0000-0000FB030000}"/>
    <cellStyle name="Normal 2 8 9" xfId="1025" xr:uid="{00000000-0005-0000-0000-0000FC030000}"/>
    <cellStyle name="Normal 2 80" xfId="1026" xr:uid="{00000000-0005-0000-0000-0000FD030000}"/>
    <cellStyle name="Normal 2 81" xfId="1027" xr:uid="{00000000-0005-0000-0000-0000FE030000}"/>
    <cellStyle name="Normal 2 82" xfId="1028" xr:uid="{00000000-0005-0000-0000-0000FF030000}"/>
    <cellStyle name="Normal 2 83" xfId="1029" xr:uid="{00000000-0005-0000-0000-000000040000}"/>
    <cellStyle name="Normal 2 84" xfId="1030" xr:uid="{00000000-0005-0000-0000-000001040000}"/>
    <cellStyle name="Normal 2 85" xfId="1031" xr:uid="{00000000-0005-0000-0000-000002040000}"/>
    <cellStyle name="Normal 2 86" xfId="1032" xr:uid="{00000000-0005-0000-0000-000003040000}"/>
    <cellStyle name="Normal 2 87" xfId="1033" xr:uid="{00000000-0005-0000-0000-000004040000}"/>
    <cellStyle name="Normal 2 88" xfId="1034" xr:uid="{00000000-0005-0000-0000-000005040000}"/>
    <cellStyle name="Normal 2 89" xfId="1035" xr:uid="{00000000-0005-0000-0000-000006040000}"/>
    <cellStyle name="Normal 2 9" xfId="1036" xr:uid="{00000000-0005-0000-0000-000007040000}"/>
    <cellStyle name="Normal 2 9 10" xfId="1037" xr:uid="{00000000-0005-0000-0000-000008040000}"/>
    <cellStyle name="Normal 2 9 11" xfId="1038" xr:uid="{00000000-0005-0000-0000-000009040000}"/>
    <cellStyle name="Normal 2 9 12" xfId="1039" xr:uid="{00000000-0005-0000-0000-00000A040000}"/>
    <cellStyle name="Normal 2 9 13" xfId="1040" xr:uid="{00000000-0005-0000-0000-00000B040000}"/>
    <cellStyle name="Normal 2 9 14" xfId="1041" xr:uid="{00000000-0005-0000-0000-00000C040000}"/>
    <cellStyle name="Normal 2 9 15" xfId="1042" xr:uid="{00000000-0005-0000-0000-00000D040000}"/>
    <cellStyle name="Normal 2 9 16" xfId="1043" xr:uid="{00000000-0005-0000-0000-00000E040000}"/>
    <cellStyle name="Normal 2 9 17" xfId="1044" xr:uid="{00000000-0005-0000-0000-00000F040000}"/>
    <cellStyle name="Normal 2 9 18" xfId="1045" xr:uid="{00000000-0005-0000-0000-000010040000}"/>
    <cellStyle name="Normal 2 9 19" xfId="1046" xr:uid="{00000000-0005-0000-0000-000011040000}"/>
    <cellStyle name="Normal 2 9 2" xfId="1047" xr:uid="{00000000-0005-0000-0000-000012040000}"/>
    <cellStyle name="Normal 2 9 20" xfId="1048" xr:uid="{00000000-0005-0000-0000-000013040000}"/>
    <cellStyle name="Normal 2 9 21" xfId="1049" xr:uid="{00000000-0005-0000-0000-000014040000}"/>
    <cellStyle name="Normal 2 9 22" xfId="1050" xr:uid="{00000000-0005-0000-0000-000015040000}"/>
    <cellStyle name="Normal 2 9 23" xfId="1051" xr:uid="{00000000-0005-0000-0000-000016040000}"/>
    <cellStyle name="Normal 2 9 3" xfId="1052" xr:uid="{00000000-0005-0000-0000-000017040000}"/>
    <cellStyle name="Normal 2 9 4" xfId="1053" xr:uid="{00000000-0005-0000-0000-000018040000}"/>
    <cellStyle name="Normal 2 9 5" xfId="1054" xr:uid="{00000000-0005-0000-0000-000019040000}"/>
    <cellStyle name="Normal 2 9 6" xfId="1055" xr:uid="{00000000-0005-0000-0000-00001A040000}"/>
    <cellStyle name="Normal 2 9 7" xfId="1056" xr:uid="{00000000-0005-0000-0000-00001B040000}"/>
    <cellStyle name="Normal 2 9 8" xfId="1057" xr:uid="{00000000-0005-0000-0000-00001C040000}"/>
    <cellStyle name="Normal 2 9 9" xfId="1058" xr:uid="{00000000-0005-0000-0000-00001D040000}"/>
    <cellStyle name="Normal 2 90" xfId="1059" xr:uid="{00000000-0005-0000-0000-00001E040000}"/>
    <cellStyle name="Normal 2 91" xfId="1060" xr:uid="{00000000-0005-0000-0000-00001F040000}"/>
    <cellStyle name="Normal 2 92" xfId="1061" xr:uid="{00000000-0005-0000-0000-000020040000}"/>
    <cellStyle name="Normal 2 93" xfId="1062" xr:uid="{00000000-0005-0000-0000-000021040000}"/>
    <cellStyle name="Normal 2 94" xfId="55" xr:uid="{00000000-0005-0000-0000-000022040000}"/>
    <cellStyle name="Normal 2_DEER 032008 Cost Summary Delivery - Rev 4 (2)" xfId="1063" xr:uid="{00000000-0005-0000-0000-000023040000}"/>
    <cellStyle name="Normal 3" xfId="51" xr:uid="{00000000-0005-0000-0000-000024040000}"/>
    <cellStyle name="Normal 3 10" xfId="1065" xr:uid="{00000000-0005-0000-0000-000025040000}"/>
    <cellStyle name="Normal 3 10 10" xfId="1066" xr:uid="{00000000-0005-0000-0000-000026040000}"/>
    <cellStyle name="Normal 3 10 11" xfId="1067" xr:uid="{00000000-0005-0000-0000-000027040000}"/>
    <cellStyle name="Normal 3 10 12" xfId="1068" xr:uid="{00000000-0005-0000-0000-000028040000}"/>
    <cellStyle name="Normal 3 10 13" xfId="1069" xr:uid="{00000000-0005-0000-0000-000029040000}"/>
    <cellStyle name="Normal 3 10 14" xfId="1070" xr:uid="{00000000-0005-0000-0000-00002A040000}"/>
    <cellStyle name="Normal 3 10 15" xfId="1071" xr:uid="{00000000-0005-0000-0000-00002B040000}"/>
    <cellStyle name="Normal 3 10 16" xfId="1072" xr:uid="{00000000-0005-0000-0000-00002C040000}"/>
    <cellStyle name="Normal 3 10 17" xfId="1073" xr:uid="{00000000-0005-0000-0000-00002D040000}"/>
    <cellStyle name="Normal 3 10 18" xfId="1074" xr:uid="{00000000-0005-0000-0000-00002E040000}"/>
    <cellStyle name="Normal 3 10 19" xfId="1075" xr:uid="{00000000-0005-0000-0000-00002F040000}"/>
    <cellStyle name="Normal 3 10 2" xfId="1076" xr:uid="{00000000-0005-0000-0000-000030040000}"/>
    <cellStyle name="Normal 3 10 20" xfId="1077" xr:uid="{00000000-0005-0000-0000-000031040000}"/>
    <cellStyle name="Normal 3 10 21" xfId="1078" xr:uid="{00000000-0005-0000-0000-000032040000}"/>
    <cellStyle name="Normal 3 10 22" xfId="1079" xr:uid="{00000000-0005-0000-0000-000033040000}"/>
    <cellStyle name="Normal 3 10 23" xfId="1080" xr:uid="{00000000-0005-0000-0000-000034040000}"/>
    <cellStyle name="Normal 3 10 3" xfId="1081" xr:uid="{00000000-0005-0000-0000-000035040000}"/>
    <cellStyle name="Normal 3 10 4" xfId="1082" xr:uid="{00000000-0005-0000-0000-000036040000}"/>
    <cellStyle name="Normal 3 10 5" xfId="1083" xr:uid="{00000000-0005-0000-0000-000037040000}"/>
    <cellStyle name="Normal 3 10 6" xfId="1084" xr:uid="{00000000-0005-0000-0000-000038040000}"/>
    <cellStyle name="Normal 3 10 7" xfId="1085" xr:uid="{00000000-0005-0000-0000-000039040000}"/>
    <cellStyle name="Normal 3 10 8" xfId="1086" xr:uid="{00000000-0005-0000-0000-00003A040000}"/>
    <cellStyle name="Normal 3 10 9" xfId="1087" xr:uid="{00000000-0005-0000-0000-00003B040000}"/>
    <cellStyle name="Normal 3 11" xfId="1088" xr:uid="{00000000-0005-0000-0000-00003C040000}"/>
    <cellStyle name="Normal 3 11 10" xfId="1089" xr:uid="{00000000-0005-0000-0000-00003D040000}"/>
    <cellStyle name="Normal 3 11 11" xfId="1090" xr:uid="{00000000-0005-0000-0000-00003E040000}"/>
    <cellStyle name="Normal 3 11 12" xfId="1091" xr:uid="{00000000-0005-0000-0000-00003F040000}"/>
    <cellStyle name="Normal 3 11 13" xfId="1092" xr:uid="{00000000-0005-0000-0000-000040040000}"/>
    <cellStyle name="Normal 3 11 14" xfId="1093" xr:uid="{00000000-0005-0000-0000-000041040000}"/>
    <cellStyle name="Normal 3 11 15" xfId="1094" xr:uid="{00000000-0005-0000-0000-000042040000}"/>
    <cellStyle name="Normal 3 11 16" xfId="1095" xr:uid="{00000000-0005-0000-0000-000043040000}"/>
    <cellStyle name="Normal 3 11 17" xfId="1096" xr:uid="{00000000-0005-0000-0000-000044040000}"/>
    <cellStyle name="Normal 3 11 18" xfId="1097" xr:uid="{00000000-0005-0000-0000-000045040000}"/>
    <cellStyle name="Normal 3 11 19" xfId="1098" xr:uid="{00000000-0005-0000-0000-000046040000}"/>
    <cellStyle name="Normal 3 11 2" xfId="1099" xr:uid="{00000000-0005-0000-0000-000047040000}"/>
    <cellStyle name="Normal 3 11 20" xfId="1100" xr:uid="{00000000-0005-0000-0000-000048040000}"/>
    <cellStyle name="Normal 3 11 21" xfId="1101" xr:uid="{00000000-0005-0000-0000-000049040000}"/>
    <cellStyle name="Normal 3 11 22" xfId="1102" xr:uid="{00000000-0005-0000-0000-00004A040000}"/>
    <cellStyle name="Normal 3 11 23" xfId="1103" xr:uid="{00000000-0005-0000-0000-00004B040000}"/>
    <cellStyle name="Normal 3 11 3" xfId="1104" xr:uid="{00000000-0005-0000-0000-00004C040000}"/>
    <cellStyle name="Normal 3 11 4" xfId="1105" xr:uid="{00000000-0005-0000-0000-00004D040000}"/>
    <cellStyle name="Normal 3 11 5" xfId="1106" xr:uid="{00000000-0005-0000-0000-00004E040000}"/>
    <cellStyle name="Normal 3 11 6" xfId="1107" xr:uid="{00000000-0005-0000-0000-00004F040000}"/>
    <cellStyle name="Normal 3 11 7" xfId="1108" xr:uid="{00000000-0005-0000-0000-000050040000}"/>
    <cellStyle name="Normal 3 11 8" xfId="1109" xr:uid="{00000000-0005-0000-0000-000051040000}"/>
    <cellStyle name="Normal 3 11 9" xfId="1110" xr:uid="{00000000-0005-0000-0000-000052040000}"/>
    <cellStyle name="Normal 3 12" xfId="1111" xr:uid="{00000000-0005-0000-0000-000053040000}"/>
    <cellStyle name="Normal 3 12 10" xfId="1112" xr:uid="{00000000-0005-0000-0000-000054040000}"/>
    <cellStyle name="Normal 3 12 11" xfId="1113" xr:uid="{00000000-0005-0000-0000-000055040000}"/>
    <cellStyle name="Normal 3 12 12" xfId="1114" xr:uid="{00000000-0005-0000-0000-000056040000}"/>
    <cellStyle name="Normal 3 12 13" xfId="1115" xr:uid="{00000000-0005-0000-0000-000057040000}"/>
    <cellStyle name="Normal 3 12 14" xfId="1116" xr:uid="{00000000-0005-0000-0000-000058040000}"/>
    <cellStyle name="Normal 3 12 15" xfId="1117" xr:uid="{00000000-0005-0000-0000-000059040000}"/>
    <cellStyle name="Normal 3 12 16" xfId="1118" xr:uid="{00000000-0005-0000-0000-00005A040000}"/>
    <cellStyle name="Normal 3 12 17" xfId="1119" xr:uid="{00000000-0005-0000-0000-00005B040000}"/>
    <cellStyle name="Normal 3 12 18" xfId="1120" xr:uid="{00000000-0005-0000-0000-00005C040000}"/>
    <cellStyle name="Normal 3 12 19" xfId="1121" xr:uid="{00000000-0005-0000-0000-00005D040000}"/>
    <cellStyle name="Normal 3 12 2" xfId="1122" xr:uid="{00000000-0005-0000-0000-00005E040000}"/>
    <cellStyle name="Normal 3 12 20" xfId="1123" xr:uid="{00000000-0005-0000-0000-00005F040000}"/>
    <cellStyle name="Normal 3 12 21" xfId="1124" xr:uid="{00000000-0005-0000-0000-000060040000}"/>
    <cellStyle name="Normal 3 12 22" xfId="1125" xr:uid="{00000000-0005-0000-0000-000061040000}"/>
    <cellStyle name="Normal 3 12 23" xfId="1126" xr:uid="{00000000-0005-0000-0000-000062040000}"/>
    <cellStyle name="Normal 3 12 3" xfId="1127" xr:uid="{00000000-0005-0000-0000-000063040000}"/>
    <cellStyle name="Normal 3 12 4" xfId="1128" xr:uid="{00000000-0005-0000-0000-000064040000}"/>
    <cellStyle name="Normal 3 12 5" xfId="1129" xr:uid="{00000000-0005-0000-0000-000065040000}"/>
    <cellStyle name="Normal 3 12 6" xfId="1130" xr:uid="{00000000-0005-0000-0000-000066040000}"/>
    <cellStyle name="Normal 3 12 7" xfId="1131" xr:uid="{00000000-0005-0000-0000-000067040000}"/>
    <cellStyle name="Normal 3 12 8" xfId="1132" xr:uid="{00000000-0005-0000-0000-000068040000}"/>
    <cellStyle name="Normal 3 12 9" xfId="1133" xr:uid="{00000000-0005-0000-0000-000069040000}"/>
    <cellStyle name="Normal 3 13" xfId="1134" xr:uid="{00000000-0005-0000-0000-00006A040000}"/>
    <cellStyle name="Normal 3 13 10" xfId="1135" xr:uid="{00000000-0005-0000-0000-00006B040000}"/>
    <cellStyle name="Normal 3 13 11" xfId="1136" xr:uid="{00000000-0005-0000-0000-00006C040000}"/>
    <cellStyle name="Normal 3 13 12" xfId="1137" xr:uid="{00000000-0005-0000-0000-00006D040000}"/>
    <cellStyle name="Normal 3 13 13" xfId="1138" xr:uid="{00000000-0005-0000-0000-00006E040000}"/>
    <cellStyle name="Normal 3 13 14" xfId="1139" xr:uid="{00000000-0005-0000-0000-00006F040000}"/>
    <cellStyle name="Normal 3 13 15" xfId="1140" xr:uid="{00000000-0005-0000-0000-000070040000}"/>
    <cellStyle name="Normal 3 13 16" xfId="1141" xr:uid="{00000000-0005-0000-0000-000071040000}"/>
    <cellStyle name="Normal 3 13 17" xfId="1142" xr:uid="{00000000-0005-0000-0000-000072040000}"/>
    <cellStyle name="Normal 3 13 18" xfId="1143" xr:uid="{00000000-0005-0000-0000-000073040000}"/>
    <cellStyle name="Normal 3 13 19" xfId="1144" xr:uid="{00000000-0005-0000-0000-000074040000}"/>
    <cellStyle name="Normal 3 13 2" xfId="1145" xr:uid="{00000000-0005-0000-0000-000075040000}"/>
    <cellStyle name="Normal 3 13 20" xfId="1146" xr:uid="{00000000-0005-0000-0000-000076040000}"/>
    <cellStyle name="Normal 3 13 21" xfId="1147" xr:uid="{00000000-0005-0000-0000-000077040000}"/>
    <cellStyle name="Normal 3 13 22" xfId="1148" xr:uid="{00000000-0005-0000-0000-000078040000}"/>
    <cellStyle name="Normal 3 13 23" xfId="1149" xr:uid="{00000000-0005-0000-0000-000079040000}"/>
    <cellStyle name="Normal 3 13 3" xfId="1150" xr:uid="{00000000-0005-0000-0000-00007A040000}"/>
    <cellStyle name="Normal 3 13 4" xfId="1151" xr:uid="{00000000-0005-0000-0000-00007B040000}"/>
    <cellStyle name="Normal 3 13 5" xfId="1152" xr:uid="{00000000-0005-0000-0000-00007C040000}"/>
    <cellStyle name="Normal 3 13 6" xfId="1153" xr:uid="{00000000-0005-0000-0000-00007D040000}"/>
    <cellStyle name="Normal 3 13 7" xfId="1154" xr:uid="{00000000-0005-0000-0000-00007E040000}"/>
    <cellStyle name="Normal 3 13 8" xfId="1155" xr:uid="{00000000-0005-0000-0000-00007F040000}"/>
    <cellStyle name="Normal 3 13 9" xfId="1156" xr:uid="{00000000-0005-0000-0000-000080040000}"/>
    <cellStyle name="Normal 3 14" xfId="1157" xr:uid="{00000000-0005-0000-0000-000081040000}"/>
    <cellStyle name="Normal 3 14 10" xfId="1158" xr:uid="{00000000-0005-0000-0000-000082040000}"/>
    <cellStyle name="Normal 3 14 11" xfId="1159" xr:uid="{00000000-0005-0000-0000-000083040000}"/>
    <cellStyle name="Normal 3 14 12" xfId="1160" xr:uid="{00000000-0005-0000-0000-000084040000}"/>
    <cellStyle name="Normal 3 14 13" xfId="1161" xr:uid="{00000000-0005-0000-0000-000085040000}"/>
    <cellStyle name="Normal 3 14 14" xfId="1162" xr:uid="{00000000-0005-0000-0000-000086040000}"/>
    <cellStyle name="Normal 3 14 15" xfId="1163" xr:uid="{00000000-0005-0000-0000-000087040000}"/>
    <cellStyle name="Normal 3 14 16" xfId="1164" xr:uid="{00000000-0005-0000-0000-000088040000}"/>
    <cellStyle name="Normal 3 14 17" xfId="1165" xr:uid="{00000000-0005-0000-0000-000089040000}"/>
    <cellStyle name="Normal 3 14 18" xfId="1166" xr:uid="{00000000-0005-0000-0000-00008A040000}"/>
    <cellStyle name="Normal 3 14 19" xfId="1167" xr:uid="{00000000-0005-0000-0000-00008B040000}"/>
    <cellStyle name="Normal 3 14 2" xfId="1168" xr:uid="{00000000-0005-0000-0000-00008C040000}"/>
    <cellStyle name="Normal 3 14 20" xfId="1169" xr:uid="{00000000-0005-0000-0000-00008D040000}"/>
    <cellStyle name="Normal 3 14 21" xfId="1170" xr:uid="{00000000-0005-0000-0000-00008E040000}"/>
    <cellStyle name="Normal 3 14 22" xfId="1171" xr:uid="{00000000-0005-0000-0000-00008F040000}"/>
    <cellStyle name="Normal 3 14 23" xfId="1172" xr:uid="{00000000-0005-0000-0000-000090040000}"/>
    <cellStyle name="Normal 3 14 3" xfId="1173" xr:uid="{00000000-0005-0000-0000-000091040000}"/>
    <cellStyle name="Normal 3 14 4" xfId="1174" xr:uid="{00000000-0005-0000-0000-000092040000}"/>
    <cellStyle name="Normal 3 14 5" xfId="1175" xr:uid="{00000000-0005-0000-0000-000093040000}"/>
    <cellStyle name="Normal 3 14 6" xfId="1176" xr:uid="{00000000-0005-0000-0000-000094040000}"/>
    <cellStyle name="Normal 3 14 7" xfId="1177" xr:uid="{00000000-0005-0000-0000-000095040000}"/>
    <cellStyle name="Normal 3 14 8" xfId="1178" xr:uid="{00000000-0005-0000-0000-000096040000}"/>
    <cellStyle name="Normal 3 14 9" xfId="1179" xr:uid="{00000000-0005-0000-0000-000097040000}"/>
    <cellStyle name="Normal 3 15" xfId="1180" xr:uid="{00000000-0005-0000-0000-000098040000}"/>
    <cellStyle name="Normal 3 15 10" xfId="1181" xr:uid="{00000000-0005-0000-0000-000099040000}"/>
    <cellStyle name="Normal 3 15 11" xfId="1182" xr:uid="{00000000-0005-0000-0000-00009A040000}"/>
    <cellStyle name="Normal 3 15 12" xfId="1183" xr:uid="{00000000-0005-0000-0000-00009B040000}"/>
    <cellStyle name="Normal 3 15 13" xfId="1184" xr:uid="{00000000-0005-0000-0000-00009C040000}"/>
    <cellStyle name="Normal 3 15 14" xfId="1185" xr:uid="{00000000-0005-0000-0000-00009D040000}"/>
    <cellStyle name="Normal 3 15 15" xfId="1186" xr:uid="{00000000-0005-0000-0000-00009E040000}"/>
    <cellStyle name="Normal 3 15 16" xfId="1187" xr:uid="{00000000-0005-0000-0000-00009F040000}"/>
    <cellStyle name="Normal 3 15 17" xfId="1188" xr:uid="{00000000-0005-0000-0000-0000A0040000}"/>
    <cellStyle name="Normal 3 15 18" xfId="1189" xr:uid="{00000000-0005-0000-0000-0000A1040000}"/>
    <cellStyle name="Normal 3 15 19" xfId="1190" xr:uid="{00000000-0005-0000-0000-0000A2040000}"/>
    <cellStyle name="Normal 3 15 2" xfId="1191" xr:uid="{00000000-0005-0000-0000-0000A3040000}"/>
    <cellStyle name="Normal 3 15 20" xfId="1192" xr:uid="{00000000-0005-0000-0000-0000A4040000}"/>
    <cellStyle name="Normal 3 15 21" xfId="1193" xr:uid="{00000000-0005-0000-0000-0000A5040000}"/>
    <cellStyle name="Normal 3 15 22" xfId="1194" xr:uid="{00000000-0005-0000-0000-0000A6040000}"/>
    <cellStyle name="Normal 3 15 23" xfId="1195" xr:uid="{00000000-0005-0000-0000-0000A7040000}"/>
    <cellStyle name="Normal 3 15 3" xfId="1196" xr:uid="{00000000-0005-0000-0000-0000A8040000}"/>
    <cellStyle name="Normal 3 15 4" xfId="1197" xr:uid="{00000000-0005-0000-0000-0000A9040000}"/>
    <cellStyle name="Normal 3 15 5" xfId="1198" xr:uid="{00000000-0005-0000-0000-0000AA040000}"/>
    <cellStyle name="Normal 3 15 6" xfId="1199" xr:uid="{00000000-0005-0000-0000-0000AB040000}"/>
    <cellStyle name="Normal 3 15 7" xfId="1200" xr:uid="{00000000-0005-0000-0000-0000AC040000}"/>
    <cellStyle name="Normal 3 15 8" xfId="1201" xr:uid="{00000000-0005-0000-0000-0000AD040000}"/>
    <cellStyle name="Normal 3 15 9" xfId="1202" xr:uid="{00000000-0005-0000-0000-0000AE040000}"/>
    <cellStyle name="Normal 3 16" xfId="1203" xr:uid="{00000000-0005-0000-0000-0000AF040000}"/>
    <cellStyle name="Normal 3 16 10" xfId="1204" xr:uid="{00000000-0005-0000-0000-0000B0040000}"/>
    <cellStyle name="Normal 3 16 11" xfId="1205" xr:uid="{00000000-0005-0000-0000-0000B1040000}"/>
    <cellStyle name="Normal 3 16 12" xfId="1206" xr:uid="{00000000-0005-0000-0000-0000B2040000}"/>
    <cellStyle name="Normal 3 16 13" xfId="1207" xr:uid="{00000000-0005-0000-0000-0000B3040000}"/>
    <cellStyle name="Normal 3 16 14" xfId="1208" xr:uid="{00000000-0005-0000-0000-0000B4040000}"/>
    <cellStyle name="Normal 3 16 15" xfId="1209" xr:uid="{00000000-0005-0000-0000-0000B5040000}"/>
    <cellStyle name="Normal 3 16 16" xfId="1210" xr:uid="{00000000-0005-0000-0000-0000B6040000}"/>
    <cellStyle name="Normal 3 16 17" xfId="1211" xr:uid="{00000000-0005-0000-0000-0000B7040000}"/>
    <cellStyle name="Normal 3 16 18" xfId="1212" xr:uid="{00000000-0005-0000-0000-0000B8040000}"/>
    <cellStyle name="Normal 3 16 19" xfId="1213" xr:uid="{00000000-0005-0000-0000-0000B9040000}"/>
    <cellStyle name="Normal 3 16 2" xfId="1214" xr:uid="{00000000-0005-0000-0000-0000BA040000}"/>
    <cellStyle name="Normal 3 16 20" xfId="1215" xr:uid="{00000000-0005-0000-0000-0000BB040000}"/>
    <cellStyle name="Normal 3 16 21" xfId="1216" xr:uid="{00000000-0005-0000-0000-0000BC040000}"/>
    <cellStyle name="Normal 3 16 22" xfId="1217" xr:uid="{00000000-0005-0000-0000-0000BD040000}"/>
    <cellStyle name="Normal 3 16 23" xfId="1218" xr:uid="{00000000-0005-0000-0000-0000BE040000}"/>
    <cellStyle name="Normal 3 16 3" xfId="1219" xr:uid="{00000000-0005-0000-0000-0000BF040000}"/>
    <cellStyle name="Normal 3 16 4" xfId="1220" xr:uid="{00000000-0005-0000-0000-0000C0040000}"/>
    <cellStyle name="Normal 3 16 5" xfId="1221" xr:uid="{00000000-0005-0000-0000-0000C1040000}"/>
    <cellStyle name="Normal 3 16 6" xfId="1222" xr:uid="{00000000-0005-0000-0000-0000C2040000}"/>
    <cellStyle name="Normal 3 16 7" xfId="1223" xr:uid="{00000000-0005-0000-0000-0000C3040000}"/>
    <cellStyle name="Normal 3 16 8" xfId="1224" xr:uid="{00000000-0005-0000-0000-0000C4040000}"/>
    <cellStyle name="Normal 3 16 9" xfId="1225" xr:uid="{00000000-0005-0000-0000-0000C5040000}"/>
    <cellStyle name="Normal 3 17" xfId="1226" xr:uid="{00000000-0005-0000-0000-0000C6040000}"/>
    <cellStyle name="Normal 3 17 10" xfId="1227" xr:uid="{00000000-0005-0000-0000-0000C7040000}"/>
    <cellStyle name="Normal 3 17 11" xfId="1228" xr:uid="{00000000-0005-0000-0000-0000C8040000}"/>
    <cellStyle name="Normal 3 17 12" xfId="1229" xr:uid="{00000000-0005-0000-0000-0000C9040000}"/>
    <cellStyle name="Normal 3 17 13" xfId="1230" xr:uid="{00000000-0005-0000-0000-0000CA040000}"/>
    <cellStyle name="Normal 3 17 14" xfId="1231" xr:uid="{00000000-0005-0000-0000-0000CB040000}"/>
    <cellStyle name="Normal 3 17 15" xfId="1232" xr:uid="{00000000-0005-0000-0000-0000CC040000}"/>
    <cellStyle name="Normal 3 17 16" xfId="1233" xr:uid="{00000000-0005-0000-0000-0000CD040000}"/>
    <cellStyle name="Normal 3 17 17" xfId="1234" xr:uid="{00000000-0005-0000-0000-0000CE040000}"/>
    <cellStyle name="Normal 3 17 18" xfId="1235" xr:uid="{00000000-0005-0000-0000-0000CF040000}"/>
    <cellStyle name="Normal 3 17 19" xfId="1236" xr:uid="{00000000-0005-0000-0000-0000D0040000}"/>
    <cellStyle name="Normal 3 17 2" xfId="1237" xr:uid="{00000000-0005-0000-0000-0000D1040000}"/>
    <cellStyle name="Normal 3 17 20" xfId="1238" xr:uid="{00000000-0005-0000-0000-0000D2040000}"/>
    <cellStyle name="Normal 3 17 21" xfId="1239" xr:uid="{00000000-0005-0000-0000-0000D3040000}"/>
    <cellStyle name="Normal 3 17 22" xfId="1240" xr:uid="{00000000-0005-0000-0000-0000D4040000}"/>
    <cellStyle name="Normal 3 17 23" xfId="1241" xr:uid="{00000000-0005-0000-0000-0000D5040000}"/>
    <cellStyle name="Normal 3 17 3" xfId="1242" xr:uid="{00000000-0005-0000-0000-0000D6040000}"/>
    <cellStyle name="Normal 3 17 4" xfId="1243" xr:uid="{00000000-0005-0000-0000-0000D7040000}"/>
    <cellStyle name="Normal 3 17 5" xfId="1244" xr:uid="{00000000-0005-0000-0000-0000D8040000}"/>
    <cellStyle name="Normal 3 17 6" xfId="1245" xr:uid="{00000000-0005-0000-0000-0000D9040000}"/>
    <cellStyle name="Normal 3 17 7" xfId="1246" xr:uid="{00000000-0005-0000-0000-0000DA040000}"/>
    <cellStyle name="Normal 3 17 8" xfId="1247" xr:uid="{00000000-0005-0000-0000-0000DB040000}"/>
    <cellStyle name="Normal 3 17 9" xfId="1248" xr:uid="{00000000-0005-0000-0000-0000DC040000}"/>
    <cellStyle name="Normal 3 18" xfId="1249" xr:uid="{00000000-0005-0000-0000-0000DD040000}"/>
    <cellStyle name="Normal 3 18 10" xfId="1250" xr:uid="{00000000-0005-0000-0000-0000DE040000}"/>
    <cellStyle name="Normal 3 18 11" xfId="1251" xr:uid="{00000000-0005-0000-0000-0000DF040000}"/>
    <cellStyle name="Normal 3 18 12" xfId="1252" xr:uid="{00000000-0005-0000-0000-0000E0040000}"/>
    <cellStyle name="Normal 3 18 13" xfId="1253" xr:uid="{00000000-0005-0000-0000-0000E1040000}"/>
    <cellStyle name="Normal 3 18 14" xfId="1254" xr:uid="{00000000-0005-0000-0000-0000E2040000}"/>
    <cellStyle name="Normal 3 18 15" xfId="1255" xr:uid="{00000000-0005-0000-0000-0000E3040000}"/>
    <cellStyle name="Normal 3 18 16" xfId="1256" xr:uid="{00000000-0005-0000-0000-0000E4040000}"/>
    <cellStyle name="Normal 3 18 17" xfId="1257" xr:uid="{00000000-0005-0000-0000-0000E5040000}"/>
    <cellStyle name="Normal 3 18 18" xfId="1258" xr:uid="{00000000-0005-0000-0000-0000E6040000}"/>
    <cellStyle name="Normal 3 18 19" xfId="1259" xr:uid="{00000000-0005-0000-0000-0000E7040000}"/>
    <cellStyle name="Normal 3 18 2" xfId="1260" xr:uid="{00000000-0005-0000-0000-0000E8040000}"/>
    <cellStyle name="Normal 3 18 20" xfId="1261" xr:uid="{00000000-0005-0000-0000-0000E9040000}"/>
    <cellStyle name="Normal 3 18 21" xfId="1262" xr:uid="{00000000-0005-0000-0000-0000EA040000}"/>
    <cellStyle name="Normal 3 18 22" xfId="1263" xr:uid="{00000000-0005-0000-0000-0000EB040000}"/>
    <cellStyle name="Normal 3 18 23" xfId="1264" xr:uid="{00000000-0005-0000-0000-0000EC040000}"/>
    <cellStyle name="Normal 3 18 3" xfId="1265" xr:uid="{00000000-0005-0000-0000-0000ED040000}"/>
    <cellStyle name="Normal 3 18 4" xfId="1266" xr:uid="{00000000-0005-0000-0000-0000EE040000}"/>
    <cellStyle name="Normal 3 18 5" xfId="1267" xr:uid="{00000000-0005-0000-0000-0000EF040000}"/>
    <cellStyle name="Normal 3 18 6" xfId="1268" xr:uid="{00000000-0005-0000-0000-0000F0040000}"/>
    <cellStyle name="Normal 3 18 7" xfId="1269" xr:uid="{00000000-0005-0000-0000-0000F1040000}"/>
    <cellStyle name="Normal 3 18 8" xfId="1270" xr:uid="{00000000-0005-0000-0000-0000F2040000}"/>
    <cellStyle name="Normal 3 18 9" xfId="1271" xr:uid="{00000000-0005-0000-0000-0000F3040000}"/>
    <cellStyle name="Normal 3 19" xfId="1272" xr:uid="{00000000-0005-0000-0000-0000F4040000}"/>
    <cellStyle name="Normal 3 19 10" xfId="1273" xr:uid="{00000000-0005-0000-0000-0000F5040000}"/>
    <cellStyle name="Normal 3 19 11" xfId="1274" xr:uid="{00000000-0005-0000-0000-0000F6040000}"/>
    <cellStyle name="Normal 3 19 12" xfId="1275" xr:uid="{00000000-0005-0000-0000-0000F7040000}"/>
    <cellStyle name="Normal 3 19 13" xfId="1276" xr:uid="{00000000-0005-0000-0000-0000F8040000}"/>
    <cellStyle name="Normal 3 19 14" xfId="1277" xr:uid="{00000000-0005-0000-0000-0000F9040000}"/>
    <cellStyle name="Normal 3 19 15" xfId="1278" xr:uid="{00000000-0005-0000-0000-0000FA040000}"/>
    <cellStyle name="Normal 3 19 16" xfId="1279" xr:uid="{00000000-0005-0000-0000-0000FB040000}"/>
    <cellStyle name="Normal 3 19 17" xfId="1280" xr:uid="{00000000-0005-0000-0000-0000FC040000}"/>
    <cellStyle name="Normal 3 19 18" xfId="1281" xr:uid="{00000000-0005-0000-0000-0000FD040000}"/>
    <cellStyle name="Normal 3 19 19" xfId="1282" xr:uid="{00000000-0005-0000-0000-0000FE040000}"/>
    <cellStyle name="Normal 3 19 2" xfId="1283" xr:uid="{00000000-0005-0000-0000-0000FF040000}"/>
    <cellStyle name="Normal 3 19 20" xfId="1284" xr:uid="{00000000-0005-0000-0000-000000050000}"/>
    <cellStyle name="Normal 3 19 21" xfId="1285" xr:uid="{00000000-0005-0000-0000-000001050000}"/>
    <cellStyle name="Normal 3 19 22" xfId="1286" xr:uid="{00000000-0005-0000-0000-000002050000}"/>
    <cellStyle name="Normal 3 19 23" xfId="1287" xr:uid="{00000000-0005-0000-0000-000003050000}"/>
    <cellStyle name="Normal 3 19 3" xfId="1288" xr:uid="{00000000-0005-0000-0000-000004050000}"/>
    <cellStyle name="Normal 3 19 4" xfId="1289" xr:uid="{00000000-0005-0000-0000-000005050000}"/>
    <cellStyle name="Normal 3 19 5" xfId="1290" xr:uid="{00000000-0005-0000-0000-000006050000}"/>
    <cellStyle name="Normal 3 19 6" xfId="1291" xr:uid="{00000000-0005-0000-0000-000007050000}"/>
    <cellStyle name="Normal 3 19 7" xfId="1292" xr:uid="{00000000-0005-0000-0000-000008050000}"/>
    <cellStyle name="Normal 3 19 8" xfId="1293" xr:uid="{00000000-0005-0000-0000-000009050000}"/>
    <cellStyle name="Normal 3 19 9" xfId="1294" xr:uid="{00000000-0005-0000-0000-00000A050000}"/>
    <cellStyle name="Normal 3 2" xfId="1295" xr:uid="{00000000-0005-0000-0000-00000B050000}"/>
    <cellStyle name="Normal 3 2 10" xfId="1296" xr:uid="{00000000-0005-0000-0000-00000C050000}"/>
    <cellStyle name="Normal 3 2 11" xfId="1297" xr:uid="{00000000-0005-0000-0000-00000D050000}"/>
    <cellStyle name="Normal 3 2 12" xfId="1298" xr:uid="{00000000-0005-0000-0000-00000E050000}"/>
    <cellStyle name="Normal 3 2 13" xfId="1299" xr:uid="{00000000-0005-0000-0000-00000F050000}"/>
    <cellStyle name="Normal 3 2 14" xfId="1300" xr:uid="{00000000-0005-0000-0000-000010050000}"/>
    <cellStyle name="Normal 3 2 15" xfId="1301" xr:uid="{00000000-0005-0000-0000-000011050000}"/>
    <cellStyle name="Normal 3 2 16" xfId="1302" xr:uid="{00000000-0005-0000-0000-000012050000}"/>
    <cellStyle name="Normal 3 2 17" xfId="1303" xr:uid="{00000000-0005-0000-0000-000013050000}"/>
    <cellStyle name="Normal 3 2 18" xfId="1304" xr:uid="{00000000-0005-0000-0000-000014050000}"/>
    <cellStyle name="Normal 3 2 19" xfId="1305" xr:uid="{00000000-0005-0000-0000-000015050000}"/>
    <cellStyle name="Normal 3 2 2" xfId="1306" xr:uid="{00000000-0005-0000-0000-000016050000}"/>
    <cellStyle name="Normal 3 2 2 10" xfId="1307" xr:uid="{00000000-0005-0000-0000-000017050000}"/>
    <cellStyle name="Normal 3 2 2 11" xfId="1308" xr:uid="{00000000-0005-0000-0000-000018050000}"/>
    <cellStyle name="Normal 3 2 2 12" xfId="1309" xr:uid="{00000000-0005-0000-0000-000019050000}"/>
    <cellStyle name="Normal 3 2 2 13" xfId="1310" xr:uid="{00000000-0005-0000-0000-00001A050000}"/>
    <cellStyle name="Normal 3 2 2 14" xfId="1311" xr:uid="{00000000-0005-0000-0000-00001B050000}"/>
    <cellStyle name="Normal 3 2 2 15" xfId="1312" xr:uid="{00000000-0005-0000-0000-00001C050000}"/>
    <cellStyle name="Normal 3 2 2 16" xfId="1313" xr:uid="{00000000-0005-0000-0000-00001D050000}"/>
    <cellStyle name="Normal 3 2 2 17" xfId="1314" xr:uid="{00000000-0005-0000-0000-00001E050000}"/>
    <cellStyle name="Normal 3 2 2 18" xfId="1315" xr:uid="{00000000-0005-0000-0000-00001F050000}"/>
    <cellStyle name="Normal 3 2 2 19" xfId="1316" xr:uid="{00000000-0005-0000-0000-000020050000}"/>
    <cellStyle name="Normal 3 2 2 2" xfId="1317" xr:uid="{00000000-0005-0000-0000-000021050000}"/>
    <cellStyle name="Normal 3 2 2 20" xfId="1318" xr:uid="{00000000-0005-0000-0000-000022050000}"/>
    <cellStyle name="Normal 3 2 2 21" xfId="1319" xr:uid="{00000000-0005-0000-0000-000023050000}"/>
    <cellStyle name="Normal 3 2 2 22" xfId="1320" xr:uid="{00000000-0005-0000-0000-000024050000}"/>
    <cellStyle name="Normal 3 2 2 23" xfId="1321" xr:uid="{00000000-0005-0000-0000-000025050000}"/>
    <cellStyle name="Normal 3 2 2 24" xfId="1322" xr:uid="{00000000-0005-0000-0000-000026050000}"/>
    <cellStyle name="Normal 3 2 2 25" xfId="1323" xr:uid="{00000000-0005-0000-0000-000027050000}"/>
    <cellStyle name="Normal 3 2 2 26" xfId="1324" xr:uid="{00000000-0005-0000-0000-000028050000}"/>
    <cellStyle name="Normal 3 2 2 27" xfId="1325" xr:uid="{00000000-0005-0000-0000-000029050000}"/>
    <cellStyle name="Normal 3 2 2 28" xfId="1326" xr:uid="{00000000-0005-0000-0000-00002A050000}"/>
    <cellStyle name="Normal 3 2 2 29" xfId="1327" xr:uid="{00000000-0005-0000-0000-00002B050000}"/>
    <cellStyle name="Normal 3 2 2 3" xfId="1328" xr:uid="{00000000-0005-0000-0000-00002C050000}"/>
    <cellStyle name="Normal 3 2 2 30" xfId="1329" xr:uid="{00000000-0005-0000-0000-00002D050000}"/>
    <cellStyle name="Normal 3 2 2 31" xfId="1330" xr:uid="{00000000-0005-0000-0000-00002E050000}"/>
    <cellStyle name="Normal 3 2 2 32" xfId="1331" xr:uid="{00000000-0005-0000-0000-00002F050000}"/>
    <cellStyle name="Normal 3 2 2 33" xfId="1332" xr:uid="{00000000-0005-0000-0000-000030050000}"/>
    <cellStyle name="Normal 3 2 2 4" xfId="1333" xr:uid="{00000000-0005-0000-0000-000031050000}"/>
    <cellStyle name="Normal 3 2 2 5" xfId="1334" xr:uid="{00000000-0005-0000-0000-000032050000}"/>
    <cellStyle name="Normal 3 2 2 6" xfId="1335" xr:uid="{00000000-0005-0000-0000-000033050000}"/>
    <cellStyle name="Normal 3 2 2 7" xfId="1336" xr:uid="{00000000-0005-0000-0000-000034050000}"/>
    <cellStyle name="Normal 3 2 2 8" xfId="1337" xr:uid="{00000000-0005-0000-0000-000035050000}"/>
    <cellStyle name="Normal 3 2 2 9" xfId="1338" xr:uid="{00000000-0005-0000-0000-000036050000}"/>
    <cellStyle name="Normal 3 2 20" xfId="1339" xr:uid="{00000000-0005-0000-0000-000037050000}"/>
    <cellStyle name="Normal 3 2 21" xfId="1340" xr:uid="{00000000-0005-0000-0000-000038050000}"/>
    <cellStyle name="Normal 3 2 22" xfId="1341" xr:uid="{00000000-0005-0000-0000-000039050000}"/>
    <cellStyle name="Normal 3 2 23" xfId="1342" xr:uid="{00000000-0005-0000-0000-00003A050000}"/>
    <cellStyle name="Normal 3 2 24" xfId="1343" xr:uid="{00000000-0005-0000-0000-00003B050000}"/>
    <cellStyle name="Normal 3 2 25" xfId="1344" xr:uid="{00000000-0005-0000-0000-00003C050000}"/>
    <cellStyle name="Normal 3 2 26" xfId="1345" xr:uid="{00000000-0005-0000-0000-00003D050000}"/>
    <cellStyle name="Normal 3 2 27" xfId="1346" xr:uid="{00000000-0005-0000-0000-00003E050000}"/>
    <cellStyle name="Normal 3 2 28" xfId="1347" xr:uid="{00000000-0005-0000-0000-00003F050000}"/>
    <cellStyle name="Normal 3 2 29" xfId="1348" xr:uid="{00000000-0005-0000-0000-000040050000}"/>
    <cellStyle name="Normal 3 2 3" xfId="1349" xr:uid="{00000000-0005-0000-0000-000041050000}"/>
    <cellStyle name="Normal 3 2 30" xfId="1350" xr:uid="{00000000-0005-0000-0000-000042050000}"/>
    <cellStyle name="Normal 3 2 31" xfId="1351" xr:uid="{00000000-0005-0000-0000-000043050000}"/>
    <cellStyle name="Normal 3 2 32" xfId="1352" xr:uid="{00000000-0005-0000-0000-000044050000}"/>
    <cellStyle name="Normal 3 2 33" xfId="1353" xr:uid="{00000000-0005-0000-0000-000045050000}"/>
    <cellStyle name="Normal 3 2 34" xfId="1354" xr:uid="{00000000-0005-0000-0000-000046050000}"/>
    <cellStyle name="Normal 3 2 35" xfId="1355" xr:uid="{00000000-0005-0000-0000-000047050000}"/>
    <cellStyle name="Normal 3 2 36" xfId="1356" xr:uid="{00000000-0005-0000-0000-000048050000}"/>
    <cellStyle name="Normal 3 2 37" xfId="1357" xr:uid="{00000000-0005-0000-0000-000049050000}"/>
    <cellStyle name="Normal 3 2 38" xfId="1358" xr:uid="{00000000-0005-0000-0000-00004A050000}"/>
    <cellStyle name="Normal 3 2 39" xfId="1359" xr:uid="{00000000-0005-0000-0000-00004B050000}"/>
    <cellStyle name="Normal 3 2 4" xfId="1360" xr:uid="{00000000-0005-0000-0000-00004C050000}"/>
    <cellStyle name="Normal 3 2 40" xfId="1361" xr:uid="{00000000-0005-0000-0000-00004D050000}"/>
    <cellStyle name="Normal 3 2 41" xfId="1362" xr:uid="{00000000-0005-0000-0000-00004E050000}"/>
    <cellStyle name="Normal 3 2 42" xfId="1363" xr:uid="{00000000-0005-0000-0000-00004F050000}"/>
    <cellStyle name="Normal 3 2 43" xfId="1364" xr:uid="{00000000-0005-0000-0000-000050050000}"/>
    <cellStyle name="Normal 3 2 44" xfId="1365" xr:uid="{00000000-0005-0000-0000-000051050000}"/>
    <cellStyle name="Normal 3 2 45" xfId="1366" xr:uid="{00000000-0005-0000-0000-000052050000}"/>
    <cellStyle name="Normal 3 2 46" xfId="1367" xr:uid="{00000000-0005-0000-0000-000053050000}"/>
    <cellStyle name="Normal 3 2 47" xfId="1368" xr:uid="{00000000-0005-0000-0000-000054050000}"/>
    <cellStyle name="Normal 3 2 48" xfId="1369" xr:uid="{00000000-0005-0000-0000-000055050000}"/>
    <cellStyle name="Normal 3 2 49" xfId="1370" xr:uid="{00000000-0005-0000-0000-000056050000}"/>
    <cellStyle name="Normal 3 2 5" xfId="1371" xr:uid="{00000000-0005-0000-0000-000057050000}"/>
    <cellStyle name="Normal 3 2 50" xfId="1372" xr:uid="{00000000-0005-0000-0000-000058050000}"/>
    <cellStyle name="Normal 3 2 51" xfId="1373" xr:uid="{00000000-0005-0000-0000-000059050000}"/>
    <cellStyle name="Normal 3 2 52" xfId="1374" xr:uid="{00000000-0005-0000-0000-00005A050000}"/>
    <cellStyle name="Normal 3 2 53" xfId="1375" xr:uid="{00000000-0005-0000-0000-00005B050000}"/>
    <cellStyle name="Normal 3 2 54" xfId="1376" xr:uid="{00000000-0005-0000-0000-00005C050000}"/>
    <cellStyle name="Normal 3 2 55" xfId="1377" xr:uid="{00000000-0005-0000-0000-00005D050000}"/>
    <cellStyle name="Normal 3 2 6" xfId="1378" xr:uid="{00000000-0005-0000-0000-00005E050000}"/>
    <cellStyle name="Normal 3 2 7" xfId="1379" xr:uid="{00000000-0005-0000-0000-00005F050000}"/>
    <cellStyle name="Normal 3 2 8" xfId="1380" xr:uid="{00000000-0005-0000-0000-000060050000}"/>
    <cellStyle name="Normal 3 2 9" xfId="1381" xr:uid="{00000000-0005-0000-0000-000061050000}"/>
    <cellStyle name="Normal 3 20" xfId="1382" xr:uid="{00000000-0005-0000-0000-000062050000}"/>
    <cellStyle name="Normal 3 20 10" xfId="1383" xr:uid="{00000000-0005-0000-0000-000063050000}"/>
    <cellStyle name="Normal 3 20 11" xfId="1384" xr:uid="{00000000-0005-0000-0000-000064050000}"/>
    <cellStyle name="Normal 3 20 12" xfId="1385" xr:uid="{00000000-0005-0000-0000-000065050000}"/>
    <cellStyle name="Normal 3 20 13" xfId="1386" xr:uid="{00000000-0005-0000-0000-000066050000}"/>
    <cellStyle name="Normal 3 20 14" xfId="1387" xr:uid="{00000000-0005-0000-0000-000067050000}"/>
    <cellStyle name="Normal 3 20 15" xfId="1388" xr:uid="{00000000-0005-0000-0000-000068050000}"/>
    <cellStyle name="Normal 3 20 16" xfId="1389" xr:uid="{00000000-0005-0000-0000-000069050000}"/>
    <cellStyle name="Normal 3 20 17" xfId="1390" xr:uid="{00000000-0005-0000-0000-00006A050000}"/>
    <cellStyle name="Normal 3 20 18" xfId="1391" xr:uid="{00000000-0005-0000-0000-00006B050000}"/>
    <cellStyle name="Normal 3 20 19" xfId="1392" xr:uid="{00000000-0005-0000-0000-00006C050000}"/>
    <cellStyle name="Normal 3 20 2" xfId="1393" xr:uid="{00000000-0005-0000-0000-00006D050000}"/>
    <cellStyle name="Normal 3 20 20" xfId="1394" xr:uid="{00000000-0005-0000-0000-00006E050000}"/>
    <cellStyle name="Normal 3 20 21" xfId="1395" xr:uid="{00000000-0005-0000-0000-00006F050000}"/>
    <cellStyle name="Normal 3 20 22" xfId="1396" xr:uid="{00000000-0005-0000-0000-000070050000}"/>
    <cellStyle name="Normal 3 20 23" xfId="1397" xr:uid="{00000000-0005-0000-0000-000071050000}"/>
    <cellStyle name="Normal 3 20 3" xfId="1398" xr:uid="{00000000-0005-0000-0000-000072050000}"/>
    <cellStyle name="Normal 3 20 4" xfId="1399" xr:uid="{00000000-0005-0000-0000-000073050000}"/>
    <cellStyle name="Normal 3 20 5" xfId="1400" xr:uid="{00000000-0005-0000-0000-000074050000}"/>
    <cellStyle name="Normal 3 20 6" xfId="1401" xr:uid="{00000000-0005-0000-0000-000075050000}"/>
    <cellStyle name="Normal 3 20 7" xfId="1402" xr:uid="{00000000-0005-0000-0000-000076050000}"/>
    <cellStyle name="Normal 3 20 8" xfId="1403" xr:uid="{00000000-0005-0000-0000-000077050000}"/>
    <cellStyle name="Normal 3 20 9" xfId="1404" xr:uid="{00000000-0005-0000-0000-000078050000}"/>
    <cellStyle name="Normal 3 21" xfId="1405" xr:uid="{00000000-0005-0000-0000-000079050000}"/>
    <cellStyle name="Normal 3 21 10" xfId="1406" xr:uid="{00000000-0005-0000-0000-00007A050000}"/>
    <cellStyle name="Normal 3 21 11" xfId="1407" xr:uid="{00000000-0005-0000-0000-00007B050000}"/>
    <cellStyle name="Normal 3 21 12" xfId="1408" xr:uid="{00000000-0005-0000-0000-00007C050000}"/>
    <cellStyle name="Normal 3 21 13" xfId="1409" xr:uid="{00000000-0005-0000-0000-00007D050000}"/>
    <cellStyle name="Normal 3 21 14" xfId="1410" xr:uid="{00000000-0005-0000-0000-00007E050000}"/>
    <cellStyle name="Normal 3 21 15" xfId="1411" xr:uid="{00000000-0005-0000-0000-00007F050000}"/>
    <cellStyle name="Normal 3 21 16" xfId="1412" xr:uid="{00000000-0005-0000-0000-000080050000}"/>
    <cellStyle name="Normal 3 21 17" xfId="1413" xr:uid="{00000000-0005-0000-0000-000081050000}"/>
    <cellStyle name="Normal 3 21 18" xfId="1414" xr:uid="{00000000-0005-0000-0000-000082050000}"/>
    <cellStyle name="Normal 3 21 19" xfId="1415" xr:uid="{00000000-0005-0000-0000-000083050000}"/>
    <cellStyle name="Normal 3 21 2" xfId="1416" xr:uid="{00000000-0005-0000-0000-000084050000}"/>
    <cellStyle name="Normal 3 21 20" xfId="1417" xr:uid="{00000000-0005-0000-0000-000085050000}"/>
    <cellStyle name="Normal 3 21 21" xfId="1418" xr:uid="{00000000-0005-0000-0000-000086050000}"/>
    <cellStyle name="Normal 3 21 22" xfId="1419" xr:uid="{00000000-0005-0000-0000-000087050000}"/>
    <cellStyle name="Normal 3 21 23" xfId="1420" xr:uid="{00000000-0005-0000-0000-000088050000}"/>
    <cellStyle name="Normal 3 21 3" xfId="1421" xr:uid="{00000000-0005-0000-0000-000089050000}"/>
    <cellStyle name="Normal 3 21 4" xfId="1422" xr:uid="{00000000-0005-0000-0000-00008A050000}"/>
    <cellStyle name="Normal 3 21 5" xfId="1423" xr:uid="{00000000-0005-0000-0000-00008B050000}"/>
    <cellStyle name="Normal 3 21 6" xfId="1424" xr:uid="{00000000-0005-0000-0000-00008C050000}"/>
    <cellStyle name="Normal 3 21 7" xfId="1425" xr:uid="{00000000-0005-0000-0000-00008D050000}"/>
    <cellStyle name="Normal 3 21 8" xfId="1426" xr:uid="{00000000-0005-0000-0000-00008E050000}"/>
    <cellStyle name="Normal 3 21 9" xfId="1427" xr:uid="{00000000-0005-0000-0000-00008F050000}"/>
    <cellStyle name="Normal 3 22" xfId="1428" xr:uid="{00000000-0005-0000-0000-000090050000}"/>
    <cellStyle name="Normal 3 22 10" xfId="1429" xr:uid="{00000000-0005-0000-0000-000091050000}"/>
    <cellStyle name="Normal 3 22 11" xfId="1430" xr:uid="{00000000-0005-0000-0000-000092050000}"/>
    <cellStyle name="Normal 3 22 12" xfId="1431" xr:uid="{00000000-0005-0000-0000-000093050000}"/>
    <cellStyle name="Normal 3 22 13" xfId="1432" xr:uid="{00000000-0005-0000-0000-000094050000}"/>
    <cellStyle name="Normal 3 22 14" xfId="1433" xr:uid="{00000000-0005-0000-0000-000095050000}"/>
    <cellStyle name="Normal 3 22 15" xfId="1434" xr:uid="{00000000-0005-0000-0000-000096050000}"/>
    <cellStyle name="Normal 3 22 16" xfId="1435" xr:uid="{00000000-0005-0000-0000-000097050000}"/>
    <cellStyle name="Normal 3 22 17" xfId="1436" xr:uid="{00000000-0005-0000-0000-000098050000}"/>
    <cellStyle name="Normal 3 22 18" xfId="1437" xr:uid="{00000000-0005-0000-0000-000099050000}"/>
    <cellStyle name="Normal 3 22 19" xfId="1438" xr:uid="{00000000-0005-0000-0000-00009A050000}"/>
    <cellStyle name="Normal 3 22 2" xfId="1439" xr:uid="{00000000-0005-0000-0000-00009B050000}"/>
    <cellStyle name="Normal 3 22 20" xfId="1440" xr:uid="{00000000-0005-0000-0000-00009C050000}"/>
    <cellStyle name="Normal 3 22 21" xfId="1441" xr:uid="{00000000-0005-0000-0000-00009D050000}"/>
    <cellStyle name="Normal 3 22 22" xfId="1442" xr:uid="{00000000-0005-0000-0000-00009E050000}"/>
    <cellStyle name="Normal 3 22 23" xfId="1443" xr:uid="{00000000-0005-0000-0000-00009F050000}"/>
    <cellStyle name="Normal 3 22 3" xfId="1444" xr:uid="{00000000-0005-0000-0000-0000A0050000}"/>
    <cellStyle name="Normal 3 22 4" xfId="1445" xr:uid="{00000000-0005-0000-0000-0000A1050000}"/>
    <cellStyle name="Normal 3 22 5" xfId="1446" xr:uid="{00000000-0005-0000-0000-0000A2050000}"/>
    <cellStyle name="Normal 3 22 6" xfId="1447" xr:uid="{00000000-0005-0000-0000-0000A3050000}"/>
    <cellStyle name="Normal 3 22 7" xfId="1448" xr:uid="{00000000-0005-0000-0000-0000A4050000}"/>
    <cellStyle name="Normal 3 22 8" xfId="1449" xr:uid="{00000000-0005-0000-0000-0000A5050000}"/>
    <cellStyle name="Normal 3 22 9" xfId="1450" xr:uid="{00000000-0005-0000-0000-0000A6050000}"/>
    <cellStyle name="Normal 3 23" xfId="1451" xr:uid="{00000000-0005-0000-0000-0000A7050000}"/>
    <cellStyle name="Normal 3 23 10" xfId="1452" xr:uid="{00000000-0005-0000-0000-0000A8050000}"/>
    <cellStyle name="Normal 3 23 11" xfId="1453" xr:uid="{00000000-0005-0000-0000-0000A9050000}"/>
    <cellStyle name="Normal 3 23 12" xfId="1454" xr:uid="{00000000-0005-0000-0000-0000AA050000}"/>
    <cellStyle name="Normal 3 23 13" xfId="1455" xr:uid="{00000000-0005-0000-0000-0000AB050000}"/>
    <cellStyle name="Normal 3 23 14" xfId="1456" xr:uid="{00000000-0005-0000-0000-0000AC050000}"/>
    <cellStyle name="Normal 3 23 15" xfId="1457" xr:uid="{00000000-0005-0000-0000-0000AD050000}"/>
    <cellStyle name="Normal 3 23 16" xfId="1458" xr:uid="{00000000-0005-0000-0000-0000AE050000}"/>
    <cellStyle name="Normal 3 23 17" xfId="1459" xr:uid="{00000000-0005-0000-0000-0000AF050000}"/>
    <cellStyle name="Normal 3 23 18" xfId="1460" xr:uid="{00000000-0005-0000-0000-0000B0050000}"/>
    <cellStyle name="Normal 3 23 19" xfId="1461" xr:uid="{00000000-0005-0000-0000-0000B1050000}"/>
    <cellStyle name="Normal 3 23 2" xfId="1462" xr:uid="{00000000-0005-0000-0000-0000B2050000}"/>
    <cellStyle name="Normal 3 23 20" xfId="1463" xr:uid="{00000000-0005-0000-0000-0000B3050000}"/>
    <cellStyle name="Normal 3 23 21" xfId="1464" xr:uid="{00000000-0005-0000-0000-0000B4050000}"/>
    <cellStyle name="Normal 3 23 22" xfId="1465" xr:uid="{00000000-0005-0000-0000-0000B5050000}"/>
    <cellStyle name="Normal 3 23 23" xfId="1466" xr:uid="{00000000-0005-0000-0000-0000B6050000}"/>
    <cellStyle name="Normal 3 23 3" xfId="1467" xr:uid="{00000000-0005-0000-0000-0000B7050000}"/>
    <cellStyle name="Normal 3 23 4" xfId="1468" xr:uid="{00000000-0005-0000-0000-0000B8050000}"/>
    <cellStyle name="Normal 3 23 5" xfId="1469" xr:uid="{00000000-0005-0000-0000-0000B9050000}"/>
    <cellStyle name="Normal 3 23 6" xfId="1470" xr:uid="{00000000-0005-0000-0000-0000BA050000}"/>
    <cellStyle name="Normal 3 23 7" xfId="1471" xr:uid="{00000000-0005-0000-0000-0000BB050000}"/>
    <cellStyle name="Normal 3 23 8" xfId="1472" xr:uid="{00000000-0005-0000-0000-0000BC050000}"/>
    <cellStyle name="Normal 3 23 9" xfId="1473" xr:uid="{00000000-0005-0000-0000-0000BD050000}"/>
    <cellStyle name="Normal 3 24" xfId="1474" xr:uid="{00000000-0005-0000-0000-0000BE050000}"/>
    <cellStyle name="Normal 3 24 10" xfId="1475" xr:uid="{00000000-0005-0000-0000-0000BF050000}"/>
    <cellStyle name="Normal 3 24 11" xfId="1476" xr:uid="{00000000-0005-0000-0000-0000C0050000}"/>
    <cellStyle name="Normal 3 24 12" xfId="1477" xr:uid="{00000000-0005-0000-0000-0000C1050000}"/>
    <cellStyle name="Normal 3 24 13" xfId="1478" xr:uid="{00000000-0005-0000-0000-0000C2050000}"/>
    <cellStyle name="Normal 3 24 14" xfId="1479" xr:uid="{00000000-0005-0000-0000-0000C3050000}"/>
    <cellStyle name="Normal 3 24 15" xfId="1480" xr:uid="{00000000-0005-0000-0000-0000C4050000}"/>
    <cellStyle name="Normal 3 24 16" xfId="1481" xr:uid="{00000000-0005-0000-0000-0000C5050000}"/>
    <cellStyle name="Normal 3 24 17" xfId="1482" xr:uid="{00000000-0005-0000-0000-0000C6050000}"/>
    <cellStyle name="Normal 3 24 18" xfId="1483" xr:uid="{00000000-0005-0000-0000-0000C7050000}"/>
    <cellStyle name="Normal 3 24 19" xfId="1484" xr:uid="{00000000-0005-0000-0000-0000C8050000}"/>
    <cellStyle name="Normal 3 24 2" xfId="1485" xr:uid="{00000000-0005-0000-0000-0000C9050000}"/>
    <cellStyle name="Normal 3 24 20" xfId="1486" xr:uid="{00000000-0005-0000-0000-0000CA050000}"/>
    <cellStyle name="Normal 3 24 21" xfId="1487" xr:uid="{00000000-0005-0000-0000-0000CB050000}"/>
    <cellStyle name="Normal 3 24 22" xfId="1488" xr:uid="{00000000-0005-0000-0000-0000CC050000}"/>
    <cellStyle name="Normal 3 24 23" xfId="1489" xr:uid="{00000000-0005-0000-0000-0000CD050000}"/>
    <cellStyle name="Normal 3 24 3" xfId="1490" xr:uid="{00000000-0005-0000-0000-0000CE050000}"/>
    <cellStyle name="Normal 3 24 4" xfId="1491" xr:uid="{00000000-0005-0000-0000-0000CF050000}"/>
    <cellStyle name="Normal 3 24 5" xfId="1492" xr:uid="{00000000-0005-0000-0000-0000D0050000}"/>
    <cellStyle name="Normal 3 24 6" xfId="1493" xr:uid="{00000000-0005-0000-0000-0000D1050000}"/>
    <cellStyle name="Normal 3 24 7" xfId="1494" xr:uid="{00000000-0005-0000-0000-0000D2050000}"/>
    <cellStyle name="Normal 3 24 8" xfId="1495" xr:uid="{00000000-0005-0000-0000-0000D3050000}"/>
    <cellStyle name="Normal 3 24 9" xfId="1496" xr:uid="{00000000-0005-0000-0000-0000D4050000}"/>
    <cellStyle name="Normal 3 25" xfId="1497" xr:uid="{00000000-0005-0000-0000-0000D5050000}"/>
    <cellStyle name="Normal 3 25 10" xfId="1498" xr:uid="{00000000-0005-0000-0000-0000D6050000}"/>
    <cellStyle name="Normal 3 25 11" xfId="1499" xr:uid="{00000000-0005-0000-0000-0000D7050000}"/>
    <cellStyle name="Normal 3 25 12" xfId="1500" xr:uid="{00000000-0005-0000-0000-0000D8050000}"/>
    <cellStyle name="Normal 3 25 13" xfId="1501" xr:uid="{00000000-0005-0000-0000-0000D9050000}"/>
    <cellStyle name="Normal 3 25 14" xfId="1502" xr:uid="{00000000-0005-0000-0000-0000DA050000}"/>
    <cellStyle name="Normal 3 25 15" xfId="1503" xr:uid="{00000000-0005-0000-0000-0000DB050000}"/>
    <cellStyle name="Normal 3 25 16" xfId="1504" xr:uid="{00000000-0005-0000-0000-0000DC050000}"/>
    <cellStyle name="Normal 3 25 17" xfId="1505" xr:uid="{00000000-0005-0000-0000-0000DD050000}"/>
    <cellStyle name="Normal 3 25 18" xfId="1506" xr:uid="{00000000-0005-0000-0000-0000DE050000}"/>
    <cellStyle name="Normal 3 25 19" xfId="1507" xr:uid="{00000000-0005-0000-0000-0000DF050000}"/>
    <cellStyle name="Normal 3 25 2" xfId="1508" xr:uid="{00000000-0005-0000-0000-0000E0050000}"/>
    <cellStyle name="Normal 3 25 20" xfId="1509" xr:uid="{00000000-0005-0000-0000-0000E1050000}"/>
    <cellStyle name="Normal 3 25 21" xfId="1510" xr:uid="{00000000-0005-0000-0000-0000E2050000}"/>
    <cellStyle name="Normal 3 25 22" xfId="1511" xr:uid="{00000000-0005-0000-0000-0000E3050000}"/>
    <cellStyle name="Normal 3 25 23" xfId="1512" xr:uid="{00000000-0005-0000-0000-0000E4050000}"/>
    <cellStyle name="Normal 3 25 3" xfId="1513" xr:uid="{00000000-0005-0000-0000-0000E5050000}"/>
    <cellStyle name="Normal 3 25 4" xfId="1514" xr:uid="{00000000-0005-0000-0000-0000E6050000}"/>
    <cellStyle name="Normal 3 25 5" xfId="1515" xr:uid="{00000000-0005-0000-0000-0000E7050000}"/>
    <cellStyle name="Normal 3 25 6" xfId="1516" xr:uid="{00000000-0005-0000-0000-0000E8050000}"/>
    <cellStyle name="Normal 3 25 7" xfId="1517" xr:uid="{00000000-0005-0000-0000-0000E9050000}"/>
    <cellStyle name="Normal 3 25 8" xfId="1518" xr:uid="{00000000-0005-0000-0000-0000EA050000}"/>
    <cellStyle name="Normal 3 25 9" xfId="1519" xr:uid="{00000000-0005-0000-0000-0000EB050000}"/>
    <cellStyle name="Normal 3 26" xfId="1520" xr:uid="{00000000-0005-0000-0000-0000EC050000}"/>
    <cellStyle name="Normal 3 26 10" xfId="1521" xr:uid="{00000000-0005-0000-0000-0000ED050000}"/>
    <cellStyle name="Normal 3 26 11" xfId="1522" xr:uid="{00000000-0005-0000-0000-0000EE050000}"/>
    <cellStyle name="Normal 3 26 12" xfId="1523" xr:uid="{00000000-0005-0000-0000-0000EF050000}"/>
    <cellStyle name="Normal 3 26 13" xfId="1524" xr:uid="{00000000-0005-0000-0000-0000F0050000}"/>
    <cellStyle name="Normal 3 26 14" xfId="1525" xr:uid="{00000000-0005-0000-0000-0000F1050000}"/>
    <cellStyle name="Normal 3 26 15" xfId="1526" xr:uid="{00000000-0005-0000-0000-0000F2050000}"/>
    <cellStyle name="Normal 3 26 16" xfId="1527" xr:uid="{00000000-0005-0000-0000-0000F3050000}"/>
    <cellStyle name="Normal 3 26 17" xfId="1528" xr:uid="{00000000-0005-0000-0000-0000F4050000}"/>
    <cellStyle name="Normal 3 26 18" xfId="1529" xr:uid="{00000000-0005-0000-0000-0000F5050000}"/>
    <cellStyle name="Normal 3 26 19" xfId="1530" xr:uid="{00000000-0005-0000-0000-0000F6050000}"/>
    <cellStyle name="Normal 3 26 2" xfId="1531" xr:uid="{00000000-0005-0000-0000-0000F7050000}"/>
    <cellStyle name="Normal 3 26 20" xfId="1532" xr:uid="{00000000-0005-0000-0000-0000F8050000}"/>
    <cellStyle name="Normal 3 26 21" xfId="1533" xr:uid="{00000000-0005-0000-0000-0000F9050000}"/>
    <cellStyle name="Normal 3 26 22" xfId="1534" xr:uid="{00000000-0005-0000-0000-0000FA050000}"/>
    <cellStyle name="Normal 3 26 23" xfId="1535" xr:uid="{00000000-0005-0000-0000-0000FB050000}"/>
    <cellStyle name="Normal 3 26 3" xfId="1536" xr:uid="{00000000-0005-0000-0000-0000FC050000}"/>
    <cellStyle name="Normal 3 26 4" xfId="1537" xr:uid="{00000000-0005-0000-0000-0000FD050000}"/>
    <cellStyle name="Normal 3 26 5" xfId="1538" xr:uid="{00000000-0005-0000-0000-0000FE050000}"/>
    <cellStyle name="Normal 3 26 6" xfId="1539" xr:uid="{00000000-0005-0000-0000-0000FF050000}"/>
    <cellStyle name="Normal 3 26 7" xfId="1540" xr:uid="{00000000-0005-0000-0000-000000060000}"/>
    <cellStyle name="Normal 3 26 8" xfId="1541" xr:uid="{00000000-0005-0000-0000-000001060000}"/>
    <cellStyle name="Normal 3 26 9" xfId="1542" xr:uid="{00000000-0005-0000-0000-000002060000}"/>
    <cellStyle name="Normal 3 27" xfId="1543" xr:uid="{00000000-0005-0000-0000-000003060000}"/>
    <cellStyle name="Normal 3 27 10" xfId="1544" xr:uid="{00000000-0005-0000-0000-000004060000}"/>
    <cellStyle name="Normal 3 27 11" xfId="1545" xr:uid="{00000000-0005-0000-0000-000005060000}"/>
    <cellStyle name="Normal 3 27 12" xfId="1546" xr:uid="{00000000-0005-0000-0000-000006060000}"/>
    <cellStyle name="Normal 3 27 13" xfId="1547" xr:uid="{00000000-0005-0000-0000-000007060000}"/>
    <cellStyle name="Normal 3 27 14" xfId="1548" xr:uid="{00000000-0005-0000-0000-000008060000}"/>
    <cellStyle name="Normal 3 27 15" xfId="1549" xr:uid="{00000000-0005-0000-0000-000009060000}"/>
    <cellStyle name="Normal 3 27 16" xfId="1550" xr:uid="{00000000-0005-0000-0000-00000A060000}"/>
    <cellStyle name="Normal 3 27 17" xfId="1551" xr:uid="{00000000-0005-0000-0000-00000B060000}"/>
    <cellStyle name="Normal 3 27 18" xfId="1552" xr:uid="{00000000-0005-0000-0000-00000C060000}"/>
    <cellStyle name="Normal 3 27 19" xfId="1553" xr:uid="{00000000-0005-0000-0000-00000D060000}"/>
    <cellStyle name="Normal 3 27 2" xfId="1554" xr:uid="{00000000-0005-0000-0000-00000E060000}"/>
    <cellStyle name="Normal 3 27 20" xfId="1555" xr:uid="{00000000-0005-0000-0000-00000F060000}"/>
    <cellStyle name="Normal 3 27 21" xfId="1556" xr:uid="{00000000-0005-0000-0000-000010060000}"/>
    <cellStyle name="Normal 3 27 22" xfId="1557" xr:uid="{00000000-0005-0000-0000-000011060000}"/>
    <cellStyle name="Normal 3 27 23" xfId="1558" xr:uid="{00000000-0005-0000-0000-000012060000}"/>
    <cellStyle name="Normal 3 27 3" xfId="1559" xr:uid="{00000000-0005-0000-0000-000013060000}"/>
    <cellStyle name="Normal 3 27 4" xfId="1560" xr:uid="{00000000-0005-0000-0000-000014060000}"/>
    <cellStyle name="Normal 3 27 5" xfId="1561" xr:uid="{00000000-0005-0000-0000-000015060000}"/>
    <cellStyle name="Normal 3 27 6" xfId="1562" xr:uid="{00000000-0005-0000-0000-000016060000}"/>
    <cellStyle name="Normal 3 27 7" xfId="1563" xr:uid="{00000000-0005-0000-0000-000017060000}"/>
    <cellStyle name="Normal 3 27 8" xfId="1564" xr:uid="{00000000-0005-0000-0000-000018060000}"/>
    <cellStyle name="Normal 3 27 9" xfId="1565" xr:uid="{00000000-0005-0000-0000-000019060000}"/>
    <cellStyle name="Normal 3 28" xfId="1566" xr:uid="{00000000-0005-0000-0000-00001A060000}"/>
    <cellStyle name="Normal 3 28 10" xfId="1567" xr:uid="{00000000-0005-0000-0000-00001B060000}"/>
    <cellStyle name="Normal 3 28 11" xfId="1568" xr:uid="{00000000-0005-0000-0000-00001C060000}"/>
    <cellStyle name="Normal 3 28 12" xfId="1569" xr:uid="{00000000-0005-0000-0000-00001D060000}"/>
    <cellStyle name="Normal 3 28 13" xfId="1570" xr:uid="{00000000-0005-0000-0000-00001E060000}"/>
    <cellStyle name="Normal 3 28 14" xfId="1571" xr:uid="{00000000-0005-0000-0000-00001F060000}"/>
    <cellStyle name="Normal 3 28 15" xfId="1572" xr:uid="{00000000-0005-0000-0000-000020060000}"/>
    <cellStyle name="Normal 3 28 16" xfId="1573" xr:uid="{00000000-0005-0000-0000-000021060000}"/>
    <cellStyle name="Normal 3 28 17" xfId="1574" xr:uid="{00000000-0005-0000-0000-000022060000}"/>
    <cellStyle name="Normal 3 28 18" xfId="1575" xr:uid="{00000000-0005-0000-0000-000023060000}"/>
    <cellStyle name="Normal 3 28 19" xfId="1576" xr:uid="{00000000-0005-0000-0000-000024060000}"/>
    <cellStyle name="Normal 3 28 2" xfId="1577" xr:uid="{00000000-0005-0000-0000-000025060000}"/>
    <cellStyle name="Normal 3 28 20" xfId="1578" xr:uid="{00000000-0005-0000-0000-000026060000}"/>
    <cellStyle name="Normal 3 28 21" xfId="1579" xr:uid="{00000000-0005-0000-0000-000027060000}"/>
    <cellStyle name="Normal 3 28 22" xfId="1580" xr:uid="{00000000-0005-0000-0000-000028060000}"/>
    <cellStyle name="Normal 3 28 23" xfId="1581" xr:uid="{00000000-0005-0000-0000-000029060000}"/>
    <cellStyle name="Normal 3 28 3" xfId="1582" xr:uid="{00000000-0005-0000-0000-00002A060000}"/>
    <cellStyle name="Normal 3 28 4" xfId="1583" xr:uid="{00000000-0005-0000-0000-00002B060000}"/>
    <cellStyle name="Normal 3 28 5" xfId="1584" xr:uid="{00000000-0005-0000-0000-00002C060000}"/>
    <cellStyle name="Normal 3 28 6" xfId="1585" xr:uid="{00000000-0005-0000-0000-00002D060000}"/>
    <cellStyle name="Normal 3 28 7" xfId="1586" xr:uid="{00000000-0005-0000-0000-00002E060000}"/>
    <cellStyle name="Normal 3 28 8" xfId="1587" xr:uid="{00000000-0005-0000-0000-00002F060000}"/>
    <cellStyle name="Normal 3 28 9" xfId="1588" xr:uid="{00000000-0005-0000-0000-000030060000}"/>
    <cellStyle name="Normal 3 29" xfId="1589" xr:uid="{00000000-0005-0000-0000-000031060000}"/>
    <cellStyle name="Normal 3 29 10" xfId="1590" xr:uid="{00000000-0005-0000-0000-000032060000}"/>
    <cellStyle name="Normal 3 29 11" xfId="1591" xr:uid="{00000000-0005-0000-0000-000033060000}"/>
    <cellStyle name="Normal 3 29 12" xfId="1592" xr:uid="{00000000-0005-0000-0000-000034060000}"/>
    <cellStyle name="Normal 3 29 13" xfId="1593" xr:uid="{00000000-0005-0000-0000-000035060000}"/>
    <cellStyle name="Normal 3 29 14" xfId="1594" xr:uid="{00000000-0005-0000-0000-000036060000}"/>
    <cellStyle name="Normal 3 29 15" xfId="1595" xr:uid="{00000000-0005-0000-0000-000037060000}"/>
    <cellStyle name="Normal 3 29 16" xfId="1596" xr:uid="{00000000-0005-0000-0000-000038060000}"/>
    <cellStyle name="Normal 3 29 17" xfId="1597" xr:uid="{00000000-0005-0000-0000-000039060000}"/>
    <cellStyle name="Normal 3 29 18" xfId="1598" xr:uid="{00000000-0005-0000-0000-00003A060000}"/>
    <cellStyle name="Normal 3 29 19" xfId="1599" xr:uid="{00000000-0005-0000-0000-00003B060000}"/>
    <cellStyle name="Normal 3 29 2" xfId="1600" xr:uid="{00000000-0005-0000-0000-00003C060000}"/>
    <cellStyle name="Normal 3 29 20" xfId="1601" xr:uid="{00000000-0005-0000-0000-00003D060000}"/>
    <cellStyle name="Normal 3 29 21" xfId="1602" xr:uid="{00000000-0005-0000-0000-00003E060000}"/>
    <cellStyle name="Normal 3 29 22" xfId="1603" xr:uid="{00000000-0005-0000-0000-00003F060000}"/>
    <cellStyle name="Normal 3 29 23" xfId="1604" xr:uid="{00000000-0005-0000-0000-000040060000}"/>
    <cellStyle name="Normal 3 29 3" xfId="1605" xr:uid="{00000000-0005-0000-0000-000041060000}"/>
    <cellStyle name="Normal 3 29 4" xfId="1606" xr:uid="{00000000-0005-0000-0000-000042060000}"/>
    <cellStyle name="Normal 3 29 5" xfId="1607" xr:uid="{00000000-0005-0000-0000-000043060000}"/>
    <cellStyle name="Normal 3 29 6" xfId="1608" xr:uid="{00000000-0005-0000-0000-000044060000}"/>
    <cellStyle name="Normal 3 29 7" xfId="1609" xr:uid="{00000000-0005-0000-0000-000045060000}"/>
    <cellStyle name="Normal 3 29 8" xfId="1610" xr:uid="{00000000-0005-0000-0000-000046060000}"/>
    <cellStyle name="Normal 3 29 9" xfId="1611" xr:uid="{00000000-0005-0000-0000-000047060000}"/>
    <cellStyle name="Normal 3 3" xfId="1612" xr:uid="{00000000-0005-0000-0000-000048060000}"/>
    <cellStyle name="Normal 3 3 10" xfId="1613" xr:uid="{00000000-0005-0000-0000-000049060000}"/>
    <cellStyle name="Normal 3 3 11" xfId="1614" xr:uid="{00000000-0005-0000-0000-00004A060000}"/>
    <cellStyle name="Normal 3 3 12" xfId="1615" xr:uid="{00000000-0005-0000-0000-00004B060000}"/>
    <cellStyle name="Normal 3 3 13" xfId="1616" xr:uid="{00000000-0005-0000-0000-00004C060000}"/>
    <cellStyle name="Normal 3 3 14" xfId="1617" xr:uid="{00000000-0005-0000-0000-00004D060000}"/>
    <cellStyle name="Normal 3 3 15" xfId="1618" xr:uid="{00000000-0005-0000-0000-00004E060000}"/>
    <cellStyle name="Normal 3 3 16" xfId="1619" xr:uid="{00000000-0005-0000-0000-00004F060000}"/>
    <cellStyle name="Normal 3 3 17" xfId="1620" xr:uid="{00000000-0005-0000-0000-000050060000}"/>
    <cellStyle name="Normal 3 3 18" xfId="1621" xr:uid="{00000000-0005-0000-0000-000051060000}"/>
    <cellStyle name="Normal 3 3 19" xfId="1622" xr:uid="{00000000-0005-0000-0000-000052060000}"/>
    <cellStyle name="Normal 3 3 2" xfId="1623" xr:uid="{00000000-0005-0000-0000-000053060000}"/>
    <cellStyle name="Normal 3 3 20" xfId="1624" xr:uid="{00000000-0005-0000-0000-000054060000}"/>
    <cellStyle name="Normal 3 3 21" xfId="1625" xr:uid="{00000000-0005-0000-0000-000055060000}"/>
    <cellStyle name="Normal 3 3 22" xfId="1626" xr:uid="{00000000-0005-0000-0000-000056060000}"/>
    <cellStyle name="Normal 3 3 23" xfId="1627" xr:uid="{00000000-0005-0000-0000-000057060000}"/>
    <cellStyle name="Normal 3 3 3" xfId="1628" xr:uid="{00000000-0005-0000-0000-000058060000}"/>
    <cellStyle name="Normal 3 3 4" xfId="1629" xr:uid="{00000000-0005-0000-0000-000059060000}"/>
    <cellStyle name="Normal 3 3 5" xfId="1630" xr:uid="{00000000-0005-0000-0000-00005A060000}"/>
    <cellStyle name="Normal 3 3 6" xfId="1631" xr:uid="{00000000-0005-0000-0000-00005B060000}"/>
    <cellStyle name="Normal 3 3 7" xfId="1632" xr:uid="{00000000-0005-0000-0000-00005C060000}"/>
    <cellStyle name="Normal 3 3 8" xfId="1633" xr:uid="{00000000-0005-0000-0000-00005D060000}"/>
    <cellStyle name="Normal 3 3 9" xfId="1634" xr:uid="{00000000-0005-0000-0000-00005E060000}"/>
    <cellStyle name="Normal 3 30" xfId="1635" xr:uid="{00000000-0005-0000-0000-00005F060000}"/>
    <cellStyle name="Normal 3 30 10" xfId="1636" xr:uid="{00000000-0005-0000-0000-000060060000}"/>
    <cellStyle name="Normal 3 30 11" xfId="1637" xr:uid="{00000000-0005-0000-0000-000061060000}"/>
    <cellStyle name="Normal 3 30 12" xfId="1638" xr:uid="{00000000-0005-0000-0000-000062060000}"/>
    <cellStyle name="Normal 3 30 13" xfId="1639" xr:uid="{00000000-0005-0000-0000-000063060000}"/>
    <cellStyle name="Normal 3 30 14" xfId="1640" xr:uid="{00000000-0005-0000-0000-000064060000}"/>
    <cellStyle name="Normal 3 30 15" xfId="1641" xr:uid="{00000000-0005-0000-0000-000065060000}"/>
    <cellStyle name="Normal 3 30 16" xfId="1642" xr:uid="{00000000-0005-0000-0000-000066060000}"/>
    <cellStyle name="Normal 3 30 17" xfId="1643" xr:uid="{00000000-0005-0000-0000-000067060000}"/>
    <cellStyle name="Normal 3 30 18" xfId="1644" xr:uid="{00000000-0005-0000-0000-000068060000}"/>
    <cellStyle name="Normal 3 30 19" xfId="1645" xr:uid="{00000000-0005-0000-0000-000069060000}"/>
    <cellStyle name="Normal 3 30 2" xfId="1646" xr:uid="{00000000-0005-0000-0000-00006A060000}"/>
    <cellStyle name="Normal 3 30 20" xfId="1647" xr:uid="{00000000-0005-0000-0000-00006B060000}"/>
    <cellStyle name="Normal 3 30 21" xfId="1648" xr:uid="{00000000-0005-0000-0000-00006C060000}"/>
    <cellStyle name="Normal 3 30 22" xfId="1649" xr:uid="{00000000-0005-0000-0000-00006D060000}"/>
    <cellStyle name="Normal 3 30 23" xfId="1650" xr:uid="{00000000-0005-0000-0000-00006E060000}"/>
    <cellStyle name="Normal 3 30 3" xfId="1651" xr:uid="{00000000-0005-0000-0000-00006F060000}"/>
    <cellStyle name="Normal 3 30 4" xfId="1652" xr:uid="{00000000-0005-0000-0000-000070060000}"/>
    <cellStyle name="Normal 3 30 5" xfId="1653" xr:uid="{00000000-0005-0000-0000-000071060000}"/>
    <cellStyle name="Normal 3 30 6" xfId="1654" xr:uid="{00000000-0005-0000-0000-000072060000}"/>
    <cellStyle name="Normal 3 30 7" xfId="1655" xr:uid="{00000000-0005-0000-0000-000073060000}"/>
    <cellStyle name="Normal 3 30 8" xfId="1656" xr:uid="{00000000-0005-0000-0000-000074060000}"/>
    <cellStyle name="Normal 3 30 9" xfId="1657" xr:uid="{00000000-0005-0000-0000-000075060000}"/>
    <cellStyle name="Normal 3 31" xfId="1658" xr:uid="{00000000-0005-0000-0000-000076060000}"/>
    <cellStyle name="Normal 3 31 10" xfId="1659" xr:uid="{00000000-0005-0000-0000-000077060000}"/>
    <cellStyle name="Normal 3 31 11" xfId="1660" xr:uid="{00000000-0005-0000-0000-000078060000}"/>
    <cellStyle name="Normal 3 31 12" xfId="1661" xr:uid="{00000000-0005-0000-0000-000079060000}"/>
    <cellStyle name="Normal 3 31 13" xfId="1662" xr:uid="{00000000-0005-0000-0000-00007A060000}"/>
    <cellStyle name="Normal 3 31 14" xfId="1663" xr:uid="{00000000-0005-0000-0000-00007B060000}"/>
    <cellStyle name="Normal 3 31 15" xfId="1664" xr:uid="{00000000-0005-0000-0000-00007C060000}"/>
    <cellStyle name="Normal 3 31 16" xfId="1665" xr:uid="{00000000-0005-0000-0000-00007D060000}"/>
    <cellStyle name="Normal 3 31 17" xfId="1666" xr:uid="{00000000-0005-0000-0000-00007E060000}"/>
    <cellStyle name="Normal 3 31 18" xfId="1667" xr:uid="{00000000-0005-0000-0000-00007F060000}"/>
    <cellStyle name="Normal 3 31 19" xfId="1668" xr:uid="{00000000-0005-0000-0000-000080060000}"/>
    <cellStyle name="Normal 3 31 2" xfId="1669" xr:uid="{00000000-0005-0000-0000-000081060000}"/>
    <cellStyle name="Normal 3 31 20" xfId="1670" xr:uid="{00000000-0005-0000-0000-000082060000}"/>
    <cellStyle name="Normal 3 31 21" xfId="1671" xr:uid="{00000000-0005-0000-0000-000083060000}"/>
    <cellStyle name="Normal 3 31 22" xfId="1672" xr:uid="{00000000-0005-0000-0000-000084060000}"/>
    <cellStyle name="Normal 3 31 23" xfId="1673" xr:uid="{00000000-0005-0000-0000-000085060000}"/>
    <cellStyle name="Normal 3 31 3" xfId="1674" xr:uid="{00000000-0005-0000-0000-000086060000}"/>
    <cellStyle name="Normal 3 31 4" xfId="1675" xr:uid="{00000000-0005-0000-0000-000087060000}"/>
    <cellStyle name="Normal 3 31 5" xfId="1676" xr:uid="{00000000-0005-0000-0000-000088060000}"/>
    <cellStyle name="Normal 3 31 6" xfId="1677" xr:uid="{00000000-0005-0000-0000-000089060000}"/>
    <cellStyle name="Normal 3 31 7" xfId="1678" xr:uid="{00000000-0005-0000-0000-00008A060000}"/>
    <cellStyle name="Normal 3 31 8" xfId="1679" xr:uid="{00000000-0005-0000-0000-00008B060000}"/>
    <cellStyle name="Normal 3 31 9" xfId="1680" xr:uid="{00000000-0005-0000-0000-00008C060000}"/>
    <cellStyle name="Normal 3 32" xfId="1681" xr:uid="{00000000-0005-0000-0000-00008D060000}"/>
    <cellStyle name="Normal 3 32 10" xfId="1682" xr:uid="{00000000-0005-0000-0000-00008E060000}"/>
    <cellStyle name="Normal 3 32 11" xfId="1683" xr:uid="{00000000-0005-0000-0000-00008F060000}"/>
    <cellStyle name="Normal 3 32 12" xfId="1684" xr:uid="{00000000-0005-0000-0000-000090060000}"/>
    <cellStyle name="Normal 3 32 13" xfId="1685" xr:uid="{00000000-0005-0000-0000-000091060000}"/>
    <cellStyle name="Normal 3 32 14" xfId="1686" xr:uid="{00000000-0005-0000-0000-000092060000}"/>
    <cellStyle name="Normal 3 32 15" xfId="1687" xr:uid="{00000000-0005-0000-0000-000093060000}"/>
    <cellStyle name="Normal 3 32 16" xfId="1688" xr:uid="{00000000-0005-0000-0000-000094060000}"/>
    <cellStyle name="Normal 3 32 17" xfId="1689" xr:uid="{00000000-0005-0000-0000-000095060000}"/>
    <cellStyle name="Normal 3 32 18" xfId="1690" xr:uid="{00000000-0005-0000-0000-000096060000}"/>
    <cellStyle name="Normal 3 32 19" xfId="1691" xr:uid="{00000000-0005-0000-0000-000097060000}"/>
    <cellStyle name="Normal 3 32 2" xfId="1692" xr:uid="{00000000-0005-0000-0000-000098060000}"/>
    <cellStyle name="Normal 3 32 20" xfId="1693" xr:uid="{00000000-0005-0000-0000-000099060000}"/>
    <cellStyle name="Normal 3 32 21" xfId="1694" xr:uid="{00000000-0005-0000-0000-00009A060000}"/>
    <cellStyle name="Normal 3 32 22" xfId="1695" xr:uid="{00000000-0005-0000-0000-00009B060000}"/>
    <cellStyle name="Normal 3 32 23" xfId="1696" xr:uid="{00000000-0005-0000-0000-00009C060000}"/>
    <cellStyle name="Normal 3 32 3" xfId="1697" xr:uid="{00000000-0005-0000-0000-00009D060000}"/>
    <cellStyle name="Normal 3 32 4" xfId="1698" xr:uid="{00000000-0005-0000-0000-00009E060000}"/>
    <cellStyle name="Normal 3 32 5" xfId="1699" xr:uid="{00000000-0005-0000-0000-00009F060000}"/>
    <cellStyle name="Normal 3 32 6" xfId="1700" xr:uid="{00000000-0005-0000-0000-0000A0060000}"/>
    <cellStyle name="Normal 3 32 7" xfId="1701" xr:uid="{00000000-0005-0000-0000-0000A1060000}"/>
    <cellStyle name="Normal 3 32 8" xfId="1702" xr:uid="{00000000-0005-0000-0000-0000A2060000}"/>
    <cellStyle name="Normal 3 32 9" xfId="1703" xr:uid="{00000000-0005-0000-0000-0000A3060000}"/>
    <cellStyle name="Normal 3 33" xfId="1704" xr:uid="{00000000-0005-0000-0000-0000A4060000}"/>
    <cellStyle name="Normal 3 33 10" xfId="1705" xr:uid="{00000000-0005-0000-0000-0000A5060000}"/>
    <cellStyle name="Normal 3 33 11" xfId="1706" xr:uid="{00000000-0005-0000-0000-0000A6060000}"/>
    <cellStyle name="Normal 3 33 12" xfId="1707" xr:uid="{00000000-0005-0000-0000-0000A7060000}"/>
    <cellStyle name="Normal 3 33 13" xfId="1708" xr:uid="{00000000-0005-0000-0000-0000A8060000}"/>
    <cellStyle name="Normal 3 33 14" xfId="1709" xr:uid="{00000000-0005-0000-0000-0000A9060000}"/>
    <cellStyle name="Normal 3 33 15" xfId="1710" xr:uid="{00000000-0005-0000-0000-0000AA060000}"/>
    <cellStyle name="Normal 3 33 16" xfId="1711" xr:uid="{00000000-0005-0000-0000-0000AB060000}"/>
    <cellStyle name="Normal 3 33 17" xfId="1712" xr:uid="{00000000-0005-0000-0000-0000AC060000}"/>
    <cellStyle name="Normal 3 33 18" xfId="1713" xr:uid="{00000000-0005-0000-0000-0000AD060000}"/>
    <cellStyle name="Normal 3 33 19" xfId="1714" xr:uid="{00000000-0005-0000-0000-0000AE060000}"/>
    <cellStyle name="Normal 3 33 2" xfId="1715" xr:uid="{00000000-0005-0000-0000-0000AF060000}"/>
    <cellStyle name="Normal 3 33 20" xfId="1716" xr:uid="{00000000-0005-0000-0000-0000B0060000}"/>
    <cellStyle name="Normal 3 33 21" xfId="1717" xr:uid="{00000000-0005-0000-0000-0000B1060000}"/>
    <cellStyle name="Normal 3 33 22" xfId="1718" xr:uid="{00000000-0005-0000-0000-0000B2060000}"/>
    <cellStyle name="Normal 3 33 23" xfId="1719" xr:uid="{00000000-0005-0000-0000-0000B3060000}"/>
    <cellStyle name="Normal 3 33 3" xfId="1720" xr:uid="{00000000-0005-0000-0000-0000B4060000}"/>
    <cellStyle name="Normal 3 33 4" xfId="1721" xr:uid="{00000000-0005-0000-0000-0000B5060000}"/>
    <cellStyle name="Normal 3 33 5" xfId="1722" xr:uid="{00000000-0005-0000-0000-0000B6060000}"/>
    <cellStyle name="Normal 3 33 6" xfId="1723" xr:uid="{00000000-0005-0000-0000-0000B7060000}"/>
    <cellStyle name="Normal 3 33 7" xfId="1724" xr:uid="{00000000-0005-0000-0000-0000B8060000}"/>
    <cellStyle name="Normal 3 33 8" xfId="1725" xr:uid="{00000000-0005-0000-0000-0000B9060000}"/>
    <cellStyle name="Normal 3 33 9" xfId="1726" xr:uid="{00000000-0005-0000-0000-0000BA060000}"/>
    <cellStyle name="Normal 3 34" xfId="1727" xr:uid="{00000000-0005-0000-0000-0000BB060000}"/>
    <cellStyle name="Normal 3 35" xfId="1728" xr:uid="{00000000-0005-0000-0000-0000BC060000}"/>
    <cellStyle name="Normal 3 36" xfId="1729" xr:uid="{00000000-0005-0000-0000-0000BD060000}"/>
    <cellStyle name="Normal 3 37" xfId="1730" xr:uid="{00000000-0005-0000-0000-0000BE060000}"/>
    <cellStyle name="Normal 3 38" xfId="1731" xr:uid="{00000000-0005-0000-0000-0000BF060000}"/>
    <cellStyle name="Normal 3 39" xfId="1732" xr:uid="{00000000-0005-0000-0000-0000C0060000}"/>
    <cellStyle name="Normal 3 4" xfId="1733" xr:uid="{00000000-0005-0000-0000-0000C1060000}"/>
    <cellStyle name="Normal 3 4 10" xfId="1734" xr:uid="{00000000-0005-0000-0000-0000C2060000}"/>
    <cellStyle name="Normal 3 4 11" xfId="1735" xr:uid="{00000000-0005-0000-0000-0000C3060000}"/>
    <cellStyle name="Normal 3 4 12" xfId="1736" xr:uid="{00000000-0005-0000-0000-0000C4060000}"/>
    <cellStyle name="Normal 3 4 13" xfId="1737" xr:uid="{00000000-0005-0000-0000-0000C5060000}"/>
    <cellStyle name="Normal 3 4 14" xfId="1738" xr:uid="{00000000-0005-0000-0000-0000C6060000}"/>
    <cellStyle name="Normal 3 4 15" xfId="1739" xr:uid="{00000000-0005-0000-0000-0000C7060000}"/>
    <cellStyle name="Normal 3 4 16" xfId="1740" xr:uid="{00000000-0005-0000-0000-0000C8060000}"/>
    <cellStyle name="Normal 3 4 17" xfId="1741" xr:uid="{00000000-0005-0000-0000-0000C9060000}"/>
    <cellStyle name="Normal 3 4 18" xfId="1742" xr:uid="{00000000-0005-0000-0000-0000CA060000}"/>
    <cellStyle name="Normal 3 4 19" xfId="1743" xr:uid="{00000000-0005-0000-0000-0000CB060000}"/>
    <cellStyle name="Normal 3 4 2" xfId="1744" xr:uid="{00000000-0005-0000-0000-0000CC060000}"/>
    <cellStyle name="Normal 3 4 20" xfId="1745" xr:uid="{00000000-0005-0000-0000-0000CD060000}"/>
    <cellStyle name="Normal 3 4 21" xfId="1746" xr:uid="{00000000-0005-0000-0000-0000CE060000}"/>
    <cellStyle name="Normal 3 4 22" xfId="1747" xr:uid="{00000000-0005-0000-0000-0000CF060000}"/>
    <cellStyle name="Normal 3 4 23" xfId="1748" xr:uid="{00000000-0005-0000-0000-0000D0060000}"/>
    <cellStyle name="Normal 3 4 3" xfId="1749" xr:uid="{00000000-0005-0000-0000-0000D1060000}"/>
    <cellStyle name="Normal 3 4 4" xfId="1750" xr:uid="{00000000-0005-0000-0000-0000D2060000}"/>
    <cellStyle name="Normal 3 4 5" xfId="1751" xr:uid="{00000000-0005-0000-0000-0000D3060000}"/>
    <cellStyle name="Normal 3 4 6" xfId="1752" xr:uid="{00000000-0005-0000-0000-0000D4060000}"/>
    <cellStyle name="Normal 3 4 7" xfId="1753" xr:uid="{00000000-0005-0000-0000-0000D5060000}"/>
    <cellStyle name="Normal 3 4 8" xfId="1754" xr:uid="{00000000-0005-0000-0000-0000D6060000}"/>
    <cellStyle name="Normal 3 4 9" xfId="1755" xr:uid="{00000000-0005-0000-0000-0000D7060000}"/>
    <cellStyle name="Normal 3 40" xfId="1756" xr:uid="{00000000-0005-0000-0000-0000D8060000}"/>
    <cellStyle name="Normal 3 41" xfId="1757" xr:uid="{00000000-0005-0000-0000-0000D9060000}"/>
    <cellStyle name="Normal 3 42" xfId="1758" xr:uid="{00000000-0005-0000-0000-0000DA060000}"/>
    <cellStyle name="Normal 3 43" xfId="1759" xr:uid="{00000000-0005-0000-0000-0000DB060000}"/>
    <cellStyle name="Normal 3 44" xfId="1760" xr:uid="{00000000-0005-0000-0000-0000DC060000}"/>
    <cellStyle name="Normal 3 45" xfId="1761" xr:uid="{00000000-0005-0000-0000-0000DD060000}"/>
    <cellStyle name="Normal 3 46" xfId="1762" xr:uid="{00000000-0005-0000-0000-0000DE060000}"/>
    <cellStyle name="Normal 3 47" xfId="1763" xr:uid="{00000000-0005-0000-0000-0000DF060000}"/>
    <cellStyle name="Normal 3 48" xfId="1764" xr:uid="{00000000-0005-0000-0000-0000E0060000}"/>
    <cellStyle name="Normal 3 49" xfId="1765" xr:uid="{00000000-0005-0000-0000-0000E1060000}"/>
    <cellStyle name="Normal 3 5" xfId="1766" xr:uid="{00000000-0005-0000-0000-0000E2060000}"/>
    <cellStyle name="Normal 3 5 10" xfId="1767" xr:uid="{00000000-0005-0000-0000-0000E3060000}"/>
    <cellStyle name="Normal 3 5 11" xfId="1768" xr:uid="{00000000-0005-0000-0000-0000E4060000}"/>
    <cellStyle name="Normal 3 5 12" xfId="1769" xr:uid="{00000000-0005-0000-0000-0000E5060000}"/>
    <cellStyle name="Normal 3 5 13" xfId="1770" xr:uid="{00000000-0005-0000-0000-0000E6060000}"/>
    <cellStyle name="Normal 3 5 14" xfId="1771" xr:uid="{00000000-0005-0000-0000-0000E7060000}"/>
    <cellStyle name="Normal 3 5 15" xfId="1772" xr:uid="{00000000-0005-0000-0000-0000E8060000}"/>
    <cellStyle name="Normal 3 5 16" xfId="1773" xr:uid="{00000000-0005-0000-0000-0000E9060000}"/>
    <cellStyle name="Normal 3 5 17" xfId="1774" xr:uid="{00000000-0005-0000-0000-0000EA060000}"/>
    <cellStyle name="Normal 3 5 18" xfId="1775" xr:uid="{00000000-0005-0000-0000-0000EB060000}"/>
    <cellStyle name="Normal 3 5 19" xfId="1776" xr:uid="{00000000-0005-0000-0000-0000EC060000}"/>
    <cellStyle name="Normal 3 5 2" xfId="1777" xr:uid="{00000000-0005-0000-0000-0000ED060000}"/>
    <cellStyle name="Normal 3 5 20" xfId="1778" xr:uid="{00000000-0005-0000-0000-0000EE060000}"/>
    <cellStyle name="Normal 3 5 21" xfId="1779" xr:uid="{00000000-0005-0000-0000-0000EF060000}"/>
    <cellStyle name="Normal 3 5 22" xfId="1780" xr:uid="{00000000-0005-0000-0000-0000F0060000}"/>
    <cellStyle name="Normal 3 5 23" xfId="1781" xr:uid="{00000000-0005-0000-0000-0000F1060000}"/>
    <cellStyle name="Normal 3 5 3" xfId="1782" xr:uid="{00000000-0005-0000-0000-0000F2060000}"/>
    <cellStyle name="Normal 3 5 4" xfId="1783" xr:uid="{00000000-0005-0000-0000-0000F3060000}"/>
    <cellStyle name="Normal 3 5 5" xfId="1784" xr:uid="{00000000-0005-0000-0000-0000F4060000}"/>
    <cellStyle name="Normal 3 5 6" xfId="1785" xr:uid="{00000000-0005-0000-0000-0000F5060000}"/>
    <cellStyle name="Normal 3 5 7" xfId="1786" xr:uid="{00000000-0005-0000-0000-0000F6060000}"/>
    <cellStyle name="Normal 3 5 8" xfId="1787" xr:uid="{00000000-0005-0000-0000-0000F7060000}"/>
    <cellStyle name="Normal 3 5 9" xfId="1788" xr:uid="{00000000-0005-0000-0000-0000F8060000}"/>
    <cellStyle name="Normal 3 50" xfId="1789" xr:uid="{00000000-0005-0000-0000-0000F9060000}"/>
    <cellStyle name="Normal 3 51" xfId="1790" xr:uid="{00000000-0005-0000-0000-0000FA060000}"/>
    <cellStyle name="Normal 3 52" xfId="1791" xr:uid="{00000000-0005-0000-0000-0000FB060000}"/>
    <cellStyle name="Normal 3 53" xfId="1792" xr:uid="{00000000-0005-0000-0000-0000FC060000}"/>
    <cellStyle name="Normal 3 54" xfId="1793" xr:uid="{00000000-0005-0000-0000-0000FD060000}"/>
    <cellStyle name="Normal 3 55" xfId="1794" xr:uid="{00000000-0005-0000-0000-0000FE060000}"/>
    <cellStyle name="Normal 3 56" xfId="1795" xr:uid="{00000000-0005-0000-0000-0000FF060000}"/>
    <cellStyle name="Normal 3 57" xfId="1796" xr:uid="{00000000-0005-0000-0000-000000070000}"/>
    <cellStyle name="Normal 3 58" xfId="1797" xr:uid="{00000000-0005-0000-0000-000001070000}"/>
    <cellStyle name="Normal 3 59" xfId="1798" xr:uid="{00000000-0005-0000-0000-000002070000}"/>
    <cellStyle name="Normal 3 6" xfId="1799" xr:uid="{00000000-0005-0000-0000-000003070000}"/>
    <cellStyle name="Normal 3 6 10" xfId="1800" xr:uid="{00000000-0005-0000-0000-000004070000}"/>
    <cellStyle name="Normal 3 6 11" xfId="1801" xr:uid="{00000000-0005-0000-0000-000005070000}"/>
    <cellStyle name="Normal 3 6 12" xfId="1802" xr:uid="{00000000-0005-0000-0000-000006070000}"/>
    <cellStyle name="Normal 3 6 13" xfId="1803" xr:uid="{00000000-0005-0000-0000-000007070000}"/>
    <cellStyle name="Normal 3 6 14" xfId="1804" xr:uid="{00000000-0005-0000-0000-000008070000}"/>
    <cellStyle name="Normal 3 6 15" xfId="1805" xr:uid="{00000000-0005-0000-0000-000009070000}"/>
    <cellStyle name="Normal 3 6 16" xfId="1806" xr:uid="{00000000-0005-0000-0000-00000A070000}"/>
    <cellStyle name="Normal 3 6 17" xfId="1807" xr:uid="{00000000-0005-0000-0000-00000B070000}"/>
    <cellStyle name="Normal 3 6 18" xfId="1808" xr:uid="{00000000-0005-0000-0000-00000C070000}"/>
    <cellStyle name="Normal 3 6 19" xfId="1809" xr:uid="{00000000-0005-0000-0000-00000D070000}"/>
    <cellStyle name="Normal 3 6 2" xfId="1810" xr:uid="{00000000-0005-0000-0000-00000E070000}"/>
    <cellStyle name="Normal 3 6 20" xfId="1811" xr:uid="{00000000-0005-0000-0000-00000F070000}"/>
    <cellStyle name="Normal 3 6 21" xfId="1812" xr:uid="{00000000-0005-0000-0000-000010070000}"/>
    <cellStyle name="Normal 3 6 22" xfId="1813" xr:uid="{00000000-0005-0000-0000-000011070000}"/>
    <cellStyle name="Normal 3 6 23" xfId="1814" xr:uid="{00000000-0005-0000-0000-000012070000}"/>
    <cellStyle name="Normal 3 6 3" xfId="1815" xr:uid="{00000000-0005-0000-0000-000013070000}"/>
    <cellStyle name="Normal 3 6 4" xfId="1816" xr:uid="{00000000-0005-0000-0000-000014070000}"/>
    <cellStyle name="Normal 3 6 5" xfId="1817" xr:uid="{00000000-0005-0000-0000-000015070000}"/>
    <cellStyle name="Normal 3 6 6" xfId="1818" xr:uid="{00000000-0005-0000-0000-000016070000}"/>
    <cellStyle name="Normal 3 6 7" xfId="1819" xr:uid="{00000000-0005-0000-0000-000017070000}"/>
    <cellStyle name="Normal 3 6 8" xfId="1820" xr:uid="{00000000-0005-0000-0000-000018070000}"/>
    <cellStyle name="Normal 3 6 9" xfId="1821" xr:uid="{00000000-0005-0000-0000-000019070000}"/>
    <cellStyle name="Normal 3 60" xfId="1822" xr:uid="{00000000-0005-0000-0000-00001A070000}"/>
    <cellStyle name="Normal 3 61" xfId="1823" xr:uid="{00000000-0005-0000-0000-00001B070000}"/>
    <cellStyle name="Normal 3 62" xfId="1824" xr:uid="{00000000-0005-0000-0000-00001C070000}"/>
    <cellStyle name="Normal 3 63" xfId="1825" xr:uid="{00000000-0005-0000-0000-00001D070000}"/>
    <cellStyle name="Normal 3 64" xfId="1826" xr:uid="{00000000-0005-0000-0000-00001E070000}"/>
    <cellStyle name="Normal 3 65" xfId="1827" xr:uid="{00000000-0005-0000-0000-00001F070000}"/>
    <cellStyle name="Normal 3 66" xfId="1064" xr:uid="{00000000-0005-0000-0000-000020070000}"/>
    <cellStyle name="Normal 3 7" xfId="1828" xr:uid="{00000000-0005-0000-0000-000021070000}"/>
    <cellStyle name="Normal 3 7 10" xfId="1829" xr:uid="{00000000-0005-0000-0000-000022070000}"/>
    <cellStyle name="Normal 3 7 11" xfId="1830" xr:uid="{00000000-0005-0000-0000-000023070000}"/>
    <cellStyle name="Normal 3 7 12" xfId="1831" xr:uid="{00000000-0005-0000-0000-000024070000}"/>
    <cellStyle name="Normal 3 7 13" xfId="1832" xr:uid="{00000000-0005-0000-0000-000025070000}"/>
    <cellStyle name="Normal 3 7 14" xfId="1833" xr:uid="{00000000-0005-0000-0000-000026070000}"/>
    <cellStyle name="Normal 3 7 15" xfId="1834" xr:uid="{00000000-0005-0000-0000-000027070000}"/>
    <cellStyle name="Normal 3 7 16" xfId="1835" xr:uid="{00000000-0005-0000-0000-000028070000}"/>
    <cellStyle name="Normal 3 7 17" xfId="1836" xr:uid="{00000000-0005-0000-0000-000029070000}"/>
    <cellStyle name="Normal 3 7 18" xfId="1837" xr:uid="{00000000-0005-0000-0000-00002A070000}"/>
    <cellStyle name="Normal 3 7 19" xfId="1838" xr:uid="{00000000-0005-0000-0000-00002B070000}"/>
    <cellStyle name="Normal 3 7 2" xfId="1839" xr:uid="{00000000-0005-0000-0000-00002C070000}"/>
    <cellStyle name="Normal 3 7 20" xfId="1840" xr:uid="{00000000-0005-0000-0000-00002D070000}"/>
    <cellStyle name="Normal 3 7 21" xfId="1841" xr:uid="{00000000-0005-0000-0000-00002E070000}"/>
    <cellStyle name="Normal 3 7 22" xfId="1842" xr:uid="{00000000-0005-0000-0000-00002F070000}"/>
    <cellStyle name="Normal 3 7 23" xfId="1843" xr:uid="{00000000-0005-0000-0000-000030070000}"/>
    <cellStyle name="Normal 3 7 3" xfId="1844" xr:uid="{00000000-0005-0000-0000-000031070000}"/>
    <cellStyle name="Normal 3 7 4" xfId="1845" xr:uid="{00000000-0005-0000-0000-000032070000}"/>
    <cellStyle name="Normal 3 7 5" xfId="1846" xr:uid="{00000000-0005-0000-0000-000033070000}"/>
    <cellStyle name="Normal 3 7 6" xfId="1847" xr:uid="{00000000-0005-0000-0000-000034070000}"/>
    <cellStyle name="Normal 3 7 7" xfId="1848" xr:uid="{00000000-0005-0000-0000-000035070000}"/>
    <cellStyle name="Normal 3 7 8" xfId="1849" xr:uid="{00000000-0005-0000-0000-000036070000}"/>
    <cellStyle name="Normal 3 7 9" xfId="1850" xr:uid="{00000000-0005-0000-0000-000037070000}"/>
    <cellStyle name="Normal 3 8" xfId="1851" xr:uid="{00000000-0005-0000-0000-000038070000}"/>
    <cellStyle name="Normal 3 8 10" xfId="1852" xr:uid="{00000000-0005-0000-0000-000039070000}"/>
    <cellStyle name="Normal 3 8 11" xfId="1853" xr:uid="{00000000-0005-0000-0000-00003A070000}"/>
    <cellStyle name="Normal 3 8 12" xfId="1854" xr:uid="{00000000-0005-0000-0000-00003B070000}"/>
    <cellStyle name="Normal 3 8 13" xfId="1855" xr:uid="{00000000-0005-0000-0000-00003C070000}"/>
    <cellStyle name="Normal 3 8 14" xfId="1856" xr:uid="{00000000-0005-0000-0000-00003D070000}"/>
    <cellStyle name="Normal 3 8 15" xfId="1857" xr:uid="{00000000-0005-0000-0000-00003E070000}"/>
    <cellStyle name="Normal 3 8 16" xfId="1858" xr:uid="{00000000-0005-0000-0000-00003F070000}"/>
    <cellStyle name="Normal 3 8 17" xfId="1859" xr:uid="{00000000-0005-0000-0000-000040070000}"/>
    <cellStyle name="Normal 3 8 18" xfId="1860" xr:uid="{00000000-0005-0000-0000-000041070000}"/>
    <cellStyle name="Normal 3 8 19" xfId="1861" xr:uid="{00000000-0005-0000-0000-000042070000}"/>
    <cellStyle name="Normal 3 8 2" xfId="1862" xr:uid="{00000000-0005-0000-0000-000043070000}"/>
    <cellStyle name="Normal 3 8 20" xfId="1863" xr:uid="{00000000-0005-0000-0000-000044070000}"/>
    <cellStyle name="Normal 3 8 21" xfId="1864" xr:uid="{00000000-0005-0000-0000-000045070000}"/>
    <cellStyle name="Normal 3 8 22" xfId="1865" xr:uid="{00000000-0005-0000-0000-000046070000}"/>
    <cellStyle name="Normal 3 8 23" xfId="1866" xr:uid="{00000000-0005-0000-0000-000047070000}"/>
    <cellStyle name="Normal 3 8 3" xfId="1867" xr:uid="{00000000-0005-0000-0000-000048070000}"/>
    <cellStyle name="Normal 3 8 4" xfId="1868" xr:uid="{00000000-0005-0000-0000-000049070000}"/>
    <cellStyle name="Normal 3 8 5" xfId="1869" xr:uid="{00000000-0005-0000-0000-00004A070000}"/>
    <cellStyle name="Normal 3 8 6" xfId="1870" xr:uid="{00000000-0005-0000-0000-00004B070000}"/>
    <cellStyle name="Normal 3 8 7" xfId="1871" xr:uid="{00000000-0005-0000-0000-00004C070000}"/>
    <cellStyle name="Normal 3 8 8" xfId="1872" xr:uid="{00000000-0005-0000-0000-00004D070000}"/>
    <cellStyle name="Normal 3 8 9" xfId="1873" xr:uid="{00000000-0005-0000-0000-00004E070000}"/>
    <cellStyle name="Normal 3 9" xfId="1874" xr:uid="{00000000-0005-0000-0000-00004F070000}"/>
    <cellStyle name="Normal 3 9 10" xfId="1875" xr:uid="{00000000-0005-0000-0000-000050070000}"/>
    <cellStyle name="Normal 3 9 11" xfId="1876" xr:uid="{00000000-0005-0000-0000-000051070000}"/>
    <cellStyle name="Normal 3 9 12" xfId="1877" xr:uid="{00000000-0005-0000-0000-000052070000}"/>
    <cellStyle name="Normal 3 9 13" xfId="1878" xr:uid="{00000000-0005-0000-0000-000053070000}"/>
    <cellStyle name="Normal 3 9 14" xfId="1879" xr:uid="{00000000-0005-0000-0000-000054070000}"/>
    <cellStyle name="Normal 3 9 15" xfId="1880" xr:uid="{00000000-0005-0000-0000-000055070000}"/>
    <cellStyle name="Normal 3 9 16" xfId="1881" xr:uid="{00000000-0005-0000-0000-000056070000}"/>
    <cellStyle name="Normal 3 9 17" xfId="1882" xr:uid="{00000000-0005-0000-0000-000057070000}"/>
    <cellStyle name="Normal 3 9 18" xfId="1883" xr:uid="{00000000-0005-0000-0000-000058070000}"/>
    <cellStyle name="Normal 3 9 19" xfId="1884" xr:uid="{00000000-0005-0000-0000-000059070000}"/>
    <cellStyle name="Normal 3 9 2" xfId="1885" xr:uid="{00000000-0005-0000-0000-00005A070000}"/>
    <cellStyle name="Normal 3 9 20" xfId="1886" xr:uid="{00000000-0005-0000-0000-00005B070000}"/>
    <cellStyle name="Normal 3 9 21" xfId="1887" xr:uid="{00000000-0005-0000-0000-00005C070000}"/>
    <cellStyle name="Normal 3 9 22" xfId="1888" xr:uid="{00000000-0005-0000-0000-00005D070000}"/>
    <cellStyle name="Normal 3 9 23" xfId="1889" xr:uid="{00000000-0005-0000-0000-00005E070000}"/>
    <cellStyle name="Normal 3 9 3" xfId="1890" xr:uid="{00000000-0005-0000-0000-00005F070000}"/>
    <cellStyle name="Normal 3 9 4" xfId="1891" xr:uid="{00000000-0005-0000-0000-000060070000}"/>
    <cellStyle name="Normal 3 9 5" xfId="1892" xr:uid="{00000000-0005-0000-0000-000061070000}"/>
    <cellStyle name="Normal 3 9 6" xfId="1893" xr:uid="{00000000-0005-0000-0000-000062070000}"/>
    <cellStyle name="Normal 3 9 7" xfId="1894" xr:uid="{00000000-0005-0000-0000-000063070000}"/>
    <cellStyle name="Normal 3 9 8" xfId="1895" xr:uid="{00000000-0005-0000-0000-000064070000}"/>
    <cellStyle name="Normal 3 9 9" xfId="1896" xr:uid="{00000000-0005-0000-0000-000065070000}"/>
    <cellStyle name="Normal 4" xfId="52" xr:uid="{00000000-0005-0000-0000-000066070000}"/>
    <cellStyle name="Normal 4 2" xfId="1898" xr:uid="{00000000-0005-0000-0000-000067070000}"/>
    <cellStyle name="Normal 4 3" xfId="1897" xr:uid="{00000000-0005-0000-0000-000068070000}"/>
    <cellStyle name="Normal 5" xfId="43" xr:uid="{00000000-0005-0000-0000-000069070000}"/>
    <cellStyle name="Normal 5 10" xfId="1899" xr:uid="{00000000-0005-0000-0000-00006A070000}"/>
    <cellStyle name="Normal 5 11" xfId="1900" xr:uid="{00000000-0005-0000-0000-00006B070000}"/>
    <cellStyle name="Normal 5 12" xfId="1901" xr:uid="{00000000-0005-0000-0000-00006C070000}"/>
    <cellStyle name="Normal 5 13" xfId="1902" xr:uid="{00000000-0005-0000-0000-00006D070000}"/>
    <cellStyle name="Normal 5 14" xfId="1903" xr:uid="{00000000-0005-0000-0000-00006E070000}"/>
    <cellStyle name="Normal 5 15" xfId="1904" xr:uid="{00000000-0005-0000-0000-00006F070000}"/>
    <cellStyle name="Normal 5 16" xfId="1905" xr:uid="{00000000-0005-0000-0000-000070070000}"/>
    <cellStyle name="Normal 5 17" xfId="1906" xr:uid="{00000000-0005-0000-0000-000071070000}"/>
    <cellStyle name="Normal 5 18" xfId="1907" xr:uid="{00000000-0005-0000-0000-000072070000}"/>
    <cellStyle name="Normal 5 19" xfId="1908" xr:uid="{00000000-0005-0000-0000-000073070000}"/>
    <cellStyle name="Normal 5 2" xfId="1909" xr:uid="{00000000-0005-0000-0000-000074070000}"/>
    <cellStyle name="Normal 5 2 10" xfId="1910" xr:uid="{00000000-0005-0000-0000-000075070000}"/>
    <cellStyle name="Normal 5 2 11" xfId="1911" xr:uid="{00000000-0005-0000-0000-000076070000}"/>
    <cellStyle name="Normal 5 2 12" xfId="1912" xr:uid="{00000000-0005-0000-0000-000077070000}"/>
    <cellStyle name="Normal 5 2 13" xfId="1913" xr:uid="{00000000-0005-0000-0000-000078070000}"/>
    <cellStyle name="Normal 5 2 14" xfId="1914" xr:uid="{00000000-0005-0000-0000-000079070000}"/>
    <cellStyle name="Normal 5 2 15" xfId="1915" xr:uid="{00000000-0005-0000-0000-00007A070000}"/>
    <cellStyle name="Normal 5 2 16" xfId="1916" xr:uid="{00000000-0005-0000-0000-00007B070000}"/>
    <cellStyle name="Normal 5 2 17" xfId="1917" xr:uid="{00000000-0005-0000-0000-00007C070000}"/>
    <cellStyle name="Normal 5 2 18" xfId="1918" xr:uid="{00000000-0005-0000-0000-00007D070000}"/>
    <cellStyle name="Normal 5 2 19" xfId="1919" xr:uid="{00000000-0005-0000-0000-00007E070000}"/>
    <cellStyle name="Normal 5 2 2" xfId="1920" xr:uid="{00000000-0005-0000-0000-00007F070000}"/>
    <cellStyle name="Normal 5 2 20" xfId="1921" xr:uid="{00000000-0005-0000-0000-000080070000}"/>
    <cellStyle name="Normal 5 2 21" xfId="1922" xr:uid="{00000000-0005-0000-0000-000081070000}"/>
    <cellStyle name="Normal 5 2 22" xfId="1923" xr:uid="{00000000-0005-0000-0000-000082070000}"/>
    <cellStyle name="Normal 5 2 23" xfId="1924" xr:uid="{00000000-0005-0000-0000-000083070000}"/>
    <cellStyle name="Normal 5 2 3" xfId="1925" xr:uid="{00000000-0005-0000-0000-000084070000}"/>
    <cellStyle name="Normal 5 2 4" xfId="1926" xr:uid="{00000000-0005-0000-0000-000085070000}"/>
    <cellStyle name="Normal 5 2 5" xfId="1927" xr:uid="{00000000-0005-0000-0000-000086070000}"/>
    <cellStyle name="Normal 5 2 6" xfId="1928" xr:uid="{00000000-0005-0000-0000-000087070000}"/>
    <cellStyle name="Normal 5 2 7" xfId="1929" xr:uid="{00000000-0005-0000-0000-000088070000}"/>
    <cellStyle name="Normal 5 2 8" xfId="1930" xr:uid="{00000000-0005-0000-0000-000089070000}"/>
    <cellStyle name="Normal 5 2 9" xfId="1931" xr:uid="{00000000-0005-0000-0000-00008A070000}"/>
    <cellStyle name="Normal 5 20" xfId="1932" xr:uid="{00000000-0005-0000-0000-00008B070000}"/>
    <cellStyle name="Normal 5 21" xfId="1933" xr:uid="{00000000-0005-0000-0000-00008C070000}"/>
    <cellStyle name="Normal 5 22" xfId="1934" xr:uid="{00000000-0005-0000-0000-00008D070000}"/>
    <cellStyle name="Normal 5 23" xfId="1935" xr:uid="{00000000-0005-0000-0000-00008E070000}"/>
    <cellStyle name="Normal 5 24" xfId="1936" xr:uid="{00000000-0005-0000-0000-00008F070000}"/>
    <cellStyle name="Normal 5 3" xfId="1937" xr:uid="{00000000-0005-0000-0000-000090070000}"/>
    <cellStyle name="Normal 5 4" xfId="1938" xr:uid="{00000000-0005-0000-0000-000091070000}"/>
    <cellStyle name="Normal 5 5" xfId="1939" xr:uid="{00000000-0005-0000-0000-000092070000}"/>
    <cellStyle name="Normal 5 6" xfId="1940" xr:uid="{00000000-0005-0000-0000-000093070000}"/>
    <cellStyle name="Normal 5 7" xfId="1941" xr:uid="{00000000-0005-0000-0000-000094070000}"/>
    <cellStyle name="Normal 5 8" xfId="1942" xr:uid="{00000000-0005-0000-0000-000095070000}"/>
    <cellStyle name="Normal 5 9" xfId="1943" xr:uid="{00000000-0005-0000-0000-000096070000}"/>
    <cellStyle name="Normal 6" xfId="1944" xr:uid="{00000000-0005-0000-0000-000097070000}"/>
    <cellStyle name="Normal 7" xfId="1945" xr:uid="{00000000-0005-0000-0000-000098070000}"/>
    <cellStyle name="Normal 7 10" xfId="1946" xr:uid="{00000000-0005-0000-0000-000099070000}"/>
    <cellStyle name="Normal 7 11" xfId="1947" xr:uid="{00000000-0005-0000-0000-00009A070000}"/>
    <cellStyle name="Normal 7 12" xfId="1948" xr:uid="{00000000-0005-0000-0000-00009B070000}"/>
    <cellStyle name="Normal 7 13" xfId="1949" xr:uid="{00000000-0005-0000-0000-00009C070000}"/>
    <cellStyle name="Normal 7 14" xfId="1950" xr:uid="{00000000-0005-0000-0000-00009D070000}"/>
    <cellStyle name="Normal 7 15" xfId="1951" xr:uid="{00000000-0005-0000-0000-00009E070000}"/>
    <cellStyle name="Normal 7 16" xfId="1952" xr:uid="{00000000-0005-0000-0000-00009F070000}"/>
    <cellStyle name="Normal 7 17" xfId="1953" xr:uid="{00000000-0005-0000-0000-0000A0070000}"/>
    <cellStyle name="Normal 7 18" xfId="1954" xr:uid="{00000000-0005-0000-0000-0000A1070000}"/>
    <cellStyle name="Normal 7 19" xfId="1955" xr:uid="{00000000-0005-0000-0000-0000A2070000}"/>
    <cellStyle name="Normal 7 2" xfId="1956" xr:uid="{00000000-0005-0000-0000-0000A3070000}"/>
    <cellStyle name="Normal 7 2 10" xfId="1957" xr:uid="{00000000-0005-0000-0000-0000A4070000}"/>
    <cellStyle name="Normal 7 2 11" xfId="1958" xr:uid="{00000000-0005-0000-0000-0000A5070000}"/>
    <cellStyle name="Normal 7 2 12" xfId="1959" xr:uid="{00000000-0005-0000-0000-0000A6070000}"/>
    <cellStyle name="Normal 7 2 13" xfId="1960" xr:uid="{00000000-0005-0000-0000-0000A7070000}"/>
    <cellStyle name="Normal 7 2 14" xfId="1961" xr:uid="{00000000-0005-0000-0000-0000A8070000}"/>
    <cellStyle name="Normal 7 2 15" xfId="1962" xr:uid="{00000000-0005-0000-0000-0000A9070000}"/>
    <cellStyle name="Normal 7 2 16" xfId="1963" xr:uid="{00000000-0005-0000-0000-0000AA070000}"/>
    <cellStyle name="Normal 7 2 17" xfId="1964" xr:uid="{00000000-0005-0000-0000-0000AB070000}"/>
    <cellStyle name="Normal 7 2 18" xfId="1965" xr:uid="{00000000-0005-0000-0000-0000AC070000}"/>
    <cellStyle name="Normal 7 2 19" xfId="1966" xr:uid="{00000000-0005-0000-0000-0000AD070000}"/>
    <cellStyle name="Normal 7 2 2" xfId="1967" xr:uid="{00000000-0005-0000-0000-0000AE070000}"/>
    <cellStyle name="Normal 7 2 20" xfId="1968" xr:uid="{00000000-0005-0000-0000-0000AF070000}"/>
    <cellStyle name="Normal 7 2 21" xfId="1969" xr:uid="{00000000-0005-0000-0000-0000B0070000}"/>
    <cellStyle name="Normal 7 2 22" xfId="1970" xr:uid="{00000000-0005-0000-0000-0000B1070000}"/>
    <cellStyle name="Normal 7 2 23" xfId="1971" xr:uid="{00000000-0005-0000-0000-0000B2070000}"/>
    <cellStyle name="Normal 7 2 3" xfId="1972" xr:uid="{00000000-0005-0000-0000-0000B3070000}"/>
    <cellStyle name="Normal 7 2 4" xfId="1973" xr:uid="{00000000-0005-0000-0000-0000B4070000}"/>
    <cellStyle name="Normal 7 2 5" xfId="1974" xr:uid="{00000000-0005-0000-0000-0000B5070000}"/>
    <cellStyle name="Normal 7 2 6" xfId="1975" xr:uid="{00000000-0005-0000-0000-0000B6070000}"/>
    <cellStyle name="Normal 7 2 7" xfId="1976" xr:uid="{00000000-0005-0000-0000-0000B7070000}"/>
    <cellStyle name="Normal 7 2 8" xfId="1977" xr:uid="{00000000-0005-0000-0000-0000B8070000}"/>
    <cellStyle name="Normal 7 2 9" xfId="1978" xr:uid="{00000000-0005-0000-0000-0000B9070000}"/>
    <cellStyle name="Normal 7 20" xfId="1979" xr:uid="{00000000-0005-0000-0000-0000BA070000}"/>
    <cellStyle name="Normal 7 21" xfId="1980" xr:uid="{00000000-0005-0000-0000-0000BB070000}"/>
    <cellStyle name="Normal 7 22" xfId="1981" xr:uid="{00000000-0005-0000-0000-0000BC070000}"/>
    <cellStyle name="Normal 7 23" xfId="1982" xr:uid="{00000000-0005-0000-0000-0000BD070000}"/>
    <cellStyle name="Normal 7 24" xfId="1983" xr:uid="{00000000-0005-0000-0000-0000BE070000}"/>
    <cellStyle name="Normal 7 3" xfId="1984" xr:uid="{00000000-0005-0000-0000-0000BF070000}"/>
    <cellStyle name="Normal 7 4" xfId="1985" xr:uid="{00000000-0005-0000-0000-0000C0070000}"/>
    <cellStyle name="Normal 7 5" xfId="1986" xr:uid="{00000000-0005-0000-0000-0000C1070000}"/>
    <cellStyle name="Normal 7 6" xfId="1987" xr:uid="{00000000-0005-0000-0000-0000C2070000}"/>
    <cellStyle name="Normal 7 7" xfId="1988" xr:uid="{00000000-0005-0000-0000-0000C3070000}"/>
    <cellStyle name="Normal 7 8" xfId="1989" xr:uid="{00000000-0005-0000-0000-0000C4070000}"/>
    <cellStyle name="Normal 7 9" xfId="1990" xr:uid="{00000000-0005-0000-0000-0000C5070000}"/>
    <cellStyle name="Normal 8" xfId="1991" xr:uid="{00000000-0005-0000-0000-0000C6070000}"/>
    <cellStyle name="Note" xfId="16" builtinId="10" customBuiltin="1"/>
    <cellStyle name="Note 2" xfId="1992" xr:uid="{00000000-0005-0000-0000-0000C8070000}"/>
    <cellStyle name="Output" xfId="11" builtinId="21" customBuiltin="1"/>
    <cellStyle name="Output 2" xfId="1993" xr:uid="{00000000-0005-0000-0000-0000CA070000}"/>
    <cellStyle name="Percent" xfId="1999" builtinId="5"/>
    <cellStyle name="Percent 2" xfId="54" xr:uid="{00000000-0005-0000-0000-0000CC070000}"/>
    <cellStyle name="Percent 2 2" xfId="2006" xr:uid="{00000000-0005-0000-0000-0000CD070000}"/>
    <cellStyle name="Percent 3" xfId="53" xr:uid="{00000000-0005-0000-0000-0000CE070000}"/>
    <cellStyle name="Percent 3 2" xfId="2005" xr:uid="{00000000-0005-0000-0000-0000CF070000}"/>
    <cellStyle name="Percent 4" xfId="1994" xr:uid="{00000000-0005-0000-0000-0000D0070000}"/>
    <cellStyle name="Title" xfId="2" builtinId="15" customBuiltin="1"/>
    <cellStyle name="Title 2" xfId="1995" xr:uid="{00000000-0005-0000-0000-0000D2070000}"/>
    <cellStyle name="Total" xfId="18" builtinId="25" customBuiltin="1"/>
    <cellStyle name="Total 2" xfId="1996" xr:uid="{00000000-0005-0000-0000-0000D4070000}"/>
    <cellStyle name="Warning Text" xfId="15" builtinId="11" customBuiltin="1"/>
    <cellStyle name="Warning Text 2" xfId="1997" xr:uid="{00000000-0005-0000-0000-0000D6070000}"/>
  </cellStyles>
  <dxfs count="7">
    <dxf>
      <border>
        <left/>
        <right/>
        <top/>
        <bottom/>
        <vertical/>
        <horizontal/>
      </border>
    </dxf>
    <dxf>
      <fill>
        <patternFill>
          <bgColor rgb="FF001489"/>
        </patternFill>
      </fill>
    </dxf>
    <dxf>
      <fill>
        <patternFill>
          <bgColor rgb="FF7030A0"/>
        </patternFill>
      </fill>
    </dxf>
    <dxf>
      <fill>
        <patternFill>
          <bgColor rgb="FF1E427C"/>
        </patternFill>
      </fill>
    </dxf>
    <dxf>
      <fill>
        <patternFill>
          <bgColor rgb="FF001489"/>
        </patternFill>
      </fill>
    </dxf>
    <dxf>
      <fill>
        <patternFill>
          <bgColor rgb="FF7030A0"/>
        </patternFill>
      </fill>
    </dxf>
    <dxf>
      <fill>
        <patternFill>
          <bgColor rgb="FF1E427C"/>
        </patternFill>
      </fill>
    </dxf>
  </dxfs>
  <tableStyles count="0" defaultTableStyle="TableStyleMedium2" defaultPivotStyle="PivotStyleLight16"/>
  <colors>
    <mruColors>
      <color rgb="FF001489"/>
      <color rgb="FF00539F"/>
      <color rgb="FF054B56"/>
      <color rgb="FFFFF8CA"/>
      <color rgb="FF005399"/>
      <color rgb="FF000099"/>
      <color rgb="FF0033CC"/>
      <color rgb="FF1414B4"/>
      <color rgb="FF4242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emf"/><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jpe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emf"/></Relationships>
</file>

<file path=xl/drawings/_rels/drawing3.xml.rels><?xml version="1.0" encoding="UTF-8" standalone="yes"?>
<Relationships xmlns="http://schemas.openxmlformats.org/package/2006/relationships"><Relationship Id="rId8" Type="http://schemas.openxmlformats.org/officeDocument/2006/relationships/image" Target="../media/image17.png"/><Relationship Id="rId13" Type="http://schemas.openxmlformats.org/officeDocument/2006/relationships/image" Target="../media/image22.png"/><Relationship Id="rId18" Type="http://schemas.openxmlformats.org/officeDocument/2006/relationships/image" Target="../media/image27.png"/><Relationship Id="rId26" Type="http://schemas.openxmlformats.org/officeDocument/2006/relationships/image" Target="../media/image35.png"/><Relationship Id="rId3" Type="http://schemas.openxmlformats.org/officeDocument/2006/relationships/image" Target="../media/image12.png"/><Relationship Id="rId21" Type="http://schemas.openxmlformats.org/officeDocument/2006/relationships/image" Target="../media/image30.png"/><Relationship Id="rId7" Type="http://schemas.openxmlformats.org/officeDocument/2006/relationships/image" Target="../media/image16.png"/><Relationship Id="rId12" Type="http://schemas.openxmlformats.org/officeDocument/2006/relationships/image" Target="../media/image21.png"/><Relationship Id="rId17" Type="http://schemas.openxmlformats.org/officeDocument/2006/relationships/image" Target="../media/image26.png"/><Relationship Id="rId25" Type="http://schemas.openxmlformats.org/officeDocument/2006/relationships/image" Target="../media/image34.png"/><Relationship Id="rId2" Type="http://schemas.openxmlformats.org/officeDocument/2006/relationships/image" Target="../media/image11.png"/><Relationship Id="rId16" Type="http://schemas.openxmlformats.org/officeDocument/2006/relationships/image" Target="../media/image25.png"/><Relationship Id="rId20" Type="http://schemas.openxmlformats.org/officeDocument/2006/relationships/image" Target="../media/image29.png"/><Relationship Id="rId29" Type="http://schemas.openxmlformats.org/officeDocument/2006/relationships/image" Target="../media/image38.png"/><Relationship Id="rId1" Type="http://schemas.openxmlformats.org/officeDocument/2006/relationships/image" Target="../media/image10.png"/><Relationship Id="rId6" Type="http://schemas.openxmlformats.org/officeDocument/2006/relationships/image" Target="../media/image15.png"/><Relationship Id="rId11" Type="http://schemas.openxmlformats.org/officeDocument/2006/relationships/image" Target="../media/image20.png"/><Relationship Id="rId24" Type="http://schemas.openxmlformats.org/officeDocument/2006/relationships/image" Target="../media/image33.png"/><Relationship Id="rId5" Type="http://schemas.openxmlformats.org/officeDocument/2006/relationships/image" Target="../media/image14.png"/><Relationship Id="rId15" Type="http://schemas.openxmlformats.org/officeDocument/2006/relationships/image" Target="../media/image24.png"/><Relationship Id="rId23" Type="http://schemas.openxmlformats.org/officeDocument/2006/relationships/image" Target="../media/image32.png"/><Relationship Id="rId28" Type="http://schemas.openxmlformats.org/officeDocument/2006/relationships/image" Target="../media/image37.png"/><Relationship Id="rId10" Type="http://schemas.openxmlformats.org/officeDocument/2006/relationships/image" Target="../media/image19.png"/><Relationship Id="rId19" Type="http://schemas.openxmlformats.org/officeDocument/2006/relationships/image" Target="../media/image28.png"/><Relationship Id="rId4" Type="http://schemas.openxmlformats.org/officeDocument/2006/relationships/image" Target="../media/image13.png"/><Relationship Id="rId9" Type="http://schemas.openxmlformats.org/officeDocument/2006/relationships/image" Target="../media/image18.png"/><Relationship Id="rId14" Type="http://schemas.openxmlformats.org/officeDocument/2006/relationships/image" Target="../media/image23.png"/><Relationship Id="rId22" Type="http://schemas.openxmlformats.org/officeDocument/2006/relationships/image" Target="../media/image31.png"/><Relationship Id="rId27" Type="http://schemas.openxmlformats.org/officeDocument/2006/relationships/image" Target="../media/image36.png"/><Relationship Id="rId30" Type="http://schemas.openxmlformats.org/officeDocument/2006/relationships/image" Target="../media/image39.png"/></Relationships>
</file>

<file path=xl/drawings/_rels/drawing4.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40.png"/><Relationship Id="rId1" Type="http://schemas.openxmlformats.org/officeDocument/2006/relationships/image" Target="../media/image3.png"/><Relationship Id="rId6" Type="http://schemas.openxmlformats.org/officeDocument/2006/relationships/image" Target="../media/image44.png"/><Relationship Id="rId5" Type="http://schemas.openxmlformats.org/officeDocument/2006/relationships/image" Target="../media/image43.png"/><Relationship Id="rId4" Type="http://schemas.openxmlformats.org/officeDocument/2006/relationships/image" Target="../media/image4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7</xdr:col>
      <xdr:colOff>333375</xdr:colOff>
      <xdr:row>6</xdr:row>
      <xdr:rowOff>87480</xdr:rowOff>
    </xdr:from>
    <xdr:to>
      <xdr:col>11</xdr:col>
      <xdr:colOff>372222</xdr:colOff>
      <xdr:row>14</xdr:row>
      <xdr:rowOff>68655</xdr:rowOff>
    </xdr:to>
    <xdr:pic>
      <xdr:nvPicPr>
        <xdr:cNvPr id="2" name="Picture 1">
          <a:extLst>
            <a:ext uri="{FF2B5EF4-FFF2-40B4-BE49-F238E27FC236}">
              <a16:creationId xmlns:a16="http://schemas.microsoft.com/office/drawing/2014/main" id="{CA6CE1A5-90B5-4DC0-B21D-52F4709651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16475" y="1684505"/>
          <a:ext cx="2477247" cy="1448025"/>
        </a:xfrm>
        <a:prstGeom prst="rect">
          <a:avLst/>
        </a:prstGeom>
        <a:ln>
          <a:noFill/>
        </a:ln>
      </xdr:spPr>
    </xdr:pic>
    <xdr:clientData/>
  </xdr:twoCellAnchor>
  <xdr:twoCellAnchor>
    <xdr:from>
      <xdr:col>14</xdr:col>
      <xdr:colOff>331132</xdr:colOff>
      <xdr:row>7</xdr:row>
      <xdr:rowOff>35149</xdr:rowOff>
    </xdr:from>
    <xdr:to>
      <xdr:col>18</xdr:col>
      <xdr:colOff>264272</xdr:colOff>
      <xdr:row>13</xdr:row>
      <xdr:rowOff>155405</xdr:rowOff>
    </xdr:to>
    <xdr:pic>
      <xdr:nvPicPr>
        <xdr:cNvPr id="3" name="PPLReport">
          <a:extLst>
            <a:ext uri="{FF2B5EF4-FFF2-40B4-BE49-F238E27FC236}">
              <a16:creationId xmlns:a16="http://schemas.microsoft.com/office/drawing/2014/main" id="{F9A8C75A-7246-486C-B55F-D1781819407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68632" y="1825849"/>
          <a:ext cx="2368365" cy="1215631"/>
        </a:xfrm>
        <a:prstGeom prst="rect">
          <a:avLst/>
        </a:prstGeom>
      </xdr:spPr>
    </xdr:pic>
    <xdr:clientData/>
  </xdr:twoCellAnchor>
  <xdr:twoCellAnchor>
    <xdr:from>
      <xdr:col>14</xdr:col>
      <xdr:colOff>189003</xdr:colOff>
      <xdr:row>16</xdr:row>
      <xdr:rowOff>11394</xdr:rowOff>
    </xdr:from>
    <xdr:to>
      <xdr:col>16</xdr:col>
      <xdr:colOff>278092</xdr:colOff>
      <xdr:row>24</xdr:row>
      <xdr:rowOff>128488</xdr:rowOff>
    </xdr:to>
    <xdr:pic>
      <xdr:nvPicPr>
        <xdr:cNvPr id="4" name="PECOReport">
          <a:extLst>
            <a:ext uri="{FF2B5EF4-FFF2-40B4-BE49-F238E27FC236}">
              <a16:creationId xmlns:a16="http://schemas.microsoft.com/office/drawing/2014/main" id="{04E1F8E4-3965-4557-9B86-F6C733FB69F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2987" t="9316" r="17047" b="17169"/>
        <a:stretch>
          <a:fillRect/>
        </a:stretch>
      </xdr:blipFill>
      <xdr:spPr>
        <a:xfrm>
          <a:off x="8123328" y="3437219"/>
          <a:ext cx="1305114" cy="1564894"/>
        </a:xfrm>
        <a:prstGeom prst="rect">
          <a:avLst/>
        </a:prstGeom>
        <a:ln>
          <a:noFill/>
        </a:ln>
      </xdr:spPr>
    </xdr:pic>
    <xdr:clientData/>
  </xdr:twoCellAnchor>
  <xdr:twoCellAnchor>
    <xdr:from>
      <xdr:col>7</xdr:col>
      <xdr:colOff>441138</xdr:colOff>
      <xdr:row>15</xdr:row>
      <xdr:rowOff>178727</xdr:rowOff>
    </xdr:from>
    <xdr:to>
      <xdr:col>9</xdr:col>
      <xdr:colOff>517898</xdr:colOff>
      <xdr:row>24</xdr:row>
      <xdr:rowOff>93943</xdr:rowOff>
    </xdr:to>
    <xdr:pic>
      <xdr:nvPicPr>
        <xdr:cNvPr id="5" name="Picture 4">
          <a:extLst>
            <a:ext uri="{FF2B5EF4-FFF2-40B4-BE49-F238E27FC236}">
              <a16:creationId xmlns:a16="http://schemas.microsoft.com/office/drawing/2014/main" id="{C3E5F8C5-DB57-45D9-BC9B-7674E9188C8B}"/>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2987" t="9316" r="17047" b="17169"/>
        <a:stretch>
          <a:fillRect/>
        </a:stretch>
      </xdr:blipFill>
      <xdr:spPr>
        <a:xfrm>
          <a:off x="4927413" y="3429927"/>
          <a:ext cx="1299135" cy="1540816"/>
        </a:xfrm>
        <a:prstGeom prst="rect">
          <a:avLst/>
        </a:prstGeom>
        <a:ln>
          <a:noFill/>
        </a:ln>
      </xdr:spPr>
    </xdr:pic>
    <xdr:clientData/>
  </xdr:twoCellAnchor>
  <xdr:twoCellAnchor>
    <xdr:from>
      <xdr:col>7</xdr:col>
      <xdr:colOff>14941</xdr:colOff>
      <xdr:row>27</xdr:row>
      <xdr:rowOff>48330</xdr:rowOff>
    </xdr:from>
    <xdr:to>
      <xdr:col>11</xdr:col>
      <xdr:colOff>605118</xdr:colOff>
      <xdr:row>34</xdr:row>
      <xdr:rowOff>9524</xdr:rowOff>
    </xdr:to>
    <xdr:pic>
      <xdr:nvPicPr>
        <xdr:cNvPr id="6" name="Picture 5">
          <a:extLst>
            <a:ext uri="{FF2B5EF4-FFF2-40B4-BE49-F238E27FC236}">
              <a16:creationId xmlns:a16="http://schemas.microsoft.com/office/drawing/2014/main" id="{C05D2995-0910-4D82-9367-48AB02EFE4BE}"/>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7403" r="5327"/>
        <a:stretch>
          <a:fillRect/>
        </a:stretch>
      </xdr:blipFill>
      <xdr:spPr>
        <a:xfrm>
          <a:off x="4498041" y="5464880"/>
          <a:ext cx="3028577" cy="1234369"/>
        </a:xfrm>
        <a:prstGeom prst="rect">
          <a:avLst/>
        </a:prstGeom>
      </xdr:spPr>
    </xdr:pic>
    <xdr:clientData/>
  </xdr:twoCellAnchor>
  <xdr:twoCellAnchor>
    <xdr:from>
      <xdr:col>14</xdr:col>
      <xdr:colOff>59764</xdr:colOff>
      <xdr:row>27</xdr:row>
      <xdr:rowOff>57150</xdr:rowOff>
    </xdr:from>
    <xdr:to>
      <xdr:col>18</xdr:col>
      <xdr:colOff>567764</xdr:colOff>
      <xdr:row>34</xdr:row>
      <xdr:rowOff>18415</xdr:rowOff>
    </xdr:to>
    <xdr:pic>
      <xdr:nvPicPr>
        <xdr:cNvPr id="7" name="Picture 6">
          <a:extLst>
            <a:ext uri="{FF2B5EF4-FFF2-40B4-BE49-F238E27FC236}">
              <a16:creationId xmlns:a16="http://schemas.microsoft.com/office/drawing/2014/main" id="{0CC3C27E-4D64-4258-89E3-A52BBC574C3A}"/>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8226" r="8248"/>
        <a:stretch>
          <a:fillRect/>
        </a:stretch>
      </xdr:blipFill>
      <xdr:spPr>
        <a:xfrm>
          <a:off x="7994089" y="5476875"/>
          <a:ext cx="2943225" cy="122809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37354</xdr:colOff>
          <xdr:row>0</xdr:row>
          <xdr:rowOff>59765</xdr:rowOff>
        </xdr:from>
        <xdr:to>
          <xdr:col>1</xdr:col>
          <xdr:colOff>1060824</xdr:colOff>
          <xdr:row>0</xdr:row>
          <xdr:rowOff>566848</xdr:rowOff>
        </xdr:to>
        <xdr:pic>
          <xdr:nvPicPr>
            <xdr:cNvPr id="8" name="Picture 7">
              <a:extLst>
                <a:ext uri="{FF2B5EF4-FFF2-40B4-BE49-F238E27FC236}">
                  <a16:creationId xmlns:a16="http://schemas.microsoft.com/office/drawing/2014/main" id="{7FE8D3D1-1827-4A15-AE19-1D1147E18405}"/>
                </a:ext>
              </a:extLst>
            </xdr:cNvPr>
            <xdr:cNvPicPr>
              <a:picLocks noChangeAspect="1" noChangeArrowheads="1"/>
              <a:extLst>
                <a:ext uri="{84589F7E-364E-4C9E-8A38-B11213B215E9}">
                  <a14:cameraTool cellRange="Logo" spid="_x0000_s26727"/>
                </a:ext>
              </a:extLst>
            </xdr:cNvPicPr>
          </xdr:nvPicPr>
          <xdr:blipFill>
            <a:blip xmlns:r="http://schemas.openxmlformats.org/officeDocument/2006/relationships" r:embed="rId7"/>
            <a:srcRect/>
            <a:stretch>
              <a:fillRect/>
            </a:stretch>
          </xdr:blipFill>
          <xdr:spPr bwMode="auto">
            <a:xfrm>
              <a:off x="298825" y="59765"/>
              <a:ext cx="1023470" cy="507083"/>
            </a:xfrm>
            <a:prstGeom prst="rect">
              <a:avLst/>
            </a:prstGeom>
            <a:noFill/>
            <a:ln w="9525">
              <a:noFill/>
              <a:miter lim="800000"/>
              <a:headEnd/>
              <a:tailEnd/>
            </a:ln>
          </xdr:spPr>
        </xdr:pic>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4</xdr:col>
      <xdr:colOff>0</xdr:colOff>
      <xdr:row>2</xdr:row>
      <xdr:rowOff>247650</xdr:rowOff>
    </xdr:from>
    <xdr:to>
      <xdr:col>10</xdr:col>
      <xdr:colOff>304800</xdr:colOff>
      <xdr:row>13</xdr:row>
      <xdr:rowOff>9525</xdr:rowOff>
    </xdr:to>
    <xdr:sp macro="" textlink="">
      <xdr:nvSpPr>
        <xdr:cNvPr id="2" name="TextBox 1">
          <a:extLst>
            <a:ext uri="{FF2B5EF4-FFF2-40B4-BE49-F238E27FC236}">
              <a16:creationId xmlns:a16="http://schemas.microsoft.com/office/drawing/2014/main" id="{2DA42EB2-F3D0-4C4D-8B4C-9F0643BAA1AA}"/>
            </a:ext>
          </a:extLst>
        </xdr:cNvPr>
        <xdr:cNvSpPr txBox="1"/>
      </xdr:nvSpPr>
      <xdr:spPr>
        <a:xfrm>
          <a:off x="5629275" y="809625"/>
          <a:ext cx="4371975" cy="2790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baseline="0">
              <a:solidFill>
                <a:srgbClr val="001489"/>
              </a:solidFill>
              <a:latin typeface="+mn-lt"/>
              <a:ea typeface="+mn-ea"/>
              <a:cs typeface="+mn-cs"/>
            </a:rPr>
            <a:t>3.10.6 Compressed Air Controller</a:t>
          </a:r>
        </a:p>
        <a:p>
          <a:endParaRPr lang="en-US" sz="1100" b="0" i="0" u="none" strike="noStrike" baseline="0">
            <a:solidFill>
              <a:srgbClr val="001489"/>
            </a:solidFill>
            <a:latin typeface="+mn-lt"/>
            <a:ea typeface="+mn-ea"/>
            <a:cs typeface="+mn-cs"/>
          </a:endParaRPr>
        </a:p>
        <a:p>
          <a:r>
            <a:rPr lang="en-US" sz="1100" i="1" u="none">
              <a:solidFill>
                <a:srgbClr val="001489"/>
              </a:solidFill>
            </a:rPr>
            <a:t>Eligibility</a:t>
          </a:r>
        </a:p>
        <a:p>
          <a:r>
            <a:rPr lang="en-US" sz="1100" u="none">
              <a:solidFill>
                <a:srgbClr val="001489"/>
              </a:solidFill>
            </a:rPr>
            <a:t>The savings apply to the installation of a compressed air pressure or flow controller for compressed air systems, which allow airflow to fluctuate while maintaining a constant pressure to the facility’s air distribution piping network. </a:t>
          </a:r>
        </a:p>
        <a:p>
          <a:endParaRPr lang="en-US" sz="1100" u="none">
            <a:solidFill>
              <a:srgbClr val="001489"/>
            </a:solidFill>
          </a:endParaRPr>
        </a:p>
        <a:p>
          <a:r>
            <a:rPr lang="en-US" sz="1100" u="none">
              <a:solidFill>
                <a:srgbClr val="001489"/>
              </a:solidFill>
            </a:rPr>
            <a:t>The baseline condition is having no existing pressure/flow controller and an existing compressed air system with a total compressor motor capacity ≥ 40 hp. </a:t>
          </a:r>
          <a:r>
            <a:rPr lang="en-US" sz="1100" u="sng">
              <a:solidFill>
                <a:srgbClr val="001489"/>
              </a:solidFill>
            </a:rPr>
            <a:t>This measure requires a minimum storage of 3gal/cfm. This protocol is not applicable for compressed air systems with total motor nameplate capacity &lt; 40 hp.</a:t>
          </a:r>
          <a:r>
            <a:rPr lang="en-US" sz="1100" u="none">
              <a:solidFill>
                <a:srgbClr val="001489"/>
              </a:solidFill>
            </a:rPr>
            <a:t> This measure is not replacing drop‐line regulators or filter‐regulator lubricators.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2</xdr:row>
      <xdr:rowOff>247649</xdr:rowOff>
    </xdr:from>
    <xdr:to>
      <xdr:col>10</xdr:col>
      <xdr:colOff>257175</xdr:colOff>
      <xdr:row>14</xdr:row>
      <xdr:rowOff>66674</xdr:rowOff>
    </xdr:to>
    <xdr:sp macro="" textlink="">
      <xdr:nvSpPr>
        <xdr:cNvPr id="2" name="TextBox 1">
          <a:extLst>
            <a:ext uri="{FF2B5EF4-FFF2-40B4-BE49-F238E27FC236}">
              <a16:creationId xmlns:a16="http://schemas.microsoft.com/office/drawing/2014/main" id="{B933F124-5340-4B19-8574-ABAC09DAAF2B}"/>
            </a:ext>
          </a:extLst>
        </xdr:cNvPr>
        <xdr:cNvSpPr txBox="1"/>
      </xdr:nvSpPr>
      <xdr:spPr>
        <a:xfrm>
          <a:off x="4914900" y="809624"/>
          <a:ext cx="4276725" cy="2724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baseline="0">
              <a:solidFill>
                <a:srgbClr val="001489"/>
              </a:solidFill>
              <a:latin typeface="+mn-lt"/>
              <a:ea typeface="+mn-ea"/>
              <a:cs typeface="+mn-cs"/>
            </a:rPr>
            <a:t>3.10.7 Compressed Air Low Pressure Drop Filters </a:t>
          </a:r>
        </a:p>
        <a:p>
          <a:endParaRPr lang="en-US" sz="1100" i="1" u="none">
            <a:solidFill>
              <a:srgbClr val="001489"/>
            </a:solidFill>
          </a:endParaRPr>
        </a:p>
        <a:p>
          <a:r>
            <a:rPr lang="en-US" sz="1100" i="1" u="none">
              <a:solidFill>
                <a:srgbClr val="001489"/>
              </a:solidFill>
            </a:rPr>
            <a:t>Eligibility</a:t>
          </a:r>
        </a:p>
        <a:p>
          <a:r>
            <a:rPr lang="en-US" sz="1100" u="none">
              <a:solidFill>
                <a:srgbClr val="001489"/>
              </a:solidFill>
            </a:rPr>
            <a:t>Energy and demand savings are for the installation of low pressure drop air filters in new and retrofit</a:t>
          </a:r>
          <a:r>
            <a:rPr lang="en-US" sz="1100" u="none" baseline="0">
              <a:solidFill>
                <a:srgbClr val="001489"/>
              </a:solidFill>
            </a:rPr>
            <a:t> applications. These filters </a:t>
          </a:r>
          <a:r>
            <a:rPr lang="en-US" sz="1100" u="none">
              <a:solidFill>
                <a:srgbClr val="001489"/>
              </a:solidFill>
            </a:rPr>
            <a:t>remove solids and aerosols from compressed air systems. Efficient filters have a longer life and lower pressure drop than standard coalescing filters, resulting in better efficiency. </a:t>
          </a:r>
        </a:p>
        <a:p>
          <a:endParaRPr lang="en-US" sz="1100" u="none">
            <a:solidFill>
              <a:srgbClr val="001489"/>
            </a:solidFill>
          </a:endParaRPr>
        </a:p>
        <a:p>
          <a:r>
            <a:rPr lang="en-US" sz="1100" u="none">
              <a:solidFill>
                <a:srgbClr val="001489"/>
              </a:solidFill>
            </a:rPr>
            <a:t>To</a:t>
          </a:r>
          <a:r>
            <a:rPr lang="en-US" sz="1100" u="none" baseline="0">
              <a:solidFill>
                <a:srgbClr val="001489"/>
              </a:solidFill>
            </a:rPr>
            <a:t> qualify, </a:t>
          </a:r>
          <a:r>
            <a:rPr lang="en-US" sz="1100" u="none">
              <a:solidFill>
                <a:srgbClr val="001489"/>
              </a:solidFill>
            </a:rPr>
            <a:t>filters must have a</a:t>
          </a:r>
          <a:r>
            <a:rPr lang="en-US" sz="1100" u="none" baseline="0">
              <a:solidFill>
                <a:srgbClr val="001489"/>
              </a:solidFill>
            </a:rPr>
            <a:t> </a:t>
          </a:r>
          <a:r>
            <a:rPr lang="en-US" sz="1100" u="none">
              <a:solidFill>
                <a:srgbClr val="001489"/>
              </a:solidFill>
            </a:rPr>
            <a:t>pressure drop not exceeding 1 psi when new and 3 psi at element change.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600075</xdr:colOff>
      <xdr:row>2</xdr:row>
      <xdr:rowOff>276224</xdr:rowOff>
    </xdr:from>
    <xdr:to>
      <xdr:col>10</xdr:col>
      <xdr:colOff>476250</xdr:colOff>
      <xdr:row>30</xdr:row>
      <xdr:rowOff>85724</xdr:rowOff>
    </xdr:to>
    <xdr:sp macro="" textlink="">
      <xdr:nvSpPr>
        <xdr:cNvPr id="2" name="TextBox 1">
          <a:extLst>
            <a:ext uri="{FF2B5EF4-FFF2-40B4-BE49-F238E27FC236}">
              <a16:creationId xmlns:a16="http://schemas.microsoft.com/office/drawing/2014/main" id="{A3AC4B29-03D5-46B7-A588-0692D4EE0242}"/>
            </a:ext>
          </a:extLst>
        </xdr:cNvPr>
        <xdr:cNvSpPr txBox="1"/>
      </xdr:nvSpPr>
      <xdr:spPr>
        <a:xfrm>
          <a:off x="5867400" y="838199"/>
          <a:ext cx="4610100" cy="5972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none">
              <a:solidFill>
                <a:srgbClr val="001489"/>
              </a:solidFill>
              <a:latin typeface="+mn-lt"/>
              <a:ea typeface="+mn-ea"/>
              <a:cs typeface="+mn-cs"/>
            </a:rPr>
            <a:t>3.10.8 Compressed Air Mist Eliminators</a:t>
          </a:r>
        </a:p>
        <a:p>
          <a:endParaRPr lang="en-US" sz="1100" b="1" i="0" u="none" strike="noStrike" baseline="0">
            <a:solidFill>
              <a:srgbClr val="001489"/>
            </a:solidFill>
            <a:effectLst/>
            <a:latin typeface="+mn-lt"/>
            <a:ea typeface="+mn-ea"/>
            <a:cs typeface="+mn-cs"/>
          </a:endParaRPr>
        </a:p>
        <a:p>
          <a:r>
            <a:rPr lang="en-US" sz="1100" b="0" i="1" u="none" strike="noStrike" baseline="0">
              <a:solidFill>
                <a:srgbClr val="001489"/>
              </a:solidFill>
              <a:effectLst/>
              <a:latin typeface="+mn-lt"/>
              <a:ea typeface="+mn-ea"/>
              <a:cs typeface="+mn-cs"/>
            </a:rPr>
            <a:t>Eligibility</a:t>
          </a:r>
          <a:endParaRPr lang="en-US" b="0" i="1" u="none">
            <a:solidFill>
              <a:srgbClr val="001489"/>
            </a:solidFill>
            <a:effectLst/>
          </a:endParaRPr>
        </a:p>
        <a:p>
          <a:r>
            <a:rPr lang="en-US" sz="1100" u="none">
              <a:solidFill>
                <a:srgbClr val="001489"/>
              </a:solidFill>
            </a:rPr>
            <a:t>The energy and demand savings applies to the installation of mist eliminator air filters for compressed air that require air filtration. These filters remove oil mist from the supply air of lubricated compressors, protecting the distribution system and end‐use devices. While these filters are important to the operation of the system, they do have a pressure drop across them, and thus require a slightly higher operating pressure. </a:t>
          </a:r>
        </a:p>
        <a:p>
          <a:endParaRPr lang="en-US" sz="1100" u="none">
            <a:solidFill>
              <a:srgbClr val="001489"/>
            </a:solidFill>
          </a:endParaRPr>
        </a:p>
        <a:p>
          <a:r>
            <a:rPr lang="en-US" sz="1100" u="none">
              <a:solidFill>
                <a:srgbClr val="001489"/>
              </a:solidFill>
            </a:rPr>
            <a:t>The efficient mist eliminator air filter must be</a:t>
          </a:r>
          <a:r>
            <a:rPr lang="en-US" sz="1100" u="none" baseline="0">
              <a:solidFill>
                <a:srgbClr val="001489"/>
              </a:solidFill>
            </a:rPr>
            <a:t> rated for </a:t>
          </a:r>
          <a:r>
            <a:rPr lang="en-US" sz="1100" u="none">
              <a:solidFill>
                <a:srgbClr val="001489"/>
              </a:solidFill>
            </a:rPr>
            <a:t>&lt; 1 psi pressure drop</a:t>
          </a:r>
          <a:r>
            <a:rPr lang="en-US" sz="1100" u="none" baseline="0">
              <a:solidFill>
                <a:srgbClr val="001489"/>
              </a:solidFill>
            </a:rPr>
            <a:t> </a:t>
          </a:r>
          <a:r>
            <a:rPr lang="en-US" sz="1100" u="none">
              <a:solidFill>
                <a:srgbClr val="001489"/>
              </a:solidFill>
            </a:rPr>
            <a:t>. </a:t>
          </a:r>
          <a:r>
            <a:rPr lang="en-US" sz="1100" u="sng">
              <a:solidFill>
                <a:srgbClr val="001489"/>
              </a:solidFill>
            </a:rPr>
            <a:t>This protocol is applicable for compressed air systems with total air compressor nameplate horsepower &gt; 40 HP.</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33131</xdr:colOff>
          <xdr:row>0</xdr:row>
          <xdr:rowOff>11044</xdr:rowOff>
        </xdr:from>
        <xdr:to>
          <xdr:col>1</xdr:col>
          <xdr:colOff>1571348</xdr:colOff>
          <xdr:row>0</xdr:row>
          <xdr:rowOff>964973</xdr:rowOff>
        </xdr:to>
        <xdr:pic>
          <xdr:nvPicPr>
            <xdr:cNvPr id="2" name="Picture 1">
              <a:extLst>
                <a:ext uri="{FF2B5EF4-FFF2-40B4-BE49-F238E27FC236}">
                  <a16:creationId xmlns:a16="http://schemas.microsoft.com/office/drawing/2014/main" id="{63477C55-A760-4733-9DE4-33AC9030765D}"/>
                </a:ext>
              </a:extLst>
            </xdr:cNvPr>
            <xdr:cNvPicPr>
              <a:picLocks noChangeAspect="1" noChangeArrowheads="1"/>
              <a:extLst>
                <a:ext uri="{84589F7E-364E-4C9E-8A38-B11213B215E9}">
                  <a14:cameraTool cellRange="Logo" spid="_x0000_s1112"/>
                </a:ext>
              </a:extLst>
            </xdr:cNvPicPr>
          </xdr:nvPicPr>
          <xdr:blipFill>
            <a:blip xmlns:r="http://schemas.openxmlformats.org/officeDocument/2006/relationships" r:embed="rId1"/>
            <a:srcRect/>
            <a:stretch>
              <a:fillRect/>
            </a:stretch>
          </xdr:blipFill>
          <xdr:spPr bwMode="auto">
            <a:xfrm>
              <a:off x="33131" y="11044"/>
              <a:ext cx="1772477" cy="957104"/>
            </a:xfrm>
            <a:prstGeom prst="rect">
              <a:avLst/>
            </a:prstGeom>
            <a:noFill/>
            <a:ln w="9525">
              <a:noFill/>
              <a:miter lim="800000"/>
              <a:headEnd/>
              <a:tailEnd/>
            </a:ln>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244736</xdr:colOff>
      <xdr:row>63</xdr:row>
      <xdr:rowOff>64431</xdr:rowOff>
    </xdr:from>
    <xdr:to>
      <xdr:col>6</xdr:col>
      <xdr:colOff>38824</xdr:colOff>
      <xdr:row>69</xdr:row>
      <xdr:rowOff>57933</xdr:rowOff>
    </xdr:to>
    <xdr:pic>
      <xdr:nvPicPr>
        <xdr:cNvPr id="3" name="Picture 2">
          <a:extLst>
            <a:ext uri="{FF2B5EF4-FFF2-40B4-BE49-F238E27FC236}">
              <a16:creationId xmlns:a16="http://schemas.microsoft.com/office/drawing/2014/main" id="{A245D11A-ECC7-4954-7597-84B0EBAFB7EE}"/>
            </a:ext>
            <a:ext uri="{147F2762-F138-4A5C-976F-8EAC2B608ADB}">
              <a16:predDERef xmlns:a16="http://schemas.microsoft.com/office/drawing/2014/main" pred="{EA126794-B5D0-4C41-AF27-2BAC3CE4058F}"/>
            </a:ext>
          </a:extLst>
        </xdr:cNvPr>
        <xdr:cNvPicPr>
          <a:picLocks noChangeAspect="1"/>
        </xdr:cNvPicPr>
      </xdr:nvPicPr>
      <xdr:blipFill>
        <a:blip xmlns:r="http://schemas.openxmlformats.org/officeDocument/2006/relationships" r:embed="rId1"/>
        <a:stretch>
          <a:fillRect/>
        </a:stretch>
      </xdr:blipFill>
      <xdr:spPr>
        <a:xfrm>
          <a:off x="244736" y="11124637"/>
          <a:ext cx="3357559" cy="1005841"/>
        </a:xfrm>
        <a:prstGeom prst="rect">
          <a:avLst/>
        </a:prstGeom>
      </xdr:spPr>
    </xdr:pic>
    <xdr:clientData/>
  </xdr:twoCellAnchor>
  <xdr:twoCellAnchor editAs="oneCell">
    <xdr:from>
      <xdr:col>0</xdr:col>
      <xdr:colOff>186017</xdr:colOff>
      <xdr:row>69</xdr:row>
      <xdr:rowOff>93905</xdr:rowOff>
    </xdr:from>
    <xdr:to>
      <xdr:col>6</xdr:col>
      <xdr:colOff>288887</xdr:colOff>
      <xdr:row>93</xdr:row>
      <xdr:rowOff>55356</xdr:rowOff>
    </xdr:to>
    <xdr:pic>
      <xdr:nvPicPr>
        <xdr:cNvPr id="4" name="Picture 3">
          <a:extLst>
            <a:ext uri="{FF2B5EF4-FFF2-40B4-BE49-F238E27FC236}">
              <a16:creationId xmlns:a16="http://schemas.microsoft.com/office/drawing/2014/main" id="{3EDAEE39-C613-40CA-BA81-D4CF06A66029}"/>
            </a:ext>
            <a:ext uri="{147F2762-F138-4A5C-976F-8EAC2B608ADB}">
              <a16:predDERef xmlns:a16="http://schemas.microsoft.com/office/drawing/2014/main" pred="{A245D11A-ECC7-4954-7597-84B0EBAFB7EE}"/>
            </a:ext>
          </a:extLst>
        </xdr:cNvPr>
        <xdr:cNvPicPr>
          <a:picLocks noChangeAspect="1"/>
        </xdr:cNvPicPr>
      </xdr:nvPicPr>
      <xdr:blipFill>
        <a:blip xmlns:r="http://schemas.openxmlformats.org/officeDocument/2006/relationships" r:embed="rId2"/>
        <a:stretch>
          <a:fillRect/>
        </a:stretch>
      </xdr:blipFill>
      <xdr:spPr>
        <a:xfrm>
          <a:off x="186017" y="12162640"/>
          <a:ext cx="3677771" cy="3823671"/>
        </a:xfrm>
        <a:prstGeom prst="rect">
          <a:avLst/>
        </a:prstGeom>
      </xdr:spPr>
    </xdr:pic>
    <xdr:clientData/>
  </xdr:twoCellAnchor>
  <xdr:twoCellAnchor editAs="oneCell">
    <xdr:from>
      <xdr:col>0</xdr:col>
      <xdr:colOff>134134</xdr:colOff>
      <xdr:row>97</xdr:row>
      <xdr:rowOff>161849</xdr:rowOff>
    </xdr:from>
    <xdr:to>
      <xdr:col>6</xdr:col>
      <xdr:colOff>473224</xdr:colOff>
      <xdr:row>124</xdr:row>
      <xdr:rowOff>88825</xdr:rowOff>
    </xdr:to>
    <xdr:pic>
      <xdr:nvPicPr>
        <xdr:cNvPr id="5" name="Picture 4">
          <a:extLst>
            <a:ext uri="{FF2B5EF4-FFF2-40B4-BE49-F238E27FC236}">
              <a16:creationId xmlns:a16="http://schemas.microsoft.com/office/drawing/2014/main" id="{32B7DD56-990F-AB25-FFA3-104383B9831D}"/>
            </a:ext>
            <a:ext uri="{147F2762-F138-4A5C-976F-8EAC2B608ADB}">
              <a16:predDERef xmlns:a16="http://schemas.microsoft.com/office/drawing/2014/main" pred="{3EDAEE39-C613-40CA-BA81-D4CF06A66029}"/>
            </a:ext>
          </a:extLst>
        </xdr:cNvPr>
        <xdr:cNvPicPr>
          <a:picLocks noChangeAspect="1"/>
        </xdr:cNvPicPr>
      </xdr:nvPicPr>
      <xdr:blipFill>
        <a:blip xmlns:r="http://schemas.openxmlformats.org/officeDocument/2006/relationships" r:embed="rId3"/>
        <a:stretch>
          <a:fillRect/>
        </a:stretch>
      </xdr:blipFill>
      <xdr:spPr>
        <a:xfrm>
          <a:off x="134134" y="7143114"/>
          <a:ext cx="3835325" cy="4764742"/>
        </a:xfrm>
        <a:prstGeom prst="rect">
          <a:avLst/>
        </a:prstGeom>
      </xdr:spPr>
    </xdr:pic>
    <xdr:clientData/>
  </xdr:twoCellAnchor>
  <xdr:twoCellAnchor editAs="oneCell">
    <xdr:from>
      <xdr:col>0</xdr:col>
      <xdr:colOff>107464</xdr:colOff>
      <xdr:row>120</xdr:row>
      <xdr:rowOff>112620</xdr:rowOff>
    </xdr:from>
    <xdr:to>
      <xdr:col>7</xdr:col>
      <xdr:colOff>536089</xdr:colOff>
      <xdr:row>141</xdr:row>
      <xdr:rowOff>131670</xdr:rowOff>
    </xdr:to>
    <xdr:pic>
      <xdr:nvPicPr>
        <xdr:cNvPr id="7" name="Picture 6">
          <a:extLst>
            <a:ext uri="{FF2B5EF4-FFF2-40B4-BE49-F238E27FC236}">
              <a16:creationId xmlns:a16="http://schemas.microsoft.com/office/drawing/2014/main" id="{0A48122D-358E-48F3-F518-B93EA525DB12}"/>
            </a:ext>
            <a:ext uri="{147F2762-F138-4A5C-976F-8EAC2B608ADB}">
              <a16:predDERef xmlns:a16="http://schemas.microsoft.com/office/drawing/2014/main" pred="{32B7DD56-990F-AB25-FFA3-104383B9831D}"/>
            </a:ext>
          </a:extLst>
        </xdr:cNvPr>
        <xdr:cNvPicPr>
          <a:picLocks noChangeAspect="1"/>
        </xdr:cNvPicPr>
      </xdr:nvPicPr>
      <xdr:blipFill>
        <a:blip xmlns:r="http://schemas.openxmlformats.org/officeDocument/2006/relationships" r:embed="rId4"/>
        <a:stretch>
          <a:fillRect/>
        </a:stretch>
      </xdr:blipFill>
      <xdr:spPr>
        <a:xfrm>
          <a:off x="107464" y="20585767"/>
          <a:ext cx="4586007" cy="3562238"/>
        </a:xfrm>
        <a:prstGeom prst="rect">
          <a:avLst/>
        </a:prstGeom>
      </xdr:spPr>
    </xdr:pic>
    <xdr:clientData/>
  </xdr:twoCellAnchor>
  <xdr:twoCellAnchor editAs="oneCell">
    <xdr:from>
      <xdr:col>10</xdr:col>
      <xdr:colOff>209774</xdr:colOff>
      <xdr:row>65</xdr:row>
      <xdr:rowOff>40565</xdr:rowOff>
    </xdr:from>
    <xdr:to>
      <xdr:col>16</xdr:col>
      <xdr:colOff>140308</xdr:colOff>
      <xdr:row>73</xdr:row>
      <xdr:rowOff>48634</xdr:rowOff>
    </xdr:to>
    <xdr:pic>
      <xdr:nvPicPr>
        <xdr:cNvPr id="8" name="Picture 7">
          <a:extLst>
            <a:ext uri="{FF2B5EF4-FFF2-40B4-BE49-F238E27FC236}">
              <a16:creationId xmlns:a16="http://schemas.microsoft.com/office/drawing/2014/main" id="{04ADF2FC-EACC-07B5-1FA7-1451593CC219}"/>
            </a:ext>
            <a:ext uri="{147F2762-F138-4A5C-976F-8EAC2B608ADB}">
              <a16:predDERef xmlns:a16="http://schemas.microsoft.com/office/drawing/2014/main" pred="{0A48122D-358E-48F3-F518-B93EA525DB12}"/>
            </a:ext>
          </a:extLst>
        </xdr:cNvPr>
        <xdr:cNvPicPr>
          <a:picLocks noChangeAspect="1"/>
        </xdr:cNvPicPr>
      </xdr:nvPicPr>
      <xdr:blipFill>
        <a:blip xmlns:r="http://schemas.openxmlformats.org/officeDocument/2006/relationships" r:embed="rId5"/>
        <a:srcRect t="2778"/>
        <a:stretch>
          <a:fillRect/>
        </a:stretch>
      </xdr:blipFill>
      <xdr:spPr>
        <a:xfrm>
          <a:off x="5633421" y="11436947"/>
          <a:ext cx="3498450" cy="1348965"/>
        </a:xfrm>
        <a:prstGeom prst="rect">
          <a:avLst/>
        </a:prstGeom>
      </xdr:spPr>
    </xdr:pic>
    <xdr:clientData/>
  </xdr:twoCellAnchor>
  <xdr:twoCellAnchor editAs="oneCell">
    <xdr:from>
      <xdr:col>10</xdr:col>
      <xdr:colOff>174812</xdr:colOff>
      <xdr:row>91</xdr:row>
      <xdr:rowOff>130886</xdr:rowOff>
    </xdr:from>
    <xdr:to>
      <xdr:col>17</xdr:col>
      <xdr:colOff>497246</xdr:colOff>
      <xdr:row>125</xdr:row>
      <xdr:rowOff>104663</xdr:rowOff>
    </xdr:to>
    <xdr:pic>
      <xdr:nvPicPr>
        <xdr:cNvPr id="10" name="Picture 9">
          <a:extLst>
            <a:ext uri="{FF2B5EF4-FFF2-40B4-BE49-F238E27FC236}">
              <a16:creationId xmlns:a16="http://schemas.microsoft.com/office/drawing/2014/main" id="{3256E64E-4E4C-1DFD-B7E2-FFFEB5132B6F}"/>
            </a:ext>
            <a:ext uri="{147F2762-F138-4A5C-976F-8EAC2B608ADB}">
              <a16:predDERef xmlns:a16="http://schemas.microsoft.com/office/drawing/2014/main" pred="{04ADF2FC-EACC-07B5-1FA7-1451593CC219}"/>
            </a:ext>
          </a:extLst>
        </xdr:cNvPr>
        <xdr:cNvPicPr>
          <a:picLocks noChangeAspect="1"/>
        </xdr:cNvPicPr>
      </xdr:nvPicPr>
      <xdr:blipFill>
        <a:blip xmlns:r="http://schemas.openxmlformats.org/officeDocument/2006/relationships" r:embed="rId6"/>
        <a:stretch>
          <a:fillRect/>
        </a:stretch>
      </xdr:blipFill>
      <xdr:spPr>
        <a:xfrm>
          <a:off x="5497606" y="16558710"/>
          <a:ext cx="4401375" cy="6076127"/>
        </a:xfrm>
        <a:prstGeom prst="rect">
          <a:avLst/>
        </a:prstGeom>
      </xdr:spPr>
    </xdr:pic>
    <xdr:clientData/>
  </xdr:twoCellAnchor>
  <xdr:twoCellAnchor editAs="oneCell">
    <xdr:from>
      <xdr:col>10</xdr:col>
      <xdr:colOff>138168</xdr:colOff>
      <xdr:row>130</xdr:row>
      <xdr:rowOff>144520</xdr:rowOff>
    </xdr:from>
    <xdr:to>
      <xdr:col>18</xdr:col>
      <xdr:colOff>8217</xdr:colOff>
      <xdr:row>140</xdr:row>
      <xdr:rowOff>64735</xdr:rowOff>
    </xdr:to>
    <xdr:pic>
      <xdr:nvPicPr>
        <xdr:cNvPr id="12" name="Picture 11">
          <a:extLst>
            <a:ext uri="{FF2B5EF4-FFF2-40B4-BE49-F238E27FC236}">
              <a16:creationId xmlns:a16="http://schemas.microsoft.com/office/drawing/2014/main" id="{2672824D-155A-C00D-B466-D71B9461D902}"/>
            </a:ext>
            <a:ext uri="{147F2762-F138-4A5C-976F-8EAC2B608ADB}">
              <a16:predDERef xmlns:a16="http://schemas.microsoft.com/office/drawing/2014/main" pred="{72EBB0FF-F80C-7AD7-BBE4-5936A39F3520}"/>
            </a:ext>
          </a:extLst>
        </xdr:cNvPr>
        <xdr:cNvPicPr>
          <a:picLocks noChangeAspect="1"/>
        </xdr:cNvPicPr>
      </xdr:nvPicPr>
      <xdr:blipFill>
        <a:blip xmlns:r="http://schemas.openxmlformats.org/officeDocument/2006/relationships" r:embed="rId7"/>
        <a:stretch>
          <a:fillRect/>
        </a:stretch>
      </xdr:blipFill>
      <xdr:spPr>
        <a:xfrm>
          <a:off x="5460962" y="23564814"/>
          <a:ext cx="4538046" cy="1713156"/>
        </a:xfrm>
        <a:prstGeom prst="rect">
          <a:avLst/>
        </a:prstGeom>
      </xdr:spPr>
    </xdr:pic>
    <xdr:clientData/>
  </xdr:twoCellAnchor>
  <xdr:twoCellAnchor editAs="oneCell">
    <xdr:from>
      <xdr:col>20</xdr:col>
      <xdr:colOff>171450</xdr:colOff>
      <xdr:row>9</xdr:row>
      <xdr:rowOff>38100</xdr:rowOff>
    </xdr:from>
    <xdr:to>
      <xdr:col>20</xdr:col>
      <xdr:colOff>3361690</xdr:colOff>
      <xdr:row>14</xdr:row>
      <xdr:rowOff>0</xdr:rowOff>
    </xdr:to>
    <xdr:pic>
      <xdr:nvPicPr>
        <xdr:cNvPr id="13" name="Picture 12">
          <a:extLst>
            <a:ext uri="{FF2B5EF4-FFF2-40B4-BE49-F238E27FC236}">
              <a16:creationId xmlns:a16="http://schemas.microsoft.com/office/drawing/2014/main" id="{7C23C13C-6008-A3BD-E815-DB9F6A36DC7A}"/>
            </a:ext>
            <a:ext uri="{147F2762-F138-4A5C-976F-8EAC2B608ADB}">
              <a16:predDERef xmlns:a16="http://schemas.microsoft.com/office/drawing/2014/main" pred="{2672824D-155A-C00D-B466-D71B9461D902}"/>
            </a:ext>
          </a:extLst>
        </xdr:cNvPr>
        <xdr:cNvPicPr>
          <a:picLocks noChangeAspect="1"/>
        </xdr:cNvPicPr>
      </xdr:nvPicPr>
      <xdr:blipFill>
        <a:blip xmlns:r="http://schemas.openxmlformats.org/officeDocument/2006/relationships" r:embed="rId8"/>
        <a:stretch>
          <a:fillRect/>
        </a:stretch>
      </xdr:blipFill>
      <xdr:spPr>
        <a:xfrm>
          <a:off x="10953750" y="1866900"/>
          <a:ext cx="3200400" cy="819150"/>
        </a:xfrm>
        <a:prstGeom prst="rect">
          <a:avLst/>
        </a:prstGeom>
      </xdr:spPr>
    </xdr:pic>
    <xdr:clientData/>
  </xdr:twoCellAnchor>
  <xdr:twoCellAnchor editAs="oneCell">
    <xdr:from>
      <xdr:col>20</xdr:col>
      <xdr:colOff>114300</xdr:colOff>
      <xdr:row>14</xdr:row>
      <xdr:rowOff>142875</xdr:rowOff>
    </xdr:from>
    <xdr:to>
      <xdr:col>20</xdr:col>
      <xdr:colOff>4362450</xdr:colOff>
      <xdr:row>47</xdr:row>
      <xdr:rowOff>28575</xdr:rowOff>
    </xdr:to>
    <xdr:pic>
      <xdr:nvPicPr>
        <xdr:cNvPr id="14" name="Picture 13">
          <a:extLst>
            <a:ext uri="{FF2B5EF4-FFF2-40B4-BE49-F238E27FC236}">
              <a16:creationId xmlns:a16="http://schemas.microsoft.com/office/drawing/2014/main" id="{2A309B02-1D47-4B3F-7CC7-638DC1CA352B}"/>
            </a:ext>
            <a:ext uri="{147F2762-F138-4A5C-976F-8EAC2B608ADB}">
              <a16:predDERef xmlns:a16="http://schemas.microsoft.com/office/drawing/2014/main" pred="{7C23C13C-6008-A3BD-E815-DB9F6A36DC7A}"/>
            </a:ext>
          </a:extLst>
        </xdr:cNvPr>
        <xdr:cNvPicPr>
          <a:picLocks noChangeAspect="1"/>
        </xdr:cNvPicPr>
      </xdr:nvPicPr>
      <xdr:blipFill>
        <a:blip xmlns:r="http://schemas.openxmlformats.org/officeDocument/2006/relationships" r:embed="rId9"/>
        <a:stretch>
          <a:fillRect/>
        </a:stretch>
      </xdr:blipFill>
      <xdr:spPr>
        <a:xfrm>
          <a:off x="10896600" y="2828925"/>
          <a:ext cx="4238625" cy="5543550"/>
        </a:xfrm>
        <a:prstGeom prst="rect">
          <a:avLst/>
        </a:prstGeom>
      </xdr:spPr>
    </xdr:pic>
    <xdr:clientData/>
  </xdr:twoCellAnchor>
  <xdr:twoCellAnchor editAs="oneCell">
    <xdr:from>
      <xdr:col>20</xdr:col>
      <xdr:colOff>95251</xdr:colOff>
      <xdr:row>47</xdr:row>
      <xdr:rowOff>38101</xdr:rowOff>
    </xdr:from>
    <xdr:to>
      <xdr:col>20</xdr:col>
      <xdr:colOff>4162239</xdr:colOff>
      <xdr:row>55</xdr:row>
      <xdr:rowOff>121104</xdr:rowOff>
    </xdr:to>
    <xdr:pic>
      <xdr:nvPicPr>
        <xdr:cNvPr id="15" name="Picture 14">
          <a:extLst>
            <a:ext uri="{FF2B5EF4-FFF2-40B4-BE49-F238E27FC236}">
              <a16:creationId xmlns:a16="http://schemas.microsoft.com/office/drawing/2014/main" id="{C4357BED-C865-9DFB-7554-B91B03280AB7}"/>
            </a:ext>
            <a:ext uri="{147F2762-F138-4A5C-976F-8EAC2B608ADB}">
              <a16:predDERef xmlns:a16="http://schemas.microsoft.com/office/drawing/2014/main" pred="{2A309B02-1D47-4B3F-7CC7-638DC1CA352B}"/>
            </a:ext>
          </a:extLst>
        </xdr:cNvPr>
        <xdr:cNvPicPr>
          <a:picLocks noChangeAspect="1"/>
        </xdr:cNvPicPr>
      </xdr:nvPicPr>
      <xdr:blipFill>
        <a:blip xmlns:r="http://schemas.openxmlformats.org/officeDocument/2006/relationships" r:embed="rId10"/>
        <a:stretch>
          <a:fillRect/>
        </a:stretch>
      </xdr:blipFill>
      <xdr:spPr>
        <a:xfrm>
          <a:off x="10740839" y="8677836"/>
          <a:ext cx="4073338" cy="1523706"/>
        </a:xfrm>
        <a:prstGeom prst="rect">
          <a:avLst/>
        </a:prstGeom>
      </xdr:spPr>
    </xdr:pic>
    <xdr:clientData/>
  </xdr:twoCellAnchor>
  <xdr:twoCellAnchor editAs="oneCell">
    <xdr:from>
      <xdr:col>20</xdr:col>
      <xdr:colOff>51993</xdr:colOff>
      <xdr:row>64</xdr:row>
      <xdr:rowOff>153260</xdr:rowOff>
    </xdr:from>
    <xdr:to>
      <xdr:col>20</xdr:col>
      <xdr:colOff>4569420</xdr:colOff>
      <xdr:row>72</xdr:row>
      <xdr:rowOff>106120</xdr:rowOff>
    </xdr:to>
    <xdr:pic>
      <xdr:nvPicPr>
        <xdr:cNvPr id="16" name="Picture 15">
          <a:extLst>
            <a:ext uri="{FF2B5EF4-FFF2-40B4-BE49-F238E27FC236}">
              <a16:creationId xmlns:a16="http://schemas.microsoft.com/office/drawing/2014/main" id="{D0D3B79D-EEEA-23ED-F451-391512C29973}"/>
            </a:ext>
            <a:ext uri="{147F2762-F138-4A5C-976F-8EAC2B608ADB}">
              <a16:predDERef xmlns:a16="http://schemas.microsoft.com/office/drawing/2014/main" pred="{C4357BED-C865-9DFB-7554-B91B03280AB7}"/>
            </a:ext>
          </a:extLst>
        </xdr:cNvPr>
        <xdr:cNvPicPr>
          <a:picLocks noChangeAspect="1"/>
        </xdr:cNvPicPr>
      </xdr:nvPicPr>
      <xdr:blipFill>
        <a:blip xmlns:r="http://schemas.openxmlformats.org/officeDocument/2006/relationships" r:embed="rId11"/>
        <a:stretch>
          <a:fillRect/>
        </a:stretch>
      </xdr:blipFill>
      <xdr:spPr>
        <a:xfrm>
          <a:off x="10697581" y="11953054"/>
          <a:ext cx="4517427" cy="1387213"/>
        </a:xfrm>
        <a:prstGeom prst="rect">
          <a:avLst/>
        </a:prstGeom>
      </xdr:spPr>
    </xdr:pic>
    <xdr:clientData/>
  </xdr:twoCellAnchor>
  <xdr:twoCellAnchor editAs="oneCell">
    <xdr:from>
      <xdr:col>20</xdr:col>
      <xdr:colOff>69775</xdr:colOff>
      <xdr:row>72</xdr:row>
      <xdr:rowOff>161103</xdr:rowOff>
    </xdr:from>
    <xdr:to>
      <xdr:col>20</xdr:col>
      <xdr:colOff>5122272</xdr:colOff>
      <xdr:row>98</xdr:row>
      <xdr:rowOff>50780</xdr:rowOff>
    </xdr:to>
    <xdr:pic>
      <xdr:nvPicPr>
        <xdr:cNvPr id="2" name="Picture 1">
          <a:extLst>
            <a:ext uri="{FF2B5EF4-FFF2-40B4-BE49-F238E27FC236}">
              <a16:creationId xmlns:a16="http://schemas.microsoft.com/office/drawing/2014/main" id="{629184C2-1310-C6FD-01A2-B1DFE115A075}"/>
            </a:ext>
          </a:extLst>
        </xdr:cNvPr>
        <xdr:cNvPicPr>
          <a:picLocks noChangeAspect="1"/>
        </xdr:cNvPicPr>
      </xdr:nvPicPr>
      <xdr:blipFill>
        <a:blip xmlns:r="http://schemas.openxmlformats.org/officeDocument/2006/relationships" r:embed="rId12"/>
        <a:stretch>
          <a:fillRect/>
        </a:stretch>
      </xdr:blipFill>
      <xdr:spPr>
        <a:xfrm>
          <a:off x="10715363" y="13395250"/>
          <a:ext cx="5052497" cy="4338412"/>
        </a:xfrm>
        <a:prstGeom prst="rect">
          <a:avLst/>
        </a:prstGeom>
      </xdr:spPr>
    </xdr:pic>
    <xdr:clientData/>
  </xdr:twoCellAnchor>
  <xdr:twoCellAnchor editAs="oneCell">
    <xdr:from>
      <xdr:col>20</xdr:col>
      <xdr:colOff>145677</xdr:colOff>
      <xdr:row>98</xdr:row>
      <xdr:rowOff>174438</xdr:rowOff>
    </xdr:from>
    <xdr:to>
      <xdr:col>20</xdr:col>
      <xdr:colOff>5151180</xdr:colOff>
      <xdr:row>113</xdr:row>
      <xdr:rowOff>87280</xdr:rowOff>
    </xdr:to>
    <xdr:pic>
      <xdr:nvPicPr>
        <xdr:cNvPr id="9" name="Picture 8">
          <a:extLst>
            <a:ext uri="{FF2B5EF4-FFF2-40B4-BE49-F238E27FC236}">
              <a16:creationId xmlns:a16="http://schemas.microsoft.com/office/drawing/2014/main" id="{D61F0200-92EB-01A7-2C4F-D265C9F84386}"/>
            </a:ext>
          </a:extLst>
        </xdr:cNvPr>
        <xdr:cNvPicPr>
          <a:picLocks noChangeAspect="1"/>
        </xdr:cNvPicPr>
      </xdr:nvPicPr>
      <xdr:blipFill>
        <a:blip xmlns:r="http://schemas.openxmlformats.org/officeDocument/2006/relationships" r:embed="rId13"/>
        <a:stretch>
          <a:fillRect/>
        </a:stretch>
      </xdr:blipFill>
      <xdr:spPr>
        <a:xfrm>
          <a:off x="10791265" y="17857320"/>
          <a:ext cx="5005503" cy="2602254"/>
        </a:xfrm>
        <a:prstGeom prst="rect">
          <a:avLst/>
        </a:prstGeom>
      </xdr:spPr>
    </xdr:pic>
    <xdr:clientData/>
  </xdr:twoCellAnchor>
  <xdr:twoCellAnchor editAs="oneCell">
    <xdr:from>
      <xdr:col>20</xdr:col>
      <xdr:colOff>78442</xdr:colOff>
      <xdr:row>115</xdr:row>
      <xdr:rowOff>100853</xdr:rowOff>
    </xdr:from>
    <xdr:to>
      <xdr:col>20</xdr:col>
      <xdr:colOff>5199526</xdr:colOff>
      <xdr:row>126</xdr:row>
      <xdr:rowOff>94178</xdr:rowOff>
    </xdr:to>
    <xdr:pic>
      <xdr:nvPicPr>
        <xdr:cNvPr id="17" name="Picture 16">
          <a:extLst>
            <a:ext uri="{FF2B5EF4-FFF2-40B4-BE49-F238E27FC236}">
              <a16:creationId xmlns:a16="http://schemas.microsoft.com/office/drawing/2014/main" id="{3A6381E8-7855-19CB-C1E2-F9BFB69911B4}"/>
            </a:ext>
          </a:extLst>
        </xdr:cNvPr>
        <xdr:cNvPicPr>
          <a:picLocks noChangeAspect="1"/>
        </xdr:cNvPicPr>
      </xdr:nvPicPr>
      <xdr:blipFill>
        <a:blip xmlns:r="http://schemas.openxmlformats.org/officeDocument/2006/relationships" r:embed="rId14"/>
        <a:stretch>
          <a:fillRect/>
        </a:stretch>
      </xdr:blipFill>
      <xdr:spPr>
        <a:xfrm>
          <a:off x="10925736" y="19733559"/>
          <a:ext cx="5124894" cy="1846105"/>
        </a:xfrm>
        <a:prstGeom prst="rect">
          <a:avLst/>
        </a:prstGeom>
      </xdr:spPr>
    </xdr:pic>
    <xdr:clientData/>
  </xdr:twoCellAnchor>
  <xdr:twoCellAnchor editAs="oneCell">
    <xdr:from>
      <xdr:col>0</xdr:col>
      <xdr:colOff>154977</xdr:colOff>
      <xdr:row>148</xdr:row>
      <xdr:rowOff>80346</xdr:rowOff>
    </xdr:from>
    <xdr:to>
      <xdr:col>5</xdr:col>
      <xdr:colOff>482623</xdr:colOff>
      <xdr:row>155</xdr:row>
      <xdr:rowOff>58258</xdr:rowOff>
    </xdr:to>
    <xdr:pic>
      <xdr:nvPicPr>
        <xdr:cNvPr id="20" name="Picture 19">
          <a:extLst>
            <a:ext uri="{FF2B5EF4-FFF2-40B4-BE49-F238E27FC236}">
              <a16:creationId xmlns:a16="http://schemas.microsoft.com/office/drawing/2014/main" id="{15324697-22DA-5C29-6272-69A9EF1AE4E2}"/>
            </a:ext>
          </a:extLst>
        </xdr:cNvPr>
        <xdr:cNvPicPr>
          <a:picLocks noChangeAspect="1"/>
        </xdr:cNvPicPr>
      </xdr:nvPicPr>
      <xdr:blipFill>
        <a:blip xmlns:r="http://schemas.openxmlformats.org/officeDocument/2006/relationships" r:embed="rId15"/>
        <a:stretch>
          <a:fillRect/>
        </a:stretch>
      </xdr:blipFill>
      <xdr:spPr>
        <a:xfrm>
          <a:off x="154977" y="25293581"/>
          <a:ext cx="3301650" cy="1158340"/>
        </a:xfrm>
        <a:prstGeom prst="rect">
          <a:avLst/>
        </a:prstGeom>
      </xdr:spPr>
    </xdr:pic>
    <xdr:clientData/>
  </xdr:twoCellAnchor>
  <xdr:twoCellAnchor editAs="oneCell">
    <xdr:from>
      <xdr:col>0</xdr:col>
      <xdr:colOff>134471</xdr:colOff>
      <xdr:row>155</xdr:row>
      <xdr:rowOff>98946</xdr:rowOff>
    </xdr:from>
    <xdr:to>
      <xdr:col>7</xdr:col>
      <xdr:colOff>78442</xdr:colOff>
      <xdr:row>187</xdr:row>
      <xdr:rowOff>112973</xdr:rowOff>
    </xdr:to>
    <xdr:pic>
      <xdr:nvPicPr>
        <xdr:cNvPr id="22" name="Picture 21">
          <a:extLst>
            <a:ext uri="{FF2B5EF4-FFF2-40B4-BE49-F238E27FC236}">
              <a16:creationId xmlns:a16="http://schemas.microsoft.com/office/drawing/2014/main" id="{9DED2595-2AE3-9466-82D1-6123D8511451}"/>
            </a:ext>
          </a:extLst>
        </xdr:cNvPr>
        <xdr:cNvPicPr>
          <a:picLocks noChangeAspect="1"/>
        </xdr:cNvPicPr>
      </xdr:nvPicPr>
      <xdr:blipFill>
        <a:blip xmlns:r="http://schemas.openxmlformats.org/officeDocument/2006/relationships" r:embed="rId16"/>
        <a:stretch>
          <a:fillRect/>
        </a:stretch>
      </xdr:blipFill>
      <xdr:spPr>
        <a:xfrm>
          <a:off x="134471" y="26488799"/>
          <a:ext cx="4101353" cy="5392849"/>
        </a:xfrm>
        <a:prstGeom prst="rect">
          <a:avLst/>
        </a:prstGeom>
      </xdr:spPr>
    </xdr:pic>
    <xdr:clientData/>
  </xdr:twoCellAnchor>
  <xdr:twoCellAnchor editAs="oneCell">
    <xdr:from>
      <xdr:col>0</xdr:col>
      <xdr:colOff>29809</xdr:colOff>
      <xdr:row>187</xdr:row>
      <xdr:rowOff>141867</xdr:rowOff>
    </xdr:from>
    <xdr:to>
      <xdr:col>7</xdr:col>
      <xdr:colOff>178042</xdr:colOff>
      <xdr:row>197</xdr:row>
      <xdr:rowOff>12334</xdr:rowOff>
    </xdr:to>
    <xdr:pic>
      <xdr:nvPicPr>
        <xdr:cNvPr id="24" name="Picture 23">
          <a:extLst>
            <a:ext uri="{FF2B5EF4-FFF2-40B4-BE49-F238E27FC236}">
              <a16:creationId xmlns:a16="http://schemas.microsoft.com/office/drawing/2014/main" id="{76BCD7D9-6C8B-1193-AB67-C5727F5363A2}"/>
            </a:ext>
          </a:extLst>
        </xdr:cNvPr>
        <xdr:cNvPicPr>
          <a:picLocks noChangeAspect="1"/>
        </xdr:cNvPicPr>
      </xdr:nvPicPr>
      <xdr:blipFill>
        <a:blip xmlns:r="http://schemas.openxmlformats.org/officeDocument/2006/relationships" r:embed="rId17"/>
        <a:stretch>
          <a:fillRect/>
        </a:stretch>
      </xdr:blipFill>
      <xdr:spPr>
        <a:xfrm>
          <a:off x="29809" y="31910543"/>
          <a:ext cx="4310060" cy="1550716"/>
        </a:xfrm>
        <a:prstGeom prst="rect">
          <a:avLst/>
        </a:prstGeom>
      </xdr:spPr>
    </xdr:pic>
    <xdr:clientData/>
  </xdr:twoCellAnchor>
  <xdr:twoCellAnchor editAs="oneCell">
    <xdr:from>
      <xdr:col>10</xdr:col>
      <xdr:colOff>190500</xdr:colOff>
      <xdr:row>148</xdr:row>
      <xdr:rowOff>31713</xdr:rowOff>
    </xdr:from>
    <xdr:to>
      <xdr:col>15</xdr:col>
      <xdr:colOff>211231</xdr:colOff>
      <xdr:row>156</xdr:row>
      <xdr:rowOff>1012</xdr:rowOff>
    </xdr:to>
    <xdr:pic>
      <xdr:nvPicPr>
        <xdr:cNvPr id="26" name="Picture 25">
          <a:extLst>
            <a:ext uri="{FF2B5EF4-FFF2-40B4-BE49-F238E27FC236}">
              <a16:creationId xmlns:a16="http://schemas.microsoft.com/office/drawing/2014/main" id="{52337714-C6A4-016D-4548-4206D47EDA5B}"/>
            </a:ext>
          </a:extLst>
        </xdr:cNvPr>
        <xdr:cNvPicPr>
          <a:picLocks noChangeAspect="1"/>
        </xdr:cNvPicPr>
      </xdr:nvPicPr>
      <xdr:blipFill>
        <a:blip xmlns:r="http://schemas.openxmlformats.org/officeDocument/2006/relationships" r:embed="rId18"/>
        <a:stretch>
          <a:fillRect/>
        </a:stretch>
      </xdr:blipFill>
      <xdr:spPr>
        <a:xfrm>
          <a:off x="5614147" y="25244948"/>
          <a:ext cx="2980765" cy="1306385"/>
        </a:xfrm>
        <a:prstGeom prst="rect">
          <a:avLst/>
        </a:prstGeom>
      </xdr:spPr>
    </xdr:pic>
    <xdr:clientData/>
  </xdr:twoCellAnchor>
  <xdr:twoCellAnchor editAs="oneCell">
    <xdr:from>
      <xdr:col>10</xdr:col>
      <xdr:colOff>50315</xdr:colOff>
      <xdr:row>156</xdr:row>
      <xdr:rowOff>20508</xdr:rowOff>
    </xdr:from>
    <xdr:to>
      <xdr:col>16</xdr:col>
      <xdr:colOff>364243</xdr:colOff>
      <xdr:row>178</xdr:row>
      <xdr:rowOff>136153</xdr:rowOff>
    </xdr:to>
    <xdr:pic>
      <xdr:nvPicPr>
        <xdr:cNvPr id="27" name="Picture 26">
          <a:extLst>
            <a:ext uri="{FF2B5EF4-FFF2-40B4-BE49-F238E27FC236}">
              <a16:creationId xmlns:a16="http://schemas.microsoft.com/office/drawing/2014/main" id="{01199EF9-94B3-B979-CD43-BD5E3194F037}"/>
            </a:ext>
          </a:extLst>
        </xdr:cNvPr>
        <xdr:cNvPicPr>
          <a:picLocks noChangeAspect="1"/>
        </xdr:cNvPicPr>
      </xdr:nvPicPr>
      <xdr:blipFill>
        <a:blip xmlns:r="http://schemas.openxmlformats.org/officeDocument/2006/relationships" r:embed="rId19"/>
        <a:stretch>
          <a:fillRect/>
        </a:stretch>
      </xdr:blipFill>
      <xdr:spPr>
        <a:xfrm>
          <a:off x="5473962" y="26578449"/>
          <a:ext cx="3888829" cy="3821205"/>
        </a:xfrm>
        <a:prstGeom prst="rect">
          <a:avLst/>
        </a:prstGeom>
      </xdr:spPr>
    </xdr:pic>
    <xdr:clientData/>
  </xdr:twoCellAnchor>
  <xdr:twoCellAnchor editAs="oneCell">
    <xdr:from>
      <xdr:col>10</xdr:col>
      <xdr:colOff>46729</xdr:colOff>
      <xdr:row>190</xdr:row>
      <xdr:rowOff>81480</xdr:rowOff>
    </xdr:from>
    <xdr:to>
      <xdr:col>17</xdr:col>
      <xdr:colOff>59840</xdr:colOff>
      <xdr:row>196</xdr:row>
      <xdr:rowOff>135634</xdr:rowOff>
    </xdr:to>
    <xdr:pic>
      <xdr:nvPicPr>
        <xdr:cNvPr id="29" name="Picture 28">
          <a:extLst>
            <a:ext uri="{FF2B5EF4-FFF2-40B4-BE49-F238E27FC236}">
              <a16:creationId xmlns:a16="http://schemas.microsoft.com/office/drawing/2014/main" id="{324CD1B8-0235-773B-6E1A-FFE48B7848F9}"/>
            </a:ext>
          </a:extLst>
        </xdr:cNvPr>
        <xdr:cNvPicPr>
          <a:picLocks noChangeAspect="1"/>
        </xdr:cNvPicPr>
      </xdr:nvPicPr>
      <xdr:blipFill>
        <a:blip xmlns:r="http://schemas.openxmlformats.org/officeDocument/2006/relationships" r:embed="rId20"/>
        <a:stretch>
          <a:fillRect/>
        </a:stretch>
      </xdr:blipFill>
      <xdr:spPr>
        <a:xfrm>
          <a:off x="5470376" y="32354421"/>
          <a:ext cx="4166683" cy="1070304"/>
        </a:xfrm>
        <a:prstGeom prst="rect">
          <a:avLst/>
        </a:prstGeom>
      </xdr:spPr>
    </xdr:pic>
    <xdr:clientData/>
  </xdr:twoCellAnchor>
  <xdr:twoCellAnchor editAs="oneCell">
    <xdr:from>
      <xdr:col>10</xdr:col>
      <xdr:colOff>65332</xdr:colOff>
      <xdr:row>179</xdr:row>
      <xdr:rowOff>9525</xdr:rowOff>
    </xdr:from>
    <xdr:to>
      <xdr:col>16</xdr:col>
      <xdr:colOff>364303</xdr:colOff>
      <xdr:row>190</xdr:row>
      <xdr:rowOff>15911</xdr:rowOff>
    </xdr:to>
    <xdr:pic>
      <xdr:nvPicPr>
        <xdr:cNvPr id="30" name="Picture 29">
          <a:extLst>
            <a:ext uri="{FF2B5EF4-FFF2-40B4-BE49-F238E27FC236}">
              <a16:creationId xmlns:a16="http://schemas.microsoft.com/office/drawing/2014/main" id="{C17169F0-7604-F557-CCE5-2411049A930A}"/>
            </a:ext>
          </a:extLst>
        </xdr:cNvPr>
        <xdr:cNvPicPr>
          <a:picLocks noChangeAspect="1"/>
        </xdr:cNvPicPr>
      </xdr:nvPicPr>
      <xdr:blipFill>
        <a:blip xmlns:r="http://schemas.openxmlformats.org/officeDocument/2006/relationships" r:embed="rId21"/>
        <a:stretch>
          <a:fillRect/>
        </a:stretch>
      </xdr:blipFill>
      <xdr:spPr>
        <a:xfrm>
          <a:off x="5488979" y="30433496"/>
          <a:ext cx="3858632" cy="1851546"/>
        </a:xfrm>
        <a:prstGeom prst="rect">
          <a:avLst/>
        </a:prstGeom>
      </xdr:spPr>
    </xdr:pic>
    <xdr:clientData/>
  </xdr:twoCellAnchor>
  <xdr:twoCellAnchor editAs="oneCell">
    <xdr:from>
      <xdr:col>0</xdr:col>
      <xdr:colOff>310590</xdr:colOff>
      <xdr:row>71</xdr:row>
      <xdr:rowOff>11206</xdr:rowOff>
    </xdr:from>
    <xdr:to>
      <xdr:col>7</xdr:col>
      <xdr:colOff>102124</xdr:colOff>
      <xdr:row>76</xdr:row>
      <xdr:rowOff>140918</xdr:rowOff>
    </xdr:to>
    <xdr:pic>
      <xdr:nvPicPr>
        <xdr:cNvPr id="31" name="Picture 30">
          <a:extLst>
            <a:ext uri="{FF2B5EF4-FFF2-40B4-BE49-F238E27FC236}">
              <a16:creationId xmlns:a16="http://schemas.microsoft.com/office/drawing/2014/main" id="{ABAC9DA7-DEA3-110F-AD6E-B4217BE3ACA6}"/>
            </a:ext>
          </a:extLst>
        </xdr:cNvPr>
        <xdr:cNvPicPr>
          <a:picLocks noChangeAspect="1"/>
        </xdr:cNvPicPr>
      </xdr:nvPicPr>
      <xdr:blipFill>
        <a:blip xmlns:r="http://schemas.openxmlformats.org/officeDocument/2006/relationships" r:embed="rId22"/>
        <a:stretch>
          <a:fillRect/>
        </a:stretch>
      </xdr:blipFill>
      <xdr:spPr>
        <a:xfrm>
          <a:off x="310590" y="4101353"/>
          <a:ext cx="3867300" cy="1029357"/>
        </a:xfrm>
        <a:prstGeom prst="rect">
          <a:avLst/>
        </a:prstGeom>
      </xdr:spPr>
    </xdr:pic>
    <xdr:clientData/>
  </xdr:twoCellAnchor>
  <xdr:twoCellAnchor editAs="oneCell">
    <xdr:from>
      <xdr:col>0</xdr:col>
      <xdr:colOff>4221</xdr:colOff>
      <xdr:row>65</xdr:row>
      <xdr:rowOff>22412</xdr:rowOff>
    </xdr:from>
    <xdr:to>
      <xdr:col>6</xdr:col>
      <xdr:colOff>302558</xdr:colOff>
      <xdr:row>96</xdr:row>
      <xdr:rowOff>114271</xdr:rowOff>
    </xdr:to>
    <xdr:pic>
      <xdr:nvPicPr>
        <xdr:cNvPr id="32" name="Picture 31">
          <a:extLst>
            <a:ext uri="{FF2B5EF4-FFF2-40B4-BE49-F238E27FC236}">
              <a16:creationId xmlns:a16="http://schemas.microsoft.com/office/drawing/2014/main" id="{84235D2A-8065-7290-D565-68ED8EBA8951}"/>
            </a:ext>
          </a:extLst>
        </xdr:cNvPr>
        <xdr:cNvPicPr>
          <a:picLocks noChangeAspect="1"/>
        </xdr:cNvPicPr>
      </xdr:nvPicPr>
      <xdr:blipFill>
        <a:blip xmlns:r="http://schemas.openxmlformats.org/officeDocument/2006/relationships" r:embed="rId23"/>
        <a:stretch>
          <a:fillRect/>
        </a:stretch>
      </xdr:blipFill>
      <xdr:spPr>
        <a:xfrm>
          <a:off x="4221" y="3036794"/>
          <a:ext cx="3794572" cy="5437065"/>
        </a:xfrm>
        <a:prstGeom prst="rect">
          <a:avLst/>
        </a:prstGeom>
      </xdr:spPr>
    </xdr:pic>
    <xdr:clientData/>
  </xdr:twoCellAnchor>
  <xdr:twoCellAnchor editAs="oneCell">
    <xdr:from>
      <xdr:col>0</xdr:col>
      <xdr:colOff>0</xdr:colOff>
      <xdr:row>84</xdr:row>
      <xdr:rowOff>71344</xdr:rowOff>
    </xdr:from>
    <xdr:to>
      <xdr:col>7</xdr:col>
      <xdr:colOff>294528</xdr:colOff>
      <xdr:row>94</xdr:row>
      <xdr:rowOff>29898</xdr:rowOff>
    </xdr:to>
    <xdr:pic>
      <xdr:nvPicPr>
        <xdr:cNvPr id="6" name="Picture 32">
          <a:extLst>
            <a:ext uri="{FF2B5EF4-FFF2-40B4-BE49-F238E27FC236}">
              <a16:creationId xmlns:a16="http://schemas.microsoft.com/office/drawing/2014/main" id="{3E0A265C-C10F-28DC-AA34-6DD34A1C8D00}"/>
            </a:ext>
            <a:ext uri="{147F2762-F138-4A5C-976F-8EAC2B608ADB}">
              <a16:predDERef xmlns:a16="http://schemas.microsoft.com/office/drawing/2014/main" pred="{84235D2A-8065-7290-D565-68ED8EBA8951}"/>
            </a:ext>
          </a:extLst>
        </xdr:cNvPr>
        <xdr:cNvPicPr>
          <a:picLocks noChangeAspect="1"/>
        </xdr:cNvPicPr>
      </xdr:nvPicPr>
      <xdr:blipFill>
        <a:blip xmlns:r="http://schemas.openxmlformats.org/officeDocument/2006/relationships" r:embed="rId24"/>
        <a:stretch>
          <a:fillRect/>
        </a:stretch>
      </xdr:blipFill>
      <xdr:spPr>
        <a:xfrm>
          <a:off x="0" y="6380256"/>
          <a:ext cx="4370294" cy="1653817"/>
        </a:xfrm>
        <a:prstGeom prst="rect">
          <a:avLst/>
        </a:prstGeom>
      </xdr:spPr>
    </xdr:pic>
    <xdr:clientData/>
  </xdr:twoCellAnchor>
  <xdr:twoCellAnchor editAs="oneCell">
    <xdr:from>
      <xdr:col>10</xdr:col>
      <xdr:colOff>86472</xdr:colOff>
      <xdr:row>9</xdr:row>
      <xdr:rowOff>41649</xdr:rowOff>
    </xdr:from>
    <xdr:to>
      <xdr:col>15</xdr:col>
      <xdr:colOff>49269</xdr:colOff>
      <xdr:row>14</xdr:row>
      <xdr:rowOff>40839</xdr:rowOff>
    </xdr:to>
    <xdr:pic>
      <xdr:nvPicPr>
        <xdr:cNvPr id="34" name="Picture 33">
          <a:extLst>
            <a:ext uri="{FF2B5EF4-FFF2-40B4-BE49-F238E27FC236}">
              <a16:creationId xmlns:a16="http://schemas.microsoft.com/office/drawing/2014/main" id="{1D990C5D-6B32-ECB8-FC39-9676DB7366DC}"/>
            </a:ext>
          </a:extLst>
        </xdr:cNvPr>
        <xdr:cNvPicPr>
          <a:picLocks noChangeAspect="1"/>
        </xdr:cNvPicPr>
      </xdr:nvPicPr>
      <xdr:blipFill>
        <a:blip xmlns:r="http://schemas.openxmlformats.org/officeDocument/2006/relationships" r:embed="rId25"/>
        <a:stretch>
          <a:fillRect/>
        </a:stretch>
      </xdr:blipFill>
      <xdr:spPr>
        <a:xfrm>
          <a:off x="5409266" y="1868208"/>
          <a:ext cx="2876327" cy="895660"/>
        </a:xfrm>
        <a:prstGeom prst="rect">
          <a:avLst/>
        </a:prstGeom>
      </xdr:spPr>
    </xdr:pic>
    <xdr:clientData/>
  </xdr:twoCellAnchor>
  <xdr:twoCellAnchor editAs="oneCell">
    <xdr:from>
      <xdr:col>10</xdr:col>
      <xdr:colOff>105934</xdr:colOff>
      <xdr:row>15</xdr:row>
      <xdr:rowOff>91446</xdr:rowOff>
    </xdr:from>
    <xdr:to>
      <xdr:col>17</xdr:col>
      <xdr:colOff>276973</xdr:colOff>
      <xdr:row>49</xdr:row>
      <xdr:rowOff>92895</xdr:rowOff>
    </xdr:to>
    <xdr:pic>
      <xdr:nvPicPr>
        <xdr:cNvPr id="35" name="Picture 34">
          <a:extLst>
            <a:ext uri="{FF2B5EF4-FFF2-40B4-BE49-F238E27FC236}">
              <a16:creationId xmlns:a16="http://schemas.microsoft.com/office/drawing/2014/main" id="{79FC9957-2CB0-0799-A26B-4BA8EBC67481}"/>
            </a:ext>
          </a:extLst>
        </xdr:cNvPr>
        <xdr:cNvPicPr>
          <a:picLocks noChangeAspect="1"/>
        </xdr:cNvPicPr>
      </xdr:nvPicPr>
      <xdr:blipFill>
        <a:blip xmlns:r="http://schemas.openxmlformats.org/officeDocument/2006/relationships" r:embed="rId26"/>
        <a:stretch>
          <a:fillRect/>
        </a:stretch>
      </xdr:blipFill>
      <xdr:spPr>
        <a:xfrm>
          <a:off x="5428728" y="2993770"/>
          <a:ext cx="4249980" cy="6097449"/>
        </a:xfrm>
        <a:prstGeom prst="rect">
          <a:avLst/>
        </a:prstGeom>
      </xdr:spPr>
    </xdr:pic>
    <xdr:clientData/>
  </xdr:twoCellAnchor>
  <xdr:twoCellAnchor editAs="oneCell">
    <xdr:from>
      <xdr:col>10</xdr:col>
      <xdr:colOff>284594</xdr:colOff>
      <xdr:row>73</xdr:row>
      <xdr:rowOff>126440</xdr:rowOff>
    </xdr:from>
    <xdr:to>
      <xdr:col>15</xdr:col>
      <xdr:colOff>377826</xdr:colOff>
      <xdr:row>91</xdr:row>
      <xdr:rowOff>47000</xdr:rowOff>
    </xdr:to>
    <xdr:pic>
      <xdr:nvPicPr>
        <xdr:cNvPr id="36" name="Picture 35">
          <a:extLst>
            <a:ext uri="{FF2B5EF4-FFF2-40B4-BE49-F238E27FC236}">
              <a16:creationId xmlns:a16="http://schemas.microsoft.com/office/drawing/2014/main" id="{F5001D8C-341B-DBCB-8862-DB9FC82705A5}"/>
            </a:ext>
          </a:extLst>
        </xdr:cNvPr>
        <xdr:cNvPicPr>
          <a:picLocks noChangeAspect="1"/>
        </xdr:cNvPicPr>
      </xdr:nvPicPr>
      <xdr:blipFill>
        <a:blip xmlns:r="http://schemas.openxmlformats.org/officeDocument/2006/relationships" r:embed="rId27"/>
        <a:stretch>
          <a:fillRect/>
        </a:stretch>
      </xdr:blipFill>
      <xdr:spPr>
        <a:xfrm>
          <a:off x="5607388" y="13539881"/>
          <a:ext cx="3006762" cy="2934942"/>
        </a:xfrm>
        <a:prstGeom prst="rect">
          <a:avLst/>
        </a:prstGeom>
      </xdr:spPr>
    </xdr:pic>
    <xdr:clientData/>
  </xdr:twoCellAnchor>
  <xdr:twoCellAnchor editAs="oneCell">
    <xdr:from>
      <xdr:col>0</xdr:col>
      <xdr:colOff>190500</xdr:colOff>
      <xdr:row>12</xdr:row>
      <xdr:rowOff>33618</xdr:rowOff>
    </xdr:from>
    <xdr:to>
      <xdr:col>7</xdr:col>
      <xdr:colOff>498427</xdr:colOff>
      <xdr:row>18</xdr:row>
      <xdr:rowOff>143996</xdr:rowOff>
    </xdr:to>
    <xdr:pic>
      <xdr:nvPicPr>
        <xdr:cNvPr id="18" name="Picture 17">
          <a:extLst>
            <a:ext uri="{FF2B5EF4-FFF2-40B4-BE49-F238E27FC236}">
              <a16:creationId xmlns:a16="http://schemas.microsoft.com/office/drawing/2014/main" id="{8F6A0EBC-D277-46ED-8A43-967192781EBF}"/>
            </a:ext>
          </a:extLst>
        </xdr:cNvPr>
        <xdr:cNvPicPr>
          <a:picLocks noChangeAspect="1"/>
        </xdr:cNvPicPr>
      </xdr:nvPicPr>
      <xdr:blipFill>
        <a:blip xmlns:r="http://schemas.openxmlformats.org/officeDocument/2006/relationships" r:embed="rId28"/>
        <a:stretch>
          <a:fillRect/>
        </a:stretch>
      </xdr:blipFill>
      <xdr:spPr>
        <a:xfrm>
          <a:off x="190500" y="2398059"/>
          <a:ext cx="4386868" cy="1179793"/>
        </a:xfrm>
        <a:prstGeom prst="rect">
          <a:avLst/>
        </a:prstGeom>
      </xdr:spPr>
    </xdr:pic>
    <xdr:clientData/>
  </xdr:twoCellAnchor>
  <xdr:twoCellAnchor editAs="oneCell">
    <xdr:from>
      <xdr:col>0</xdr:col>
      <xdr:colOff>67236</xdr:colOff>
      <xdr:row>18</xdr:row>
      <xdr:rowOff>104028</xdr:rowOff>
    </xdr:from>
    <xdr:to>
      <xdr:col>6</xdr:col>
      <xdr:colOff>540012</xdr:colOff>
      <xdr:row>36</xdr:row>
      <xdr:rowOff>126704</xdr:rowOff>
    </xdr:to>
    <xdr:pic>
      <xdr:nvPicPr>
        <xdr:cNvPr id="19" name="Picture 18">
          <a:extLst>
            <a:ext uri="{FF2B5EF4-FFF2-40B4-BE49-F238E27FC236}">
              <a16:creationId xmlns:a16="http://schemas.microsoft.com/office/drawing/2014/main" id="{61729FB1-194F-4D90-E88B-577D07AB7723}"/>
            </a:ext>
          </a:extLst>
        </xdr:cNvPr>
        <xdr:cNvPicPr>
          <a:picLocks noChangeAspect="1"/>
        </xdr:cNvPicPr>
      </xdr:nvPicPr>
      <xdr:blipFill>
        <a:blip xmlns:r="http://schemas.openxmlformats.org/officeDocument/2006/relationships" r:embed="rId29"/>
        <a:stretch>
          <a:fillRect/>
        </a:stretch>
      </xdr:blipFill>
      <xdr:spPr>
        <a:xfrm>
          <a:off x="67236" y="3544234"/>
          <a:ext cx="3975361" cy="3249970"/>
        </a:xfrm>
        <a:prstGeom prst="rect">
          <a:avLst/>
        </a:prstGeom>
      </xdr:spPr>
    </xdr:pic>
    <xdr:clientData/>
  </xdr:twoCellAnchor>
  <xdr:twoCellAnchor editAs="oneCell">
    <xdr:from>
      <xdr:col>0</xdr:col>
      <xdr:colOff>0</xdr:colOff>
      <xdr:row>37</xdr:row>
      <xdr:rowOff>56029</xdr:rowOff>
    </xdr:from>
    <xdr:to>
      <xdr:col>7</xdr:col>
      <xdr:colOff>219262</xdr:colOff>
      <xdr:row>49</xdr:row>
      <xdr:rowOff>7334</xdr:rowOff>
    </xdr:to>
    <xdr:pic>
      <xdr:nvPicPr>
        <xdr:cNvPr id="21" name="Picture 20">
          <a:extLst>
            <a:ext uri="{FF2B5EF4-FFF2-40B4-BE49-F238E27FC236}">
              <a16:creationId xmlns:a16="http://schemas.microsoft.com/office/drawing/2014/main" id="{F0045ED8-250B-D609-4F8C-A6FFB8D14065}"/>
            </a:ext>
          </a:extLst>
        </xdr:cNvPr>
        <xdr:cNvPicPr>
          <a:picLocks noChangeAspect="1"/>
        </xdr:cNvPicPr>
      </xdr:nvPicPr>
      <xdr:blipFill>
        <a:blip xmlns:r="http://schemas.openxmlformats.org/officeDocument/2006/relationships" r:embed="rId30"/>
        <a:stretch>
          <a:fillRect/>
        </a:stretch>
      </xdr:blipFill>
      <xdr:spPr>
        <a:xfrm>
          <a:off x="0" y="6902823"/>
          <a:ext cx="4291853" cy="21028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91440</xdr:colOff>
      <xdr:row>1</xdr:row>
      <xdr:rowOff>0</xdr:rowOff>
    </xdr:from>
    <xdr:to>
      <xdr:col>11</xdr:col>
      <xdr:colOff>633556</xdr:colOff>
      <xdr:row>4</xdr:row>
      <xdr:rowOff>306990</xdr:rowOff>
    </xdr:to>
    <xdr:pic>
      <xdr:nvPicPr>
        <xdr:cNvPr id="2" name="Picture 1">
          <a:extLst>
            <a:ext uri="{FF2B5EF4-FFF2-40B4-BE49-F238E27FC236}">
              <a16:creationId xmlns:a16="http://schemas.microsoft.com/office/drawing/2014/main" id="{7DBB09CC-043B-4598-A0B9-1FE7A403D4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5890" y="190500"/>
          <a:ext cx="2161366" cy="1164240"/>
        </a:xfrm>
        <a:prstGeom prst="rect">
          <a:avLst/>
        </a:prstGeom>
      </xdr:spPr>
    </xdr:pic>
    <xdr:clientData/>
  </xdr:twoCellAnchor>
  <xdr:twoCellAnchor editAs="oneCell">
    <xdr:from>
      <xdr:col>7</xdr:col>
      <xdr:colOff>163829</xdr:colOff>
      <xdr:row>8</xdr:row>
      <xdr:rowOff>60959</xdr:rowOff>
    </xdr:from>
    <xdr:to>
      <xdr:col>7</xdr:col>
      <xdr:colOff>722629</xdr:colOff>
      <xdr:row>10</xdr:row>
      <xdr:rowOff>152399</xdr:rowOff>
    </xdr:to>
    <xdr:pic>
      <xdr:nvPicPr>
        <xdr:cNvPr id="3" name="Picture 2">
          <a:extLst>
            <a:ext uri="{FF2B5EF4-FFF2-40B4-BE49-F238E27FC236}">
              <a16:creationId xmlns:a16="http://schemas.microsoft.com/office/drawing/2014/main" id="{951F3F41-71B4-4CBA-8C11-B5C8194EEE30}"/>
            </a:ext>
          </a:extLst>
        </xdr:cNvPr>
        <xdr:cNvPicPr>
          <a:picLocks noChangeAspect="1"/>
        </xdr:cNvPicPr>
      </xdr:nvPicPr>
      <xdr:blipFill>
        <a:blip xmlns:r="http://schemas.openxmlformats.org/officeDocument/2006/relationships" r:embed="rId2"/>
        <a:stretch>
          <a:fillRect/>
        </a:stretch>
      </xdr:blipFill>
      <xdr:spPr>
        <a:xfrm>
          <a:off x="7479029" y="2632709"/>
          <a:ext cx="558800" cy="472440"/>
        </a:xfrm>
        <a:prstGeom prst="rect">
          <a:avLst/>
        </a:prstGeom>
      </xdr:spPr>
    </xdr:pic>
    <xdr:clientData/>
  </xdr:twoCellAnchor>
  <xdr:twoCellAnchor editAs="oneCell">
    <xdr:from>
      <xdr:col>7</xdr:col>
      <xdr:colOff>222165</xdr:colOff>
      <xdr:row>17</xdr:row>
      <xdr:rowOff>15239</xdr:rowOff>
    </xdr:from>
    <xdr:to>
      <xdr:col>7</xdr:col>
      <xdr:colOff>673183</xdr:colOff>
      <xdr:row>19</xdr:row>
      <xdr:rowOff>99059</xdr:rowOff>
    </xdr:to>
    <xdr:pic>
      <xdr:nvPicPr>
        <xdr:cNvPr id="4" name="Picture 3">
          <a:extLst>
            <a:ext uri="{FF2B5EF4-FFF2-40B4-BE49-F238E27FC236}">
              <a16:creationId xmlns:a16="http://schemas.microsoft.com/office/drawing/2014/main" id="{CCC077E4-2899-4058-B10C-51A79D4395F0}"/>
            </a:ext>
          </a:extLst>
        </xdr:cNvPr>
        <xdr:cNvPicPr>
          <a:picLocks noChangeAspect="1"/>
        </xdr:cNvPicPr>
      </xdr:nvPicPr>
      <xdr:blipFill>
        <a:blip xmlns:r="http://schemas.openxmlformats.org/officeDocument/2006/relationships" r:embed="rId3"/>
        <a:stretch>
          <a:fillRect/>
        </a:stretch>
      </xdr:blipFill>
      <xdr:spPr>
        <a:xfrm>
          <a:off x="7537365" y="4291964"/>
          <a:ext cx="451018" cy="455295"/>
        </a:xfrm>
        <a:prstGeom prst="rect">
          <a:avLst/>
        </a:prstGeom>
      </xdr:spPr>
    </xdr:pic>
    <xdr:clientData/>
  </xdr:twoCellAnchor>
  <xdr:twoCellAnchor editAs="oneCell">
    <xdr:from>
      <xdr:col>7</xdr:col>
      <xdr:colOff>84454</xdr:colOff>
      <xdr:row>14</xdr:row>
      <xdr:rowOff>30479</xdr:rowOff>
    </xdr:from>
    <xdr:to>
      <xdr:col>7</xdr:col>
      <xdr:colOff>802004</xdr:colOff>
      <xdr:row>16</xdr:row>
      <xdr:rowOff>134619</xdr:rowOff>
    </xdr:to>
    <xdr:pic>
      <xdr:nvPicPr>
        <xdr:cNvPr id="5" name="Picture 4">
          <a:extLst>
            <a:ext uri="{FF2B5EF4-FFF2-40B4-BE49-F238E27FC236}">
              <a16:creationId xmlns:a16="http://schemas.microsoft.com/office/drawing/2014/main" id="{118E98AB-6CAE-497B-A463-D6E672A911FF}"/>
            </a:ext>
          </a:extLst>
        </xdr:cNvPr>
        <xdr:cNvPicPr>
          <a:picLocks noChangeAspect="1"/>
        </xdr:cNvPicPr>
      </xdr:nvPicPr>
      <xdr:blipFill>
        <a:blip xmlns:r="http://schemas.openxmlformats.org/officeDocument/2006/relationships" r:embed="rId4"/>
        <a:stretch>
          <a:fillRect/>
        </a:stretch>
      </xdr:blipFill>
      <xdr:spPr>
        <a:xfrm>
          <a:off x="7399654" y="3745229"/>
          <a:ext cx="717550" cy="485140"/>
        </a:xfrm>
        <a:prstGeom prst="rect">
          <a:avLst/>
        </a:prstGeom>
      </xdr:spPr>
    </xdr:pic>
    <xdr:clientData/>
  </xdr:twoCellAnchor>
  <xdr:twoCellAnchor editAs="oneCell">
    <xdr:from>
      <xdr:col>7</xdr:col>
      <xdr:colOff>103337</xdr:colOff>
      <xdr:row>11</xdr:row>
      <xdr:rowOff>45719</xdr:rowOff>
    </xdr:from>
    <xdr:to>
      <xdr:col>7</xdr:col>
      <xdr:colOff>785661</xdr:colOff>
      <xdr:row>13</xdr:row>
      <xdr:rowOff>139699</xdr:rowOff>
    </xdr:to>
    <xdr:pic>
      <xdr:nvPicPr>
        <xdr:cNvPr id="6" name="Picture 5">
          <a:extLst>
            <a:ext uri="{FF2B5EF4-FFF2-40B4-BE49-F238E27FC236}">
              <a16:creationId xmlns:a16="http://schemas.microsoft.com/office/drawing/2014/main" id="{323A6046-6B6A-4CF4-8AE8-7B8F33D3C8ED}"/>
            </a:ext>
          </a:extLst>
        </xdr:cNvPr>
        <xdr:cNvPicPr>
          <a:picLocks noChangeAspect="1"/>
        </xdr:cNvPicPr>
      </xdr:nvPicPr>
      <xdr:blipFill>
        <a:blip xmlns:r="http://schemas.openxmlformats.org/officeDocument/2006/relationships" r:embed="rId5"/>
        <a:stretch>
          <a:fillRect/>
        </a:stretch>
      </xdr:blipFill>
      <xdr:spPr>
        <a:xfrm>
          <a:off x="7418537" y="3188969"/>
          <a:ext cx="682324" cy="474980"/>
        </a:xfrm>
        <a:prstGeom prst="rect">
          <a:avLst/>
        </a:prstGeom>
      </xdr:spPr>
    </xdr:pic>
    <xdr:clientData/>
  </xdr:twoCellAnchor>
  <xdr:twoCellAnchor editAs="oneCell">
    <xdr:from>
      <xdr:col>7</xdr:col>
      <xdr:colOff>234223</xdr:colOff>
      <xdr:row>20</xdr:row>
      <xdr:rowOff>0</xdr:rowOff>
    </xdr:from>
    <xdr:to>
      <xdr:col>7</xdr:col>
      <xdr:colOff>672555</xdr:colOff>
      <xdr:row>22</xdr:row>
      <xdr:rowOff>99060</xdr:rowOff>
    </xdr:to>
    <xdr:pic>
      <xdr:nvPicPr>
        <xdr:cNvPr id="7" name="Picture 6">
          <a:extLst>
            <a:ext uri="{FF2B5EF4-FFF2-40B4-BE49-F238E27FC236}">
              <a16:creationId xmlns:a16="http://schemas.microsoft.com/office/drawing/2014/main" id="{56F08E08-D711-43D6-809D-A2E322094C22}"/>
            </a:ext>
          </a:extLst>
        </xdr:cNvPr>
        <xdr:cNvPicPr>
          <a:picLocks noChangeAspect="1"/>
        </xdr:cNvPicPr>
      </xdr:nvPicPr>
      <xdr:blipFill>
        <a:blip xmlns:r="http://schemas.openxmlformats.org/officeDocument/2006/relationships" r:embed="rId6"/>
        <a:stretch>
          <a:fillRect/>
        </a:stretch>
      </xdr:blipFill>
      <xdr:spPr>
        <a:xfrm>
          <a:off x="7549423" y="4838700"/>
          <a:ext cx="438332" cy="4610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6350</xdr:colOff>
      <xdr:row>2</xdr:row>
      <xdr:rowOff>234950</xdr:rowOff>
    </xdr:from>
    <xdr:to>
      <xdr:col>10</xdr:col>
      <xdr:colOff>333375</xdr:colOff>
      <xdr:row>8</xdr:row>
      <xdr:rowOff>234950</xdr:rowOff>
    </xdr:to>
    <xdr:sp macro="" textlink="">
      <xdr:nvSpPr>
        <xdr:cNvPr id="2" name="TextBox 1">
          <a:extLst>
            <a:ext uri="{FF2B5EF4-FFF2-40B4-BE49-F238E27FC236}">
              <a16:creationId xmlns:a16="http://schemas.microsoft.com/office/drawing/2014/main" id="{DB7DF16A-CE4B-F229-ACF2-9D9311092DE5}"/>
            </a:ext>
          </a:extLst>
        </xdr:cNvPr>
        <xdr:cNvSpPr txBox="1"/>
      </xdr:nvSpPr>
      <xdr:spPr>
        <a:xfrm>
          <a:off x="6483350" y="796925"/>
          <a:ext cx="4346575" cy="1590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none">
              <a:solidFill>
                <a:srgbClr val="001489"/>
              </a:solidFill>
            </a:rPr>
            <a:t>3.10.5 Variable (Speed)</a:t>
          </a:r>
          <a:r>
            <a:rPr lang="en-US" sz="1100" u="none" baseline="0">
              <a:solidFill>
                <a:srgbClr val="001489"/>
              </a:solidFill>
            </a:rPr>
            <a:t> </a:t>
          </a:r>
          <a:r>
            <a:rPr lang="en-US" sz="1100" u="none">
              <a:solidFill>
                <a:srgbClr val="001489"/>
              </a:solidFill>
            </a:rPr>
            <a:t>Frequency Drive</a:t>
          </a:r>
          <a:r>
            <a:rPr lang="en-US" sz="1100" u="none" baseline="0">
              <a:solidFill>
                <a:srgbClr val="001489"/>
              </a:solidFill>
            </a:rPr>
            <a:t> Air Compressor </a:t>
          </a:r>
        </a:p>
        <a:p>
          <a:endParaRPr lang="en-US" sz="1100" u="none" baseline="0">
            <a:solidFill>
              <a:srgbClr val="001489"/>
            </a:solidFill>
          </a:endParaRPr>
        </a:p>
        <a:p>
          <a:r>
            <a:rPr lang="en-US" sz="1100" i="1" u="none">
              <a:solidFill>
                <a:srgbClr val="001489"/>
              </a:solidFill>
            </a:rPr>
            <a:t>Eligibility</a:t>
          </a:r>
        </a:p>
        <a:p>
          <a:r>
            <a:rPr lang="en-US" sz="1100">
              <a:solidFill>
                <a:srgbClr val="001489"/>
              </a:solidFill>
            </a:rPr>
            <a:t>This measure applies</a:t>
          </a:r>
          <a:r>
            <a:rPr lang="en-US" sz="1100" baseline="0">
              <a:solidFill>
                <a:srgbClr val="001489"/>
              </a:solidFill>
            </a:rPr>
            <a:t> to a </a:t>
          </a:r>
          <a:r>
            <a:rPr lang="en-US" sz="1100">
              <a:solidFill>
                <a:srgbClr val="001489"/>
              </a:solidFill>
            </a:rPr>
            <a:t>new or retrofit air compressor</a:t>
          </a:r>
          <a:r>
            <a:rPr lang="en-US" sz="1100" baseline="0">
              <a:solidFill>
                <a:srgbClr val="001489"/>
              </a:solidFill>
            </a:rPr>
            <a:t> (</a:t>
          </a:r>
          <a:r>
            <a:rPr lang="en-US" sz="1100">
              <a:solidFill>
                <a:srgbClr val="001489"/>
              </a:solidFill>
            </a:rPr>
            <a:t>≤ 40 HP) having variable speed drive</a:t>
          </a:r>
          <a:r>
            <a:rPr lang="en-US" sz="1100" baseline="0">
              <a:solidFill>
                <a:srgbClr val="001489"/>
              </a:solidFill>
            </a:rPr>
            <a:t> </a:t>
          </a:r>
          <a:r>
            <a:rPr lang="en-US" sz="1100">
              <a:solidFill>
                <a:srgbClr val="001489"/>
              </a:solidFill>
            </a:rPr>
            <a:t>control. Projects involving compressors larger than 40 HP are custom projects</a:t>
          </a:r>
          <a:r>
            <a:rPr lang="en-US" sz="1100" baseline="0">
              <a:solidFill>
                <a:srgbClr val="001489"/>
              </a:solidFill>
            </a:rPr>
            <a:t>.</a:t>
          </a:r>
          <a:endParaRPr lang="en-US" sz="1100">
            <a:solidFill>
              <a:srgbClr val="001489"/>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463550</xdr:colOff>
      <xdr:row>2</xdr:row>
      <xdr:rowOff>260350</xdr:rowOff>
    </xdr:from>
    <xdr:to>
      <xdr:col>10</xdr:col>
      <xdr:colOff>0</xdr:colOff>
      <xdr:row>10</xdr:row>
      <xdr:rowOff>0</xdr:rowOff>
    </xdr:to>
    <xdr:sp macro="" textlink="">
      <xdr:nvSpPr>
        <xdr:cNvPr id="2" name="TextBox 1">
          <a:extLst>
            <a:ext uri="{FF2B5EF4-FFF2-40B4-BE49-F238E27FC236}">
              <a16:creationId xmlns:a16="http://schemas.microsoft.com/office/drawing/2014/main" id="{8BAB4FAD-B28D-7E1E-5EE6-8FAB1F69FCC8}"/>
            </a:ext>
          </a:extLst>
        </xdr:cNvPr>
        <xdr:cNvSpPr txBox="1"/>
      </xdr:nvSpPr>
      <xdr:spPr>
        <a:xfrm>
          <a:off x="5959475" y="822325"/>
          <a:ext cx="4022725" cy="2178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none">
              <a:solidFill>
                <a:srgbClr val="001489"/>
              </a:solidFill>
            </a:rPr>
            <a:t>3.10.1 Cycling</a:t>
          </a:r>
          <a:r>
            <a:rPr lang="en-US" sz="1100" b="0" u="none" baseline="0">
              <a:solidFill>
                <a:srgbClr val="001489"/>
              </a:solidFill>
            </a:rPr>
            <a:t> Refrigerated Thermal Mass Dryer</a:t>
          </a:r>
        </a:p>
        <a:p>
          <a:endParaRPr lang="en-US" sz="1100" b="0" u="sng">
            <a:solidFill>
              <a:srgbClr val="001489"/>
            </a:solidFill>
          </a:endParaRPr>
        </a:p>
        <a:p>
          <a:r>
            <a:rPr lang="en-US" sz="1100" b="0" i="1" u="none">
              <a:solidFill>
                <a:srgbClr val="001489"/>
              </a:solidFill>
            </a:rPr>
            <a:t>Eligibility:</a:t>
          </a:r>
        </a:p>
        <a:p>
          <a:r>
            <a:rPr lang="en-US" sz="1100">
              <a:solidFill>
                <a:srgbClr val="001489"/>
              </a:solidFill>
            </a:rPr>
            <a:t>This measure is for a cycling refrigerated air dryer with a </a:t>
          </a:r>
          <a:r>
            <a:rPr lang="en-US" sz="1100" u="sng">
              <a:solidFill>
                <a:srgbClr val="001489"/>
              </a:solidFill>
            </a:rPr>
            <a:t>capacity of 600 cfm or below</a:t>
          </a:r>
          <a:r>
            <a:rPr lang="en-US" sz="1100" u="none" baseline="0">
              <a:solidFill>
                <a:srgbClr val="001489"/>
              </a:solidFill>
            </a:rPr>
            <a:t> </a:t>
          </a:r>
          <a:r>
            <a:rPr lang="en-US" sz="1100">
              <a:solidFill>
                <a:srgbClr val="001489"/>
              </a:solidFill>
              <a:latin typeface="+mn-lt"/>
              <a:ea typeface="+mn-ea"/>
              <a:cs typeface="+mn-cs"/>
            </a:rPr>
            <a:t>replacing an existing, functional non-cycling (e.g., continuous) air dryer with a capacity of 600 cfm or below. </a:t>
          </a:r>
        </a:p>
        <a:p>
          <a:endParaRPr lang="en-US" sz="1100">
            <a:solidFill>
              <a:srgbClr val="001489"/>
            </a:solidFill>
          </a:endParaRPr>
        </a:p>
        <a:p>
          <a:r>
            <a:rPr lang="en-US" sz="1100">
              <a:solidFill>
                <a:srgbClr val="001489"/>
              </a:solidFill>
            </a:rPr>
            <a:t>The replacement of desiccant, deliquescent, heat-of-compression, membrane, or other types of dryers falls under the custom incentive program.</a:t>
          </a:r>
        </a:p>
        <a:p>
          <a:endParaRPr lang="en-US" sz="1100">
            <a:solidFill>
              <a:srgbClr val="001489"/>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295275</xdr:colOff>
      <xdr:row>2</xdr:row>
      <xdr:rowOff>333374</xdr:rowOff>
    </xdr:from>
    <xdr:to>
      <xdr:col>12</xdr:col>
      <xdr:colOff>638175</xdr:colOff>
      <xdr:row>11</xdr:row>
      <xdr:rowOff>38100</xdr:rowOff>
    </xdr:to>
    <xdr:sp macro="" textlink="">
      <xdr:nvSpPr>
        <xdr:cNvPr id="2" name="TextBox 1">
          <a:extLst>
            <a:ext uri="{FF2B5EF4-FFF2-40B4-BE49-F238E27FC236}">
              <a16:creationId xmlns:a16="http://schemas.microsoft.com/office/drawing/2014/main" id="{F357DA3C-F6DE-4524-AC9C-8812356B6358}"/>
            </a:ext>
          </a:extLst>
        </xdr:cNvPr>
        <xdr:cNvSpPr txBox="1"/>
      </xdr:nvSpPr>
      <xdr:spPr>
        <a:xfrm>
          <a:off x="12563475" y="895349"/>
          <a:ext cx="4000500" cy="22098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none">
              <a:solidFill>
                <a:srgbClr val="001489"/>
              </a:solidFill>
            </a:rPr>
            <a:t>3.10.2 Air Entraining</a:t>
          </a:r>
          <a:r>
            <a:rPr lang="en-US" sz="1100" b="0" u="none" baseline="0">
              <a:solidFill>
                <a:srgbClr val="001489"/>
              </a:solidFill>
            </a:rPr>
            <a:t> Air Nozzle </a:t>
          </a:r>
        </a:p>
        <a:p>
          <a:endParaRPr lang="en-US" sz="1100" i="1" u="none">
            <a:solidFill>
              <a:srgbClr val="001489"/>
            </a:solidFill>
          </a:endParaRPr>
        </a:p>
        <a:p>
          <a:r>
            <a:rPr lang="en-US" sz="1100" i="1" u="none">
              <a:solidFill>
                <a:srgbClr val="001489"/>
              </a:solidFill>
            </a:rPr>
            <a:t>Eligibility:</a:t>
          </a:r>
        </a:p>
        <a:p>
          <a:r>
            <a:rPr lang="en-US" sz="1100" u="none">
              <a:solidFill>
                <a:srgbClr val="001489"/>
              </a:solidFill>
            </a:rPr>
            <a:t>This measure is targeted to compressed air equipment that uses stationary air nozzles in a production application with an open copper tube of 1/8” or 1/4” orifice diameter.</a:t>
          </a:r>
        </a:p>
        <a:p>
          <a:endParaRPr lang="en-US" sz="1100" i="1" u="none">
            <a:solidFill>
              <a:srgbClr val="001489"/>
            </a:solidFill>
          </a:endParaRPr>
        </a:p>
        <a:p>
          <a:r>
            <a:rPr lang="en-US" sz="1100" i="0" u="none">
              <a:solidFill>
                <a:srgbClr val="001489"/>
              </a:solidFill>
            </a:rPr>
            <a:t>Energy efficient nozzes must replace an inefficient, non-air entraining air</a:t>
          </a:r>
          <a:r>
            <a:rPr lang="en-US" sz="1100" i="0" u="none" baseline="0">
              <a:solidFill>
                <a:srgbClr val="001489"/>
              </a:solidFill>
            </a:rPr>
            <a:t> nozzle </a:t>
          </a:r>
          <a:r>
            <a:rPr lang="en-US" sz="1100" i="0" u="none">
              <a:solidFill>
                <a:srgbClr val="001489"/>
              </a:solidFill>
            </a:rPr>
            <a:t>with an air-entraining air nozzle that uses </a:t>
          </a:r>
          <a:r>
            <a:rPr lang="en-US" sz="1100" i="0" u="sng">
              <a:solidFill>
                <a:srgbClr val="001489"/>
              </a:solidFill>
            </a:rPr>
            <a:t>less than 15 CFM at 100 psi</a:t>
          </a:r>
          <a:r>
            <a:rPr lang="en-US" sz="1100" i="0" u="none">
              <a:solidFill>
                <a:srgbClr val="001489"/>
              </a:solidFill>
            </a:rPr>
            <a:t> in industrial applications.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95250</xdr:colOff>
      <xdr:row>5</xdr:row>
      <xdr:rowOff>0</xdr:rowOff>
    </xdr:from>
    <xdr:to>
      <xdr:col>13</xdr:col>
      <xdr:colOff>38100</xdr:colOff>
      <xdr:row>12</xdr:row>
      <xdr:rowOff>306917</xdr:rowOff>
    </xdr:to>
    <xdr:sp macro="" textlink="">
      <xdr:nvSpPr>
        <xdr:cNvPr id="2" name="TextBox 1">
          <a:extLst>
            <a:ext uri="{FF2B5EF4-FFF2-40B4-BE49-F238E27FC236}">
              <a16:creationId xmlns:a16="http://schemas.microsoft.com/office/drawing/2014/main" id="{0D8BB630-5C7C-4F32-8A79-BBB05E0B8ED3}"/>
            </a:ext>
          </a:extLst>
        </xdr:cNvPr>
        <xdr:cNvSpPr txBox="1"/>
      </xdr:nvSpPr>
      <xdr:spPr>
        <a:xfrm>
          <a:off x="5736167" y="1238250"/>
          <a:ext cx="3879850" cy="2159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rgbClr val="001489"/>
              </a:solidFill>
              <a:effectLst/>
              <a:latin typeface="+mn-lt"/>
              <a:ea typeface="+mn-ea"/>
              <a:cs typeface="+mn-cs"/>
            </a:rPr>
            <a:t>3.10.3 No-Loss Condensate</a:t>
          </a:r>
          <a:r>
            <a:rPr lang="en-US" sz="1100" b="0" baseline="0">
              <a:solidFill>
                <a:srgbClr val="001489"/>
              </a:solidFill>
              <a:effectLst/>
              <a:latin typeface="+mn-lt"/>
              <a:ea typeface="+mn-ea"/>
              <a:cs typeface="+mn-cs"/>
            </a:rPr>
            <a:t> Drains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u="sng" baseline="0">
            <a:solidFill>
              <a:srgbClr val="001489"/>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u="none">
              <a:solidFill>
                <a:srgbClr val="001489"/>
              </a:solidFill>
            </a:rPr>
            <a:t>Eligibility:</a:t>
          </a:r>
        </a:p>
        <a:p>
          <a:r>
            <a:rPr lang="en-US" sz="1100" u="none">
              <a:solidFill>
                <a:srgbClr val="001489"/>
              </a:solidFill>
            </a:rPr>
            <a:t>This measure is targeted for replacement of equipment using</a:t>
          </a:r>
          <a:r>
            <a:rPr lang="en-US" sz="1100" u="none" baseline="0">
              <a:solidFill>
                <a:srgbClr val="001489"/>
              </a:solidFill>
            </a:rPr>
            <a:t> a </a:t>
          </a:r>
          <a:r>
            <a:rPr lang="en-US" sz="1100" u="none">
              <a:solidFill>
                <a:srgbClr val="001489"/>
              </a:solidFill>
            </a:rPr>
            <a:t>timed condensate</a:t>
          </a:r>
          <a:r>
            <a:rPr lang="en-US" sz="1100" u="none" baseline="0">
              <a:solidFill>
                <a:srgbClr val="001489"/>
              </a:solidFill>
            </a:rPr>
            <a:t> </a:t>
          </a:r>
          <a:r>
            <a:rPr lang="en-US" sz="1100" u="none">
              <a:solidFill>
                <a:srgbClr val="001489"/>
              </a:solidFill>
            </a:rPr>
            <a:t>drain that operates on a pre-set schedule via</a:t>
          </a:r>
          <a:r>
            <a:rPr lang="en-US" sz="1100" u="none" baseline="0">
              <a:solidFill>
                <a:srgbClr val="001489"/>
              </a:solidFill>
            </a:rPr>
            <a:t> a solenoid valve and timer</a:t>
          </a:r>
          <a:r>
            <a:rPr lang="en-US" sz="1100" u="none">
              <a:solidFill>
                <a:srgbClr val="001489"/>
              </a:solidFill>
            </a:rPr>
            <a:t>.</a:t>
          </a:r>
        </a:p>
        <a:p>
          <a:endParaRPr lang="en-US" sz="1100" u="none">
            <a:solidFill>
              <a:srgbClr val="001489"/>
            </a:solidFill>
            <a:latin typeface="+mn-lt"/>
            <a:ea typeface="+mn-ea"/>
            <a:cs typeface="+mn-cs"/>
          </a:endParaRPr>
        </a:p>
        <a:p>
          <a:r>
            <a:rPr lang="en-US" sz="1100" u="none">
              <a:solidFill>
                <a:srgbClr val="001489"/>
              </a:solidFill>
              <a:latin typeface="+mn-lt"/>
              <a:ea typeface="+mn-ea"/>
              <a:cs typeface="+mn-cs"/>
            </a:rPr>
            <a:t>The energy efficient No-loss Condensate Drain is contorlled by a sensor that monitors condensate levels and opens only when condensate needs to be drained and is properly sized for the compressed air system.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47625</xdr:colOff>
      <xdr:row>2</xdr:row>
      <xdr:rowOff>247650</xdr:rowOff>
    </xdr:from>
    <xdr:to>
      <xdr:col>9</xdr:col>
      <xdr:colOff>590550</xdr:colOff>
      <xdr:row>15</xdr:row>
      <xdr:rowOff>57150</xdr:rowOff>
    </xdr:to>
    <xdr:sp macro="" textlink="">
      <xdr:nvSpPr>
        <xdr:cNvPr id="2" name="TextBox 1">
          <a:extLst>
            <a:ext uri="{FF2B5EF4-FFF2-40B4-BE49-F238E27FC236}">
              <a16:creationId xmlns:a16="http://schemas.microsoft.com/office/drawing/2014/main" id="{7F1E9CBF-DD83-4A80-A287-BD0DE730A952}"/>
            </a:ext>
          </a:extLst>
        </xdr:cNvPr>
        <xdr:cNvSpPr txBox="1"/>
      </xdr:nvSpPr>
      <xdr:spPr>
        <a:xfrm>
          <a:off x="5619750" y="809625"/>
          <a:ext cx="3905250" cy="2876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none">
              <a:solidFill>
                <a:srgbClr val="001489"/>
              </a:solidFill>
            </a:rPr>
            <a:t>3.10.4 Air Tanks</a:t>
          </a:r>
          <a:r>
            <a:rPr lang="en-US" sz="1100" b="0" u="none" baseline="0">
              <a:solidFill>
                <a:srgbClr val="001489"/>
              </a:solidFill>
            </a:rPr>
            <a:t> for Load/No-Load and Modulation with Blowdown Compressors </a:t>
          </a:r>
        </a:p>
        <a:p>
          <a:endParaRPr lang="en-US" sz="1100" b="0" u="none">
            <a:solidFill>
              <a:srgbClr val="001489"/>
            </a:solidFill>
          </a:endParaRPr>
        </a:p>
        <a:p>
          <a:r>
            <a:rPr lang="en-US" sz="1100" b="0" u="none">
              <a:solidFill>
                <a:srgbClr val="001489"/>
              </a:solidFill>
            </a:rPr>
            <a:t>Eligibility</a:t>
          </a:r>
        </a:p>
        <a:p>
          <a:r>
            <a:rPr lang="en-US" sz="1100" u="none">
              <a:solidFill>
                <a:srgbClr val="001489"/>
              </a:solidFill>
            </a:rPr>
            <a:t>This measure applies to the installation of new air storage</a:t>
          </a:r>
          <a:r>
            <a:rPr lang="en-US" sz="1100" u="none" baseline="0">
              <a:solidFill>
                <a:srgbClr val="001489"/>
              </a:solidFill>
            </a:rPr>
            <a:t> tanks having </a:t>
          </a:r>
          <a:r>
            <a:rPr lang="en-US" sz="1100" u="none">
              <a:solidFill>
                <a:srgbClr val="001489"/>
              </a:solidFill>
            </a:rPr>
            <a:t>pressure/flow controls to load/no load compressors to buffer the air demands on</a:t>
          </a:r>
          <a:r>
            <a:rPr lang="en-US" sz="1100" u="none" baseline="0">
              <a:solidFill>
                <a:srgbClr val="001489"/>
              </a:solidFill>
            </a:rPr>
            <a:t> the compressor and reduce cycling. </a:t>
          </a:r>
        </a:p>
        <a:p>
          <a:endParaRPr lang="en-US" sz="1100" u="none">
            <a:solidFill>
              <a:srgbClr val="001489"/>
            </a:solidFill>
          </a:endParaRPr>
        </a:p>
        <a:p>
          <a:r>
            <a:rPr lang="en-US" sz="1100" u="none">
              <a:solidFill>
                <a:srgbClr val="001489"/>
              </a:solidFill>
            </a:rPr>
            <a:t>The high efficiency equipment is a </a:t>
          </a:r>
          <a:r>
            <a:rPr lang="en-US" sz="1100" u="none">
              <a:solidFill>
                <a:srgbClr val="001489"/>
              </a:solidFill>
              <a:latin typeface="+mn-lt"/>
              <a:ea typeface="+mn-ea"/>
              <a:cs typeface="+mn-cs"/>
            </a:rPr>
            <a:t>load/</a:t>
          </a:r>
          <a:r>
            <a:rPr lang="en-US" sz="1100" u="none">
              <a:solidFill>
                <a:srgbClr val="001489"/>
              </a:solidFill>
            </a:rPr>
            <a:t>no load compressor or a modulating</a:t>
          </a:r>
          <a:r>
            <a:rPr lang="en-US" sz="1100" u="none" baseline="0">
              <a:solidFill>
                <a:srgbClr val="001489"/>
              </a:solidFill>
            </a:rPr>
            <a:t> compressor with blowdown having a </a:t>
          </a:r>
          <a:r>
            <a:rPr lang="en-US" sz="1100" u="none">
              <a:solidFill>
                <a:srgbClr val="001489"/>
              </a:solidFill>
            </a:rPr>
            <a:t>minimum storage ratio of 4 gallons of storage per system</a:t>
          </a:r>
          <a:r>
            <a:rPr lang="en-US" sz="1100" u="none" baseline="0">
              <a:solidFill>
                <a:srgbClr val="001489"/>
              </a:solidFill>
            </a:rPr>
            <a:t> CFM capacity</a:t>
          </a:r>
          <a:r>
            <a:rPr lang="en-US" sz="1100" u="none">
              <a:solidFill>
                <a:srgbClr val="001489"/>
              </a:solidFill>
            </a:rPr>
            <a:t>.</a:t>
          </a:r>
        </a:p>
      </xdr:txBody>
    </xdr:sp>
    <xdr:clientData/>
  </xdr:twoCellAnchor>
</xdr:wsDr>
</file>

<file path=xl/persons/person.xml><?xml version="1.0" encoding="utf-8"?>
<personList xmlns="http://schemas.microsoft.com/office/spreadsheetml/2018/threadedcomments" xmlns:x="http://schemas.openxmlformats.org/spreadsheetml/2006/main">
  <person displayName="Jeannie Sikora" id="{22ACFD4D-71B1-49A6-AD84-2FD979C7DD62}" userId="S::jeannie.sikora@clearesult.com::97b2c4d9-6a75-466a-840c-18e3f9d51745" providerId="AD"/>
  <person displayName="Erica Heuthorst" id="{1ED6D0E0-9B26-4163-B7E4-C0D218FCC352}" userId="S::erica.heuthorst@clearesult.com::e7d55c10-807e-4ce8-99fe-0f64b2e3bc05" providerId="AD"/>
</personList>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Concourse">
  <a:themeElements>
    <a:clrScheme name="CLEAResult">
      <a:dk1>
        <a:sysClr val="windowText" lastClr="000000"/>
      </a:dk1>
      <a:lt1>
        <a:sysClr val="window" lastClr="FFFFFF"/>
      </a:lt1>
      <a:dk2>
        <a:srgbClr val="404040"/>
      </a:dk2>
      <a:lt2>
        <a:srgbClr val="EFE9E5"/>
      </a:lt2>
      <a:accent1>
        <a:srgbClr val="F50000"/>
      </a:accent1>
      <a:accent2>
        <a:srgbClr val="054B56"/>
      </a:accent2>
      <a:accent3>
        <a:srgbClr val="007299"/>
      </a:accent3>
      <a:accent4>
        <a:srgbClr val="92B7BC"/>
      </a:accent4>
      <a:accent5>
        <a:srgbClr val="F4CE00"/>
      </a:accent5>
      <a:accent6>
        <a:srgbClr val="EFE9E5"/>
      </a:accent6>
      <a:hlink>
        <a:srgbClr val="44B9E8"/>
      </a:hlink>
      <a:folHlink>
        <a:srgbClr val="44B9E8"/>
      </a:folHlink>
    </a:clrScheme>
    <a:fontScheme name="CLEAResult">
      <a:majorFont>
        <a:latin typeface="Arial"/>
        <a:ea typeface=""/>
        <a:cs typeface=""/>
      </a:majorFont>
      <a:minorFont>
        <a:latin typeface="Arial"/>
        <a:ea typeface=""/>
        <a:cs typeface=""/>
      </a:minorFont>
    </a:fontScheme>
    <a:fmtScheme name="Concourse">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9525" cap="flat" cmpd="sng" algn="ctr">
          <a:solidFill>
            <a:schemeClr val="phClr"/>
          </a:solidFill>
          <a:prstDash val="solid"/>
        </a:ln>
        <a:ln w="55000" cap="flat" cmpd="thickThin" algn="ctr">
          <a:solidFill>
            <a:schemeClr val="phClr"/>
          </a:solidFill>
          <a:prstDash val="solid"/>
        </a:ln>
        <a:ln w="63500" cap="flat" cmpd="thickThin"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fov="0">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gradFill rotWithShape="1">
          <a:gsLst>
            <a:gs pos="0">
              <a:schemeClr val="phClr">
                <a:tint val="55000"/>
                <a:satMod val="300000"/>
              </a:schemeClr>
            </a:gs>
            <a:gs pos="40000">
              <a:schemeClr val="phClr">
                <a:tint val="65000"/>
                <a:satMod val="300000"/>
              </a:schemeClr>
            </a:gs>
            <a:gs pos="100000">
              <a:schemeClr val="phClr">
                <a:shade val="65000"/>
                <a:satMod val="300000"/>
              </a:schemeClr>
            </a:gs>
          </a:gsLst>
          <a:path path="circle">
            <a:fillToRect l="65000" b="98000"/>
          </a:path>
        </a:gradFill>
        <a:blipFill>
          <a:blip xmlns:r="http://schemas.openxmlformats.org/officeDocument/2006/relationships" r:embed="rId1">
            <a:duotone>
              <a:schemeClr val="phClr">
                <a:shade val="60000"/>
                <a:satMod val="110000"/>
              </a:schemeClr>
              <a:schemeClr val="phClr">
                <a:tint val="95000"/>
              </a:schemeClr>
            </a:duotone>
          </a:blip>
          <a:tile tx="0" ty="0" sx="50000" sy="50000" flip="none" algn="tl"/>
        </a:blip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68" dT="2026-03-23T17:09:41.80" personId="{1ED6D0E0-9B26-4163-B7E4-C0D218FCC352}" id="{740D7872-79E9-40BC-A5D0-C895D7F7E7E4}">
    <text>Note that CF values are the same for both Winter and Summer for three of the shifts. This error appeared in Table 3-201 of the PA 2026 TRM issue. Will need updated values for proper savings estimate.</text>
  </threadedComment>
  <threadedComment ref="F102" dT="2026-04-16T20:19:11.72" personId="{22ACFD4D-71B1-49A6-AD84-2FD979C7DD62}" id="{36C36218-A122-4FDD-97D1-DF4D841A9C88}">
    <text>Note: there is a mistake in the TRM, it does not use Winter CF. Update at later date per TC 4/16/26.</text>
  </threadedComment>
  <threadedComment ref="F105" dT="2026-04-16T20:19:11.72" personId="{22ACFD4D-71B1-49A6-AD84-2FD979C7DD62}" id="{6AB8BD48-9E43-41EA-A515-C5AE998CFDFF}">
    <text>Note: there is a mistake in the TRM, it does not use Winter CF. Update at later date per TC 4/16/26.</text>
  </threadedComment>
  <threadedComment ref="F108" dT="2026-04-16T20:42:33.71" personId="{22ACFD4D-71B1-49A6-AD84-2FD979C7DD62}" id="{A070335A-B1EB-4160-A3D2-A4BFD7A446AD}">
    <text>TRM mistake excludes Winter CF. Update when resolved.</text>
  </threadedComment>
  <threadedComment ref="F111" dT="2026-04-17T12:08:21.33" personId="{22ACFD4D-71B1-49A6-AD84-2FD979C7DD62}" id="{E9867722-F9F8-4B53-B3BB-D8D1AAFF84C1}">
    <text>No winter CF leads to reduced kW</text>
  </threadedComment>
</ThreadedComments>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92988-2F4A-425B-939D-C1C7AD9A6A97}">
  <sheetPr codeName="Sheet10">
    <tabColor rgb="FFC00000"/>
  </sheetPr>
  <dimension ref="A1:Z37"/>
  <sheetViews>
    <sheetView showGridLines="0" zoomScale="85" zoomScaleNormal="85" workbookViewId="0">
      <selection activeCell="E7" sqref="E7:E9"/>
    </sheetView>
  </sheetViews>
  <sheetFormatPr defaultRowHeight="14" x14ac:dyDescent="0.3"/>
  <cols>
    <col min="1" max="1" width="3.33203125" customWidth="1"/>
    <col min="2" max="2" width="15.08203125" customWidth="1"/>
    <col min="4" max="4" width="16.83203125" customWidth="1"/>
    <col min="5" max="5" width="12.58203125" customWidth="1"/>
    <col min="6" max="6" width="4.33203125" customWidth="1"/>
    <col min="7" max="7" width="3.5" customWidth="1"/>
    <col min="13" max="13" width="2.5" customWidth="1"/>
    <col min="14" max="14" width="2.75" customWidth="1"/>
    <col min="20" max="20" width="3.08203125" customWidth="1"/>
  </cols>
  <sheetData>
    <row r="1" spans="1:26" ht="46.5" customHeight="1" x14ac:dyDescent="0.3">
      <c r="A1" s="388"/>
      <c r="B1" s="388"/>
      <c r="C1" s="388"/>
      <c r="D1" s="388"/>
      <c r="E1" s="388"/>
      <c r="F1" s="388"/>
      <c r="G1" s="388"/>
      <c r="H1" s="388"/>
      <c r="I1" s="388"/>
      <c r="J1" s="388"/>
      <c r="K1" s="388"/>
      <c r="L1" s="388"/>
      <c r="M1" s="388"/>
      <c r="N1" s="388"/>
      <c r="O1" s="388"/>
      <c r="P1" s="388"/>
      <c r="Q1" s="388"/>
      <c r="R1" s="388"/>
      <c r="S1" s="388"/>
      <c r="T1" s="388"/>
      <c r="U1" s="388"/>
      <c r="V1" s="388"/>
      <c r="W1" s="388"/>
      <c r="X1" s="388"/>
      <c r="Y1" s="388"/>
      <c r="Z1" s="388"/>
    </row>
    <row r="2" spans="1:26" ht="14.5" thickBot="1" x14ac:dyDescent="0.35">
      <c r="H2" s="234"/>
    </row>
    <row r="3" spans="1:26" ht="20.5" customHeight="1" thickBot="1" x14ac:dyDescent="0.35">
      <c r="B3" s="389" t="s">
        <v>0</v>
      </c>
      <c r="C3" s="390"/>
      <c r="D3" s="391"/>
      <c r="E3" s="235" t="s">
        <v>1</v>
      </c>
      <c r="F3" s="234" t="s">
        <v>2</v>
      </c>
      <c r="G3" s="234"/>
      <c r="H3" s="234"/>
    </row>
    <row r="4" spans="1:26" ht="14.5" thickBot="1" x14ac:dyDescent="0.35">
      <c r="G4" s="236"/>
      <c r="H4" s="237"/>
      <c r="I4" s="238"/>
      <c r="J4" s="238"/>
      <c r="K4" s="238"/>
      <c r="L4" s="238"/>
      <c r="M4" s="238"/>
      <c r="N4" s="236"/>
      <c r="O4" s="238"/>
      <c r="P4" s="238"/>
      <c r="Q4" s="238"/>
      <c r="R4" s="238"/>
      <c r="S4" s="238"/>
      <c r="T4" s="239"/>
    </row>
    <row r="5" spans="1:26" x14ac:dyDescent="0.3">
      <c r="B5" s="392" t="s">
        <v>3</v>
      </c>
      <c r="C5" s="393"/>
      <c r="D5" s="394"/>
      <c r="G5" s="240"/>
      <c r="H5" s="395" t="s">
        <v>4</v>
      </c>
      <c r="I5" s="395"/>
      <c r="J5" s="395"/>
      <c r="K5" s="395"/>
      <c r="L5" s="395"/>
      <c r="N5" s="240"/>
      <c r="O5" s="395" t="s">
        <v>5</v>
      </c>
      <c r="P5" s="395"/>
      <c r="Q5" s="395"/>
      <c r="R5" s="395"/>
      <c r="S5" s="395"/>
      <c r="T5" s="241"/>
    </row>
    <row r="6" spans="1:26" ht="14.5" thickBot="1" x14ac:dyDescent="0.35">
      <c r="B6" s="242" t="s">
        <v>6</v>
      </c>
      <c r="C6" s="243" t="s">
        <v>7</v>
      </c>
      <c r="D6" s="244" t="s">
        <v>8</v>
      </c>
      <c r="E6" s="302" t="s">
        <v>9</v>
      </c>
      <c r="G6" s="240"/>
      <c r="H6" s="234" t="s">
        <v>10</v>
      </c>
      <c r="M6" s="234"/>
      <c r="N6" s="245"/>
      <c r="O6" s="234" t="s">
        <v>10</v>
      </c>
      <c r="T6" s="241"/>
    </row>
    <row r="7" spans="1:26" ht="14.5" thickTop="1" x14ac:dyDescent="0.3">
      <c r="B7" s="246" t="s">
        <v>1</v>
      </c>
      <c r="C7" s="321">
        <v>0.1</v>
      </c>
      <c r="D7" s="253">
        <v>0</v>
      </c>
      <c r="E7" t="s">
        <v>11</v>
      </c>
      <c r="G7" s="240"/>
      <c r="H7" s="301"/>
      <c r="I7" s="301"/>
      <c r="J7" s="301"/>
      <c r="K7" s="301"/>
      <c r="L7" s="301"/>
      <c r="N7" s="240"/>
      <c r="T7" s="241"/>
    </row>
    <row r="8" spans="1:26" x14ac:dyDescent="0.3">
      <c r="B8" s="246" t="s">
        <v>12</v>
      </c>
      <c r="C8" s="321">
        <v>0.1</v>
      </c>
      <c r="D8" s="253">
        <v>0</v>
      </c>
      <c r="E8" t="s">
        <v>12</v>
      </c>
      <c r="G8" s="240"/>
      <c r="H8" s="301"/>
      <c r="I8" s="301"/>
      <c r="J8" s="301"/>
      <c r="K8" s="301"/>
      <c r="L8" s="301"/>
      <c r="N8" s="240"/>
      <c r="T8" s="241"/>
    </row>
    <row r="9" spans="1:26" ht="14.5" thickBot="1" x14ac:dyDescent="0.35">
      <c r="B9" s="247" t="s">
        <v>13</v>
      </c>
      <c r="C9" s="254"/>
      <c r="D9" s="255"/>
      <c r="E9" t="s">
        <v>14</v>
      </c>
      <c r="G9" s="240"/>
      <c r="H9" s="301"/>
      <c r="I9" s="301"/>
      <c r="J9" s="301"/>
      <c r="K9" s="301"/>
      <c r="L9" s="301"/>
      <c r="N9" s="240"/>
      <c r="T9" s="241"/>
    </row>
    <row r="10" spans="1:26" x14ac:dyDescent="0.3">
      <c r="G10" s="240"/>
      <c r="H10" s="301"/>
      <c r="I10" s="301"/>
      <c r="J10" s="301"/>
      <c r="K10" s="301"/>
      <c r="L10" s="301"/>
      <c r="N10" s="240"/>
      <c r="T10" s="241"/>
    </row>
    <row r="11" spans="1:26" x14ac:dyDescent="0.3">
      <c r="G11" s="240"/>
      <c r="H11" s="301"/>
      <c r="I11" s="301"/>
      <c r="J11" s="301"/>
      <c r="K11" s="301"/>
      <c r="L11" s="301"/>
      <c r="N11" s="240"/>
      <c r="T11" s="241"/>
    </row>
    <row r="12" spans="1:26" x14ac:dyDescent="0.3">
      <c r="G12" s="240"/>
      <c r="H12" s="301"/>
      <c r="I12" s="301"/>
      <c r="J12" s="301"/>
      <c r="K12" s="301"/>
      <c r="L12" s="301"/>
      <c r="N12" s="240"/>
      <c r="T12" s="241"/>
    </row>
    <row r="13" spans="1:26" x14ac:dyDescent="0.3">
      <c r="G13" s="240"/>
      <c r="H13" s="301"/>
      <c r="I13" s="301"/>
      <c r="J13" s="301"/>
      <c r="K13" s="301"/>
      <c r="L13" s="301"/>
      <c r="N13" s="240"/>
      <c r="T13" s="241"/>
    </row>
    <row r="14" spans="1:26" x14ac:dyDescent="0.3">
      <c r="G14" s="240"/>
      <c r="H14" s="301"/>
      <c r="I14" s="301"/>
      <c r="J14" s="301"/>
      <c r="K14" s="301"/>
      <c r="L14" s="301"/>
      <c r="N14" s="240"/>
      <c r="T14" s="241"/>
    </row>
    <row r="15" spans="1:26" x14ac:dyDescent="0.3">
      <c r="G15" s="240"/>
      <c r="H15" s="301"/>
      <c r="I15" s="301"/>
      <c r="J15" s="301"/>
      <c r="K15" s="301"/>
      <c r="L15" s="301"/>
      <c r="N15" s="240"/>
      <c r="T15" s="241"/>
    </row>
    <row r="16" spans="1:26" x14ac:dyDescent="0.3">
      <c r="G16" s="240"/>
      <c r="H16" s="234" t="s">
        <v>15</v>
      </c>
      <c r="N16" s="240"/>
      <c r="O16" s="234" t="s">
        <v>15</v>
      </c>
      <c r="T16" s="241"/>
    </row>
    <row r="17" spans="7:20" x14ac:dyDescent="0.3">
      <c r="G17" s="240"/>
      <c r="H17" s="248"/>
      <c r="I17" s="248"/>
      <c r="J17" s="248"/>
      <c r="K17" s="248"/>
      <c r="L17" s="248"/>
      <c r="N17" s="240"/>
      <c r="T17" s="241"/>
    </row>
    <row r="18" spans="7:20" x14ac:dyDescent="0.3">
      <c r="G18" s="240"/>
      <c r="H18" s="248"/>
      <c r="I18" s="248"/>
      <c r="J18" s="248"/>
      <c r="K18" s="248"/>
      <c r="L18" s="248"/>
      <c r="N18" s="240"/>
      <c r="T18" s="241"/>
    </row>
    <row r="19" spans="7:20" x14ac:dyDescent="0.3">
      <c r="G19" s="240"/>
      <c r="H19" s="248"/>
      <c r="I19" s="248"/>
      <c r="J19" s="248"/>
      <c r="K19" s="248"/>
      <c r="L19" s="248"/>
      <c r="N19" s="240"/>
      <c r="T19" s="241"/>
    </row>
    <row r="20" spans="7:20" x14ac:dyDescent="0.3">
      <c r="G20" s="240"/>
      <c r="H20" s="248"/>
      <c r="I20" s="248"/>
      <c r="J20" s="248"/>
      <c r="K20" s="248"/>
      <c r="L20" s="248"/>
      <c r="N20" s="240"/>
      <c r="T20" s="241"/>
    </row>
    <row r="21" spans="7:20" x14ac:dyDescent="0.3">
      <c r="G21" s="240"/>
      <c r="H21" s="248"/>
      <c r="I21" s="248"/>
      <c r="J21" s="248"/>
      <c r="K21" s="248"/>
      <c r="L21" s="248"/>
      <c r="N21" s="240"/>
      <c r="T21" s="241"/>
    </row>
    <row r="22" spans="7:20" x14ac:dyDescent="0.3">
      <c r="G22" s="240"/>
      <c r="H22" s="248"/>
      <c r="I22" s="248"/>
      <c r="J22" s="248"/>
      <c r="K22" s="248"/>
      <c r="L22" s="248"/>
      <c r="N22" s="240"/>
      <c r="T22" s="241"/>
    </row>
    <row r="23" spans="7:20" x14ac:dyDescent="0.3">
      <c r="G23" s="240"/>
      <c r="H23" s="248"/>
      <c r="I23" s="248"/>
      <c r="J23" s="248"/>
      <c r="K23" s="248"/>
      <c r="L23" s="248"/>
      <c r="N23" s="240"/>
      <c r="T23" s="241"/>
    </row>
    <row r="24" spans="7:20" x14ac:dyDescent="0.3">
      <c r="G24" s="240"/>
      <c r="H24" s="248"/>
      <c r="I24" s="248"/>
      <c r="J24" s="248"/>
      <c r="K24" s="248"/>
      <c r="L24" s="248"/>
      <c r="N24" s="240"/>
      <c r="T24" s="241"/>
    </row>
    <row r="25" spans="7:20" x14ac:dyDescent="0.3">
      <c r="G25" s="240"/>
      <c r="H25" s="248"/>
      <c r="I25" s="248"/>
      <c r="J25" s="248"/>
      <c r="K25" s="248"/>
      <c r="L25" s="248"/>
      <c r="N25" s="240"/>
      <c r="T25" s="241"/>
    </row>
    <row r="26" spans="7:20" x14ac:dyDescent="0.3">
      <c r="G26" s="240"/>
      <c r="H26" s="234" t="s">
        <v>16</v>
      </c>
      <c r="N26" s="240"/>
      <c r="O26" s="234" t="s">
        <v>16</v>
      </c>
      <c r="T26" s="241"/>
    </row>
    <row r="27" spans="7:20" x14ac:dyDescent="0.3">
      <c r="G27" s="240"/>
      <c r="H27" s="249"/>
      <c r="I27" s="249"/>
      <c r="J27" s="249"/>
      <c r="K27" s="249"/>
      <c r="L27" s="249"/>
      <c r="N27" s="240"/>
      <c r="T27" s="241"/>
    </row>
    <row r="28" spans="7:20" x14ac:dyDescent="0.3">
      <c r="G28" s="240"/>
      <c r="H28" s="249"/>
      <c r="I28" s="249"/>
      <c r="J28" s="249"/>
      <c r="K28" s="249"/>
      <c r="L28" s="249"/>
      <c r="N28" s="240"/>
      <c r="T28" s="241"/>
    </row>
    <row r="29" spans="7:20" x14ac:dyDescent="0.3">
      <c r="G29" s="240"/>
      <c r="H29" s="249"/>
      <c r="I29" s="249"/>
      <c r="J29" s="249"/>
      <c r="K29" s="249"/>
      <c r="L29" s="249"/>
      <c r="N29" s="240"/>
      <c r="T29" s="241"/>
    </row>
    <row r="30" spans="7:20" x14ac:dyDescent="0.3">
      <c r="G30" s="240"/>
      <c r="H30" s="249"/>
      <c r="I30" s="249"/>
      <c r="J30" s="249"/>
      <c r="K30" s="249"/>
      <c r="L30" s="249"/>
      <c r="N30" s="240"/>
      <c r="T30" s="241"/>
    </row>
    <row r="31" spans="7:20" x14ac:dyDescent="0.3">
      <c r="G31" s="240"/>
      <c r="H31" s="249"/>
      <c r="I31" s="249"/>
      <c r="J31" s="249"/>
      <c r="K31" s="249"/>
      <c r="L31" s="249"/>
      <c r="N31" s="240"/>
      <c r="T31" s="241"/>
    </row>
    <row r="32" spans="7:20" x14ac:dyDescent="0.3">
      <c r="G32" s="240"/>
      <c r="H32" s="249"/>
      <c r="I32" s="249"/>
      <c r="J32" s="249"/>
      <c r="K32" s="249"/>
      <c r="L32" s="249"/>
      <c r="N32" s="240"/>
      <c r="T32" s="241"/>
    </row>
    <row r="33" spans="7:20" x14ac:dyDescent="0.3">
      <c r="G33" s="240"/>
      <c r="H33" s="249"/>
      <c r="I33" s="249"/>
      <c r="J33" s="249"/>
      <c r="K33" s="249"/>
      <c r="L33" s="249"/>
      <c r="N33" s="240"/>
      <c r="T33" s="241"/>
    </row>
    <row r="34" spans="7:20" x14ac:dyDescent="0.3">
      <c r="G34" s="240"/>
      <c r="H34" s="249"/>
      <c r="I34" s="249"/>
      <c r="J34" s="249"/>
      <c r="K34" s="249"/>
      <c r="L34" s="249"/>
      <c r="N34" s="240"/>
      <c r="T34" s="241"/>
    </row>
    <row r="35" spans="7:20" x14ac:dyDescent="0.3">
      <c r="G35" s="240"/>
      <c r="H35" s="249"/>
      <c r="I35" s="249"/>
      <c r="J35" s="249"/>
      <c r="K35" s="249"/>
      <c r="L35" s="249"/>
      <c r="N35" s="240"/>
      <c r="T35" s="241"/>
    </row>
    <row r="36" spans="7:20" ht="9" customHeight="1" x14ac:dyDescent="0.3">
      <c r="G36" s="240"/>
      <c r="N36" s="240"/>
      <c r="T36" s="241"/>
    </row>
    <row r="37" spans="7:20" ht="6.65" customHeight="1" x14ac:dyDescent="0.3">
      <c r="G37" s="250"/>
      <c r="H37" s="251"/>
      <c r="I37" s="251"/>
      <c r="J37" s="251"/>
      <c r="K37" s="251"/>
      <c r="L37" s="251"/>
      <c r="M37" s="251"/>
      <c r="N37" s="250"/>
      <c r="O37" s="251"/>
      <c r="P37" s="251"/>
      <c r="Q37" s="251"/>
      <c r="R37" s="251"/>
      <c r="S37" s="251"/>
      <c r="T37" s="252"/>
    </row>
  </sheetData>
  <mergeCells count="9">
    <mergeCell ref="V1:Z1"/>
    <mergeCell ref="B3:D3"/>
    <mergeCell ref="B5:D5"/>
    <mergeCell ref="H5:L5"/>
    <mergeCell ref="O5:S5"/>
    <mergeCell ref="A1:E1"/>
    <mergeCell ref="F1:J1"/>
    <mergeCell ref="K1:P1"/>
    <mergeCell ref="Q1:U1"/>
  </mergeCells>
  <conditionalFormatting sqref="A1:Z1">
    <cfRule type="expression" dxfId="6" priority="1">
      <formula>$E$3="First Energy"</formula>
    </cfRule>
    <cfRule type="expression" dxfId="5" priority="2">
      <formula>$E$3="PECO"</formula>
    </cfRule>
    <cfRule type="expression" dxfId="4" priority="3">
      <formula>$E$3="PPL"</formula>
    </cfRule>
  </conditionalFormatting>
  <dataValidations count="2">
    <dataValidation type="list" allowBlank="1" showInputMessage="1" showErrorMessage="1" sqref="E3" xr:uid="{6B9E44D2-FDC3-474F-8555-F83A3EBEAF6D}">
      <formula1>"PPL, PECO, First Energy"</formula1>
    </dataValidation>
    <dataValidation allowBlank="1" showInputMessage="1" showErrorMessage="1" prompt="Incentives are referenced on the inventory tab, in column AF" sqref="B5:D5" xr:uid="{5C9CD3D1-DFA8-49D0-A46B-605D698AB2B7}"/>
  </dataValidations>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BAA51-0F8C-40EB-92EE-FE37DA4DA987}">
  <sheetPr codeName="Sheet15"/>
  <dimension ref="A1:K11"/>
  <sheetViews>
    <sheetView workbookViewId="0">
      <selection activeCell="A4" sqref="A4"/>
    </sheetView>
  </sheetViews>
  <sheetFormatPr defaultColWidth="9" defaultRowHeight="14" x14ac:dyDescent="0.3"/>
  <cols>
    <col min="1" max="1" width="9" style="256"/>
    <col min="2" max="4" width="13.5" style="256" customWidth="1"/>
    <col min="5" max="6" width="9" style="256"/>
    <col min="7" max="7" width="18.75" style="256" customWidth="1"/>
    <col min="8" max="8" width="19.25" style="256" customWidth="1"/>
    <col min="9" max="9" width="9" style="256"/>
    <col min="10" max="10" width="16.08203125" style="256" customWidth="1"/>
    <col min="11" max="11" width="27.25" style="256" customWidth="1"/>
    <col min="12" max="16384" width="9" style="256"/>
  </cols>
  <sheetData>
    <row r="1" spans="1:11" x14ac:dyDescent="0.3">
      <c r="J1" s="257" t="s">
        <v>414</v>
      </c>
      <c r="K1" s="257"/>
    </row>
    <row r="2" spans="1:11" x14ac:dyDescent="0.3">
      <c r="A2" s="256" t="s">
        <v>415</v>
      </c>
      <c r="B2" s="258" t="s">
        <v>416</v>
      </c>
      <c r="C2" s="258" t="s">
        <v>417</v>
      </c>
      <c r="D2" s="258" t="s">
        <v>418</v>
      </c>
      <c r="E2" s="258" t="s">
        <v>72</v>
      </c>
      <c r="F2" s="258" t="s">
        <v>70</v>
      </c>
      <c r="G2" s="258" t="s">
        <v>419</v>
      </c>
      <c r="H2" s="258" t="s">
        <v>420</v>
      </c>
      <c r="J2" s="268">
        <f>_xlfn.XLOOKUP(A3,$C$7:$C$11,$E$7:$E$11)</f>
        <v>0.1</v>
      </c>
      <c r="K2" s="257" t="s">
        <v>7</v>
      </c>
    </row>
    <row r="3" spans="1:11" x14ac:dyDescent="0.3">
      <c r="A3" s="259">
        <v>46174</v>
      </c>
      <c r="B3" s="258" t="s">
        <v>421</v>
      </c>
      <c r="C3" s="258"/>
      <c r="D3" s="258"/>
      <c r="E3" s="265">
        <v>7.4999999999999997E-2</v>
      </c>
      <c r="F3" s="265">
        <v>250</v>
      </c>
      <c r="G3" s="260"/>
      <c r="H3" s="260"/>
      <c r="J3" s="268">
        <f>_xlfn.XLOOKUP(A3,$C$7:$C$11,$F$7:$F$11)</f>
        <v>0</v>
      </c>
      <c r="K3" s="257" t="s">
        <v>422</v>
      </c>
    </row>
    <row r="4" spans="1:11" x14ac:dyDescent="0.3">
      <c r="B4" s="258" t="s">
        <v>423</v>
      </c>
      <c r="C4" s="258"/>
      <c r="D4" s="258"/>
      <c r="E4" s="265">
        <v>0.05</v>
      </c>
      <c r="F4" s="265">
        <v>200</v>
      </c>
      <c r="G4" s="260"/>
      <c r="H4" s="260"/>
      <c r="J4" s="269">
        <f>_xlfn.XLOOKUP(A3,$C$7:$C$11,$G$7:$G$11)</f>
        <v>0.5</v>
      </c>
      <c r="K4" s="257" t="s">
        <v>424</v>
      </c>
    </row>
    <row r="5" spans="1:11" x14ac:dyDescent="0.3">
      <c r="B5" s="258" t="s">
        <v>425</v>
      </c>
      <c r="C5" s="258"/>
      <c r="D5" s="258"/>
      <c r="E5" s="265">
        <v>0.08</v>
      </c>
      <c r="F5" s="265">
        <v>0</v>
      </c>
      <c r="G5" s="260"/>
      <c r="H5" s="260"/>
      <c r="J5" s="270">
        <f>_xlfn.XLOOKUP(A3,$C$7:$C$11,$H$7:$H$11)</f>
        <v>500000</v>
      </c>
      <c r="K5" s="257" t="s">
        <v>426</v>
      </c>
    </row>
    <row r="6" spans="1:11" x14ac:dyDescent="0.3">
      <c r="B6" s="258" t="s">
        <v>427</v>
      </c>
      <c r="C6" s="258"/>
      <c r="D6" s="258"/>
      <c r="E6" s="265">
        <v>0.1</v>
      </c>
      <c r="F6" s="265">
        <v>0</v>
      </c>
      <c r="G6" s="260"/>
      <c r="H6" s="260"/>
    </row>
    <row r="7" spans="1:11" x14ac:dyDescent="0.3">
      <c r="B7" s="261" t="s">
        <v>428</v>
      </c>
      <c r="C7" s="262">
        <v>46174</v>
      </c>
      <c r="D7" s="262">
        <v>46538</v>
      </c>
      <c r="E7" s="266">
        <v>0.1</v>
      </c>
      <c r="F7" s="266">
        <v>0</v>
      </c>
      <c r="G7" s="264">
        <v>0.5</v>
      </c>
      <c r="H7" s="267">
        <v>500000</v>
      </c>
    </row>
    <row r="8" spans="1:11" x14ac:dyDescent="0.3">
      <c r="B8" s="258" t="s">
        <v>429</v>
      </c>
      <c r="C8" s="263">
        <v>46539</v>
      </c>
      <c r="D8" s="263">
        <v>46904</v>
      </c>
      <c r="E8" s="265" t="s">
        <v>430</v>
      </c>
      <c r="F8" s="265" t="s">
        <v>430</v>
      </c>
      <c r="G8" s="265" t="s">
        <v>430</v>
      </c>
      <c r="H8" s="265" t="s">
        <v>430</v>
      </c>
    </row>
    <row r="9" spans="1:11" x14ac:dyDescent="0.3">
      <c r="B9" s="258" t="s">
        <v>431</v>
      </c>
      <c r="C9" s="263">
        <v>46905</v>
      </c>
      <c r="D9" s="263">
        <v>47269</v>
      </c>
      <c r="E9" s="265" t="s">
        <v>430</v>
      </c>
      <c r="F9" s="265" t="s">
        <v>430</v>
      </c>
      <c r="G9" s="265" t="s">
        <v>430</v>
      </c>
      <c r="H9" s="265" t="s">
        <v>430</v>
      </c>
    </row>
    <row r="10" spans="1:11" x14ac:dyDescent="0.3">
      <c r="B10" s="258" t="s">
        <v>432</v>
      </c>
      <c r="C10" s="263">
        <v>47270</v>
      </c>
      <c r="D10" s="263">
        <v>47634</v>
      </c>
      <c r="E10" s="265" t="s">
        <v>430</v>
      </c>
      <c r="F10" s="265" t="s">
        <v>430</v>
      </c>
      <c r="G10" s="265" t="s">
        <v>430</v>
      </c>
      <c r="H10" s="265" t="s">
        <v>430</v>
      </c>
    </row>
    <row r="11" spans="1:11" x14ac:dyDescent="0.3">
      <c r="B11" s="258" t="s">
        <v>433</v>
      </c>
      <c r="C11" s="263">
        <v>47635</v>
      </c>
      <c r="D11" s="263">
        <v>48000</v>
      </c>
      <c r="E11" s="265" t="s">
        <v>430</v>
      </c>
      <c r="F11" s="265" t="s">
        <v>430</v>
      </c>
      <c r="G11" s="265" t="s">
        <v>430</v>
      </c>
      <c r="H11" s="265" t="s">
        <v>430</v>
      </c>
    </row>
  </sheetData>
  <phoneticPr fontId="8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8" tint="0.59999389629810485"/>
  </sheetPr>
  <dimension ref="B1:K18"/>
  <sheetViews>
    <sheetView zoomScaleNormal="100" workbookViewId="0">
      <selection activeCell="B15" sqref="B15"/>
    </sheetView>
  </sheetViews>
  <sheetFormatPr defaultColWidth="8.58203125" defaultRowHeight="14" x14ac:dyDescent="0.3"/>
  <cols>
    <col min="1" max="1" width="3.58203125" style="57" customWidth="1"/>
    <col min="2" max="2" width="49.08203125" style="57" customWidth="1"/>
    <col min="3" max="3" width="31.25" style="57" customWidth="1"/>
    <col min="4" max="4" width="5" style="57" customWidth="1"/>
    <col min="5" max="5" width="9.58203125" style="57" customWidth="1"/>
    <col min="6" max="16384" width="8.58203125" style="57"/>
  </cols>
  <sheetData>
    <row r="1" spans="2:11" ht="9.75" customHeight="1" x14ac:dyDescent="0.3"/>
    <row r="2" spans="2:11" ht="34.5" customHeight="1" x14ac:dyDescent="0.7">
      <c r="B2" s="439" t="s">
        <v>358</v>
      </c>
      <c r="C2" s="440"/>
      <c r="F2" s="171"/>
      <c r="G2" s="171"/>
      <c r="H2" s="171"/>
      <c r="I2" s="171"/>
      <c r="J2" s="171"/>
      <c r="K2" s="171"/>
    </row>
    <row r="3" spans="2:11" ht="29.15" customHeight="1" x14ac:dyDescent="0.3">
      <c r="B3" s="441" t="s">
        <v>434</v>
      </c>
      <c r="C3" s="441"/>
      <c r="F3" s="171"/>
      <c r="G3" s="171"/>
      <c r="H3" s="171"/>
      <c r="I3" s="171"/>
      <c r="J3" s="171"/>
      <c r="K3" s="171"/>
    </row>
    <row r="4" spans="2:11" ht="9" customHeight="1" thickBot="1" x14ac:dyDescent="0.35">
      <c r="B4" s="72"/>
      <c r="C4" s="72"/>
      <c r="F4" s="171"/>
      <c r="G4" s="171"/>
      <c r="H4" s="171"/>
      <c r="I4" s="171"/>
      <c r="J4" s="171"/>
      <c r="K4" s="171"/>
    </row>
    <row r="5" spans="2:11" s="68" customFormat="1" ht="22.4" customHeight="1" x14ac:dyDescent="0.3">
      <c r="B5" s="343" t="s">
        <v>435</v>
      </c>
      <c r="C5" s="356">
        <f>IF(Summary!C12="",C6,Summary!C12)</f>
        <v>0</v>
      </c>
      <c r="F5" s="171"/>
      <c r="G5" s="171"/>
      <c r="H5" s="171"/>
      <c r="I5" s="171"/>
      <c r="J5" s="171"/>
      <c r="K5" s="171"/>
    </row>
    <row r="6" spans="2:11" s="68" customFormat="1" ht="22.4" customHeight="1" x14ac:dyDescent="0.3">
      <c r="B6" s="345" t="s">
        <v>436</v>
      </c>
      <c r="C6" s="348"/>
      <c r="F6" s="171"/>
      <c r="G6" s="171"/>
      <c r="H6" s="171"/>
      <c r="I6" s="171"/>
      <c r="J6" s="171"/>
      <c r="K6" s="171"/>
    </row>
    <row r="7" spans="2:11" s="68" customFormat="1" ht="22.4" customHeight="1" x14ac:dyDescent="0.3">
      <c r="B7" s="345" t="s">
        <v>437</v>
      </c>
      <c r="C7" s="357"/>
      <c r="F7" s="171"/>
      <c r="G7" s="171"/>
      <c r="H7" s="171"/>
      <c r="I7" s="171"/>
      <c r="J7" s="171"/>
      <c r="K7" s="171"/>
    </row>
    <row r="8" spans="2:11" s="68" customFormat="1" ht="22.4" customHeight="1" x14ac:dyDescent="0.3">
      <c r="B8" s="345" t="s">
        <v>65</v>
      </c>
      <c r="C8" s="358"/>
      <c r="F8" s="171"/>
      <c r="G8" s="171"/>
      <c r="H8" s="171"/>
      <c r="I8" s="171"/>
      <c r="J8" s="171"/>
      <c r="K8" s="171"/>
    </row>
    <row r="9" spans="2:11" s="68" customFormat="1" ht="22.4" customHeight="1" thickBot="1" x14ac:dyDescent="0.35">
      <c r="B9" s="346" t="s">
        <v>67</v>
      </c>
      <c r="C9" s="359"/>
      <c r="F9" s="171"/>
      <c r="G9" s="171"/>
      <c r="H9" s="171"/>
      <c r="I9" s="171"/>
      <c r="J9" s="171"/>
      <c r="K9" s="171"/>
    </row>
    <row r="10" spans="2:11" s="68" customFormat="1" ht="22" hidden="1" customHeight="1" thickBot="1" x14ac:dyDescent="0.35">
      <c r="B10" s="355" t="s">
        <v>438</v>
      </c>
      <c r="C10" s="360">
        <v>0</v>
      </c>
      <c r="F10" s="171"/>
      <c r="G10" s="171"/>
      <c r="H10" s="171"/>
      <c r="I10" s="171"/>
      <c r="J10" s="171"/>
      <c r="K10" s="171"/>
    </row>
    <row r="11" spans="2:11" s="68" customFormat="1" ht="36" customHeight="1" thickBot="1" x14ac:dyDescent="0.35">
      <c r="B11" s="73"/>
      <c r="C11" s="73"/>
      <c r="F11" s="171"/>
      <c r="G11" s="171"/>
      <c r="H11" s="171"/>
      <c r="I11" s="171"/>
      <c r="J11" s="171"/>
      <c r="K11" s="171"/>
    </row>
    <row r="12" spans="2:11" s="68" customFormat="1" ht="22.5" customHeight="1" x14ac:dyDescent="0.3">
      <c r="B12" s="339" t="s">
        <v>320</v>
      </c>
      <c r="C12" s="361">
        <f>IF(ISBLANK(C7),0,IF(AND(C7&lt;=100,ISNUMBER(C7)),Calculations!L103,"Not Eligible"))</f>
        <v>0</v>
      </c>
      <c r="F12" s="171"/>
      <c r="G12" s="171"/>
      <c r="H12" s="171"/>
      <c r="I12" s="171"/>
      <c r="J12" s="171"/>
      <c r="K12" s="171"/>
    </row>
    <row r="13" spans="2:11" s="68" customFormat="1" ht="22.5" customHeight="1" x14ac:dyDescent="0.3">
      <c r="B13" s="340" t="s">
        <v>321</v>
      </c>
      <c r="C13" s="353">
        <f>IF(ISBLANK(C7),0,IF(AND(C7&lt;=100,ISNUMBER(C7)),Calculations!M103,"Not Eligible"))</f>
        <v>0</v>
      </c>
      <c r="F13" s="171"/>
      <c r="G13" s="171"/>
      <c r="H13" s="171"/>
      <c r="I13" s="171"/>
      <c r="J13" s="171"/>
      <c r="K13" s="171"/>
    </row>
    <row r="14" spans="2:11" s="68" customFormat="1" ht="22.5" customHeight="1" x14ac:dyDescent="0.3">
      <c r="B14" s="340" t="s">
        <v>322</v>
      </c>
      <c r="C14" s="353">
        <f>IF(ISBLANK(C7),0,IF(AND(C7&lt;=100,ISNUMBER(C7)),Calculations!N103,"Not Eligible"))</f>
        <v>0</v>
      </c>
      <c r="F14" s="171"/>
      <c r="G14" s="171"/>
      <c r="H14" s="171"/>
      <c r="I14" s="171"/>
      <c r="J14" s="171"/>
      <c r="K14" s="171"/>
    </row>
    <row r="15" spans="2:11" s="68" customFormat="1" ht="22.5" customHeight="1" thickBot="1" x14ac:dyDescent="0.35">
      <c r="B15" s="341" t="s">
        <v>323</v>
      </c>
      <c r="C15" s="354">
        <f>IF(ISBLANK(C7),0,IF(AND(C7&lt;=100,ISNUMBER(C7)),Calculations!O103,"Not Eligible"))</f>
        <v>0</v>
      </c>
    </row>
    <row r="16" spans="2:11" s="68" customFormat="1" ht="22.4" hidden="1" customHeight="1" x14ac:dyDescent="0.3">
      <c r="B16" s="362" t="s">
        <v>439</v>
      </c>
      <c r="C16" s="364">
        <f>IF(ISBLANK(C7),0,IF(AND(C7&lt;=40,ISNUMBER(C7)),Calculations!Q103,"Not Eligible"))</f>
        <v>0</v>
      </c>
    </row>
    <row r="17" spans="2:3" s="68" customFormat="1" ht="22.4" hidden="1" customHeight="1" thickBot="1" x14ac:dyDescent="0.35">
      <c r="B17" s="363" t="s">
        <v>75</v>
      </c>
      <c r="C17" s="365">
        <f>Summary!K8</f>
        <v>0</v>
      </c>
    </row>
    <row r="18" spans="2:3" ht="9" customHeight="1" x14ac:dyDescent="0.3">
      <c r="B18" s="77"/>
    </row>
  </sheetData>
  <sheetProtection sheet="1" objects="1" scenarios="1" formatColumns="0"/>
  <mergeCells count="2">
    <mergeCell ref="B2:C2"/>
    <mergeCell ref="B3:C3"/>
  </mergeCells>
  <dataValidations count="2">
    <dataValidation type="decimal" allowBlank="1" showInputMessage="1" showErrorMessage="1" sqref="C10 C12 C15:C16" xr:uid="{00000000-0002-0000-0800-000000000000}">
      <formula1>0</formula1>
      <formula2>999999999999999000</formula2>
    </dataValidation>
    <dataValidation type="decimal" operator="lessThanOrEqual" allowBlank="1" showInputMessage="1" showErrorMessage="1" error="Compressor power must be less than or equal to 40 HP, or in special cases, less than or equal to 100 HP" prompt="Compressor power must be less than or equal to 40 HP, or in special cases, less than or equal to 100 HP" sqref="C7" xr:uid="{00000000-0002-0000-0800-000001000000}">
      <formula1>100</formula1>
    </dataValidation>
  </dataValidations>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Calculations!$B$77:$B$80</xm:f>
          </x14:formula1>
          <xm:sqref>C6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tabColor theme="8" tint="0.59999389629810485"/>
  </sheetPr>
  <dimension ref="A1:L20"/>
  <sheetViews>
    <sheetView zoomScaleNormal="100" workbookViewId="0">
      <selection activeCell="D22" sqref="D22"/>
    </sheetView>
  </sheetViews>
  <sheetFormatPr defaultColWidth="8.58203125" defaultRowHeight="14" x14ac:dyDescent="0.3"/>
  <cols>
    <col min="1" max="1" width="3.58203125" style="57" customWidth="1"/>
    <col min="2" max="2" width="34.5" style="57" customWidth="1"/>
    <col min="3" max="3" width="31.25" style="57" customWidth="1"/>
    <col min="4" max="4" width="6.08203125" style="57" customWidth="1"/>
    <col min="5" max="5" width="8.58203125" style="57" customWidth="1"/>
    <col min="6" max="6" width="9.58203125" style="57" customWidth="1"/>
    <col min="7" max="16384" width="8.58203125" style="57"/>
  </cols>
  <sheetData>
    <row r="1" spans="1:12" ht="9.75" customHeight="1" x14ac:dyDescent="0.3"/>
    <row r="2" spans="1:12" ht="22.5" x14ac:dyDescent="0.45">
      <c r="B2" s="439" t="s">
        <v>304</v>
      </c>
      <c r="C2" s="439"/>
      <c r="G2" s="171"/>
      <c r="H2" s="171"/>
      <c r="I2" s="171"/>
      <c r="J2" s="171"/>
      <c r="K2" s="171"/>
      <c r="L2" s="171"/>
    </row>
    <row r="3" spans="1:12" ht="29.15" customHeight="1" x14ac:dyDescent="0.3">
      <c r="B3" s="442" t="s">
        <v>434</v>
      </c>
      <c r="C3" s="442"/>
      <c r="G3" s="171"/>
      <c r="H3" s="171"/>
      <c r="I3" s="171"/>
      <c r="J3" s="171"/>
      <c r="K3" s="171"/>
      <c r="L3" s="171"/>
    </row>
    <row r="4" spans="1:12" ht="9" customHeight="1" thickBot="1" x14ac:dyDescent="0.35">
      <c r="B4" s="72"/>
      <c r="C4" s="72"/>
      <c r="G4" s="171"/>
      <c r="H4" s="171"/>
      <c r="I4" s="171"/>
      <c r="J4" s="171"/>
      <c r="K4" s="171"/>
      <c r="L4" s="171"/>
    </row>
    <row r="5" spans="1:12" s="68" customFormat="1" ht="22.4" customHeight="1" x14ac:dyDescent="0.3">
      <c r="A5" s="57"/>
      <c r="B5" s="343" t="s">
        <v>435</v>
      </c>
      <c r="C5" s="347">
        <f>IF(Summary!C12="",C6,Summary!C12)</f>
        <v>0</v>
      </c>
      <c r="E5" s="57"/>
      <c r="G5" s="171"/>
      <c r="H5" s="171"/>
      <c r="I5" s="171"/>
      <c r="J5" s="171"/>
      <c r="K5" s="171"/>
      <c r="L5" s="171"/>
    </row>
    <row r="6" spans="1:12" s="68" customFormat="1" ht="45.75" customHeight="1" x14ac:dyDescent="0.3">
      <c r="A6" s="57"/>
      <c r="B6" s="344" t="s">
        <v>440</v>
      </c>
      <c r="C6" s="348"/>
      <c r="E6" s="57"/>
      <c r="G6" s="171"/>
      <c r="H6" s="171"/>
      <c r="I6" s="171"/>
      <c r="J6" s="171"/>
      <c r="K6" s="171"/>
      <c r="L6" s="171"/>
    </row>
    <row r="7" spans="1:12" s="68" customFormat="1" ht="22.4" customHeight="1" x14ac:dyDescent="0.3">
      <c r="A7" s="57"/>
      <c r="B7" s="345" t="s">
        <v>441</v>
      </c>
      <c r="C7" s="349"/>
      <c r="E7" s="57"/>
      <c r="G7" s="171"/>
      <c r="H7" s="171"/>
      <c r="I7" s="171"/>
      <c r="J7" s="171"/>
      <c r="K7" s="171"/>
      <c r="L7" s="171"/>
    </row>
    <row r="8" spans="1:12" s="68" customFormat="1" ht="22.4" customHeight="1" x14ac:dyDescent="0.3">
      <c r="B8" s="345" t="s">
        <v>442</v>
      </c>
      <c r="C8" s="349"/>
      <c r="G8" s="171"/>
      <c r="H8" s="171"/>
      <c r="I8" s="171"/>
      <c r="J8" s="171"/>
      <c r="K8" s="171"/>
      <c r="L8" s="171"/>
    </row>
    <row r="9" spans="1:12" s="68" customFormat="1" ht="22.4" customHeight="1" x14ac:dyDescent="0.3">
      <c r="B9" s="345" t="s">
        <v>443</v>
      </c>
      <c r="C9" s="349"/>
      <c r="G9" s="171"/>
      <c r="H9" s="171"/>
      <c r="I9" s="171"/>
      <c r="J9" s="171"/>
      <c r="K9" s="171"/>
      <c r="L9" s="171"/>
    </row>
    <row r="10" spans="1:12" s="68" customFormat="1" ht="22.4" customHeight="1" x14ac:dyDescent="0.3">
      <c r="B10" s="345" t="s">
        <v>444</v>
      </c>
      <c r="C10" s="350"/>
      <c r="G10" s="171"/>
      <c r="H10" s="171"/>
      <c r="I10" s="171"/>
      <c r="J10" s="171"/>
      <c r="K10" s="171"/>
      <c r="L10" s="171"/>
    </row>
    <row r="11" spans="1:12" s="68" customFormat="1" ht="22.4" customHeight="1" thickBot="1" x14ac:dyDescent="0.35">
      <c r="B11" s="346" t="s">
        <v>445</v>
      </c>
      <c r="C11" s="351"/>
      <c r="G11" s="171"/>
      <c r="H11" s="171"/>
      <c r="I11" s="171"/>
      <c r="J11" s="171"/>
      <c r="K11" s="171"/>
      <c r="L11" s="171"/>
    </row>
    <row r="12" spans="1:12" s="68" customFormat="1" ht="22.4" hidden="1" customHeight="1" thickBot="1" x14ac:dyDescent="0.35">
      <c r="B12" s="309" t="s">
        <v>438</v>
      </c>
      <c r="C12" s="329"/>
      <c r="G12" s="171"/>
      <c r="H12" s="171"/>
      <c r="I12" s="171"/>
      <c r="J12" s="171"/>
      <c r="K12" s="171"/>
      <c r="L12" s="171"/>
    </row>
    <row r="13" spans="1:12" s="68" customFormat="1" ht="22.4" customHeight="1" thickBot="1" x14ac:dyDescent="0.35">
      <c r="B13" s="73"/>
      <c r="C13" s="73"/>
      <c r="G13" s="171"/>
      <c r="H13" s="171"/>
      <c r="I13" s="171"/>
      <c r="J13" s="171"/>
      <c r="K13" s="171"/>
      <c r="L13" s="171"/>
    </row>
    <row r="14" spans="1:12" s="68" customFormat="1" ht="22.5" customHeight="1" x14ac:dyDescent="0.3">
      <c r="B14" s="339" t="s">
        <v>320</v>
      </c>
      <c r="C14" s="352">
        <f>IF(ISBLANK(C8),0,IF(AND(C8&lt;=600,ISNUMBER(C8), C9&lt;=150),Calculations!J85,"Not Eligible"))</f>
        <v>0</v>
      </c>
      <c r="G14" s="171"/>
      <c r="H14" s="171"/>
      <c r="I14" s="171"/>
      <c r="J14" s="171"/>
      <c r="K14" s="171"/>
      <c r="L14" s="171"/>
    </row>
    <row r="15" spans="1:12" s="68" customFormat="1" ht="22.5" customHeight="1" x14ac:dyDescent="0.3">
      <c r="B15" s="340" t="s">
        <v>321</v>
      </c>
      <c r="C15" s="353">
        <f>IF(ISBLANK(C7),0,IF(AND(C8&lt;=600,ISNUMBER(C8), C9&lt;=150),Calculations!K85,"Not Eligible"))</f>
        <v>0</v>
      </c>
      <c r="G15" s="171"/>
      <c r="H15" s="171"/>
      <c r="I15" s="171"/>
      <c r="J15" s="171"/>
      <c r="K15" s="171"/>
      <c r="L15" s="171"/>
    </row>
    <row r="16" spans="1:12" s="68" customFormat="1" ht="22.5" customHeight="1" x14ac:dyDescent="0.3">
      <c r="B16" s="340" t="s">
        <v>322</v>
      </c>
      <c r="C16" s="353">
        <f>IF(ISBLANK(C7),0,IF(AND(C8&lt;=600,ISNUMBER(C8), C9&lt;=150),Calculations!L85,"Not Eligible"))</f>
        <v>0</v>
      </c>
      <c r="G16" s="171"/>
      <c r="H16" s="171"/>
      <c r="I16" s="171"/>
      <c r="J16" s="171"/>
      <c r="K16" s="171"/>
      <c r="L16" s="171"/>
    </row>
    <row r="17" spans="1:12" s="68" customFormat="1" ht="22.5" customHeight="1" thickBot="1" x14ac:dyDescent="0.35">
      <c r="B17" s="341" t="s">
        <v>323</v>
      </c>
      <c r="C17" s="354">
        <f>IF(ISBLANK(C7),0,IF(AND(C8&lt;=600,ISNUMBER(C8), C9&lt;=150),Calculations!M85,"Not Eligible"))</f>
        <v>0</v>
      </c>
      <c r="G17" s="171"/>
      <c r="H17" s="171"/>
      <c r="I17" s="171"/>
      <c r="J17" s="171"/>
      <c r="K17" s="171"/>
      <c r="L17" s="171"/>
    </row>
    <row r="18" spans="1:12" s="68" customFormat="1" hidden="1" x14ac:dyDescent="0.3">
      <c r="B18" s="276" t="s">
        <v>439</v>
      </c>
      <c r="C18" s="342">
        <f>IF(ISBLANK(C7),0,IF(AND(C8&lt;=600,ISNUMBER(C8)),Calculations!O85,"Not Eligible"))</f>
        <v>0</v>
      </c>
    </row>
    <row r="19" spans="1:12" ht="14.5" hidden="1" thickBot="1" x14ac:dyDescent="0.35">
      <c r="A19" s="68"/>
      <c r="B19" s="210" t="s">
        <v>331</v>
      </c>
      <c r="C19" s="338">
        <f>Summary!K9</f>
        <v>0</v>
      </c>
      <c r="D19" s="68"/>
      <c r="E19" s="68"/>
    </row>
    <row r="20" spans="1:12" x14ac:dyDescent="0.3">
      <c r="A20" s="68"/>
      <c r="D20" s="68"/>
      <c r="E20" s="68"/>
    </row>
  </sheetData>
  <sheetProtection sheet="1" objects="1" scenarios="1" formatColumns="0"/>
  <mergeCells count="2">
    <mergeCell ref="B2:C2"/>
    <mergeCell ref="B3:C3"/>
  </mergeCells>
  <dataValidations count="3">
    <dataValidation type="decimal" allowBlank="1" showInputMessage="1" showErrorMessage="1" sqref="C17:C18 C12 C7" xr:uid="{00000000-0002-0000-0900-000000000000}">
      <formula1>0</formula1>
      <formula2>999999999999999000</formula2>
    </dataValidation>
    <dataValidation type="decimal" operator="lessThanOrEqual" allowBlank="1" showInputMessage="1" showErrorMessage="1" error="Compressor power must be less than or equal to 150 HP." prompt="Compressor power must be less than or equal to 150 HP." sqref="C9" xr:uid="{E3400EAE-CA84-4FC2-BED4-8819BD728299}">
      <formula1>150</formula1>
    </dataValidation>
    <dataValidation type="decimal" operator="lessThanOrEqual" allowBlank="1" showInputMessage="1" showErrorMessage="1" error="Volumetric flow rate must be less than or equal to 600 CFM_x000a_" prompt="Capacity must be 600 CFM or below" sqref="C8" xr:uid="{8165A933-9E99-4199-B313-8858A9578CFB}">
      <formula1>600</formula1>
    </dataValidation>
  </dataValidations>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2000000}">
          <x14:formula1>
            <xm:f>Calculations!$B$69:$B$72</xm:f>
          </x14:formula1>
          <xm:sqref>C6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8" tint="0.59999389629810485"/>
  </sheetPr>
  <dimension ref="B1:M42"/>
  <sheetViews>
    <sheetView zoomScaleNormal="100" workbookViewId="0">
      <selection activeCell="C7" sqref="C7"/>
    </sheetView>
  </sheetViews>
  <sheetFormatPr defaultColWidth="8.58203125" defaultRowHeight="14" x14ac:dyDescent="0.3"/>
  <cols>
    <col min="1" max="1" width="3.58203125" style="57" customWidth="1"/>
    <col min="2" max="2" width="34.58203125" style="57" customWidth="1"/>
    <col min="3" max="3" width="31.25" style="57" customWidth="1"/>
    <col min="4" max="4" width="32.58203125" style="57" hidden="1" customWidth="1"/>
    <col min="5" max="5" width="30.83203125" style="57" hidden="1" customWidth="1"/>
    <col min="6" max="6" width="30.08203125" style="57" hidden="1" customWidth="1"/>
    <col min="7" max="7" width="4.08203125" style="57" customWidth="1"/>
    <col min="8" max="16384" width="8.58203125" style="57"/>
  </cols>
  <sheetData>
    <row r="1" spans="2:13" ht="9.75" customHeight="1" x14ac:dyDescent="0.3"/>
    <row r="2" spans="2:13" ht="34.5" customHeight="1" x14ac:dyDescent="0.7">
      <c r="B2" s="439" t="s">
        <v>446</v>
      </c>
      <c r="C2" s="440"/>
      <c r="D2" s="440"/>
      <c r="E2" s="299"/>
      <c r="F2" s="299"/>
      <c r="H2" s="171"/>
      <c r="I2" s="173"/>
      <c r="J2" s="173"/>
      <c r="K2" s="173"/>
      <c r="L2" s="173"/>
      <c r="M2" s="173"/>
    </row>
    <row r="3" spans="2:13" ht="29.15" customHeight="1" x14ac:dyDescent="0.3">
      <c r="B3" s="441" t="s">
        <v>434</v>
      </c>
      <c r="C3" s="441"/>
      <c r="D3" s="441"/>
      <c r="E3" s="441"/>
      <c r="F3" s="441"/>
      <c r="H3" s="173"/>
      <c r="I3" s="173"/>
      <c r="J3" s="173"/>
      <c r="K3" s="173"/>
      <c r="L3" s="173"/>
      <c r="M3" s="173"/>
    </row>
    <row r="4" spans="2:13" ht="9" customHeight="1" x14ac:dyDescent="0.3">
      <c r="B4" s="72"/>
      <c r="C4" s="72"/>
      <c r="H4" s="173"/>
      <c r="I4" s="173"/>
      <c r="J4" s="173"/>
      <c r="K4" s="173"/>
      <c r="L4" s="173"/>
      <c r="M4" s="173"/>
    </row>
    <row r="5" spans="2:13" s="68" customFormat="1" ht="12" customHeight="1" thickBot="1" x14ac:dyDescent="0.35">
      <c r="C5" s="74"/>
      <c r="D5" s="74">
        <v>2</v>
      </c>
      <c r="E5" s="74">
        <v>3</v>
      </c>
      <c r="F5" s="74">
        <v>4</v>
      </c>
      <c r="H5" s="173"/>
      <c r="I5" s="173"/>
      <c r="J5" s="173"/>
      <c r="K5" s="173"/>
      <c r="L5" s="173"/>
      <c r="M5" s="173"/>
    </row>
    <row r="6" spans="2:13" s="68" customFormat="1" ht="22.4" customHeight="1" x14ac:dyDescent="0.3">
      <c r="B6" s="292" t="s">
        <v>435</v>
      </c>
      <c r="C6" s="189">
        <f>IF(Summary!$C$12="",'Air Nozzle'!C7,Summary!$C$12)</f>
        <v>0</v>
      </c>
      <c r="D6" s="187">
        <f>IF(Summary!$C$12="",'Air Nozzle'!D7,Summary!$C$12)</f>
        <v>0</v>
      </c>
      <c r="E6" s="172">
        <f>IF(Summary!$C$12="",'Air Nozzle'!E7,Summary!$C$12)</f>
        <v>0</v>
      </c>
      <c r="F6" s="172">
        <f>IF(Summary!$C$12="",'Air Nozzle'!F7,Summary!$C$12)</f>
        <v>0</v>
      </c>
      <c r="H6" s="173"/>
      <c r="I6" s="173"/>
      <c r="J6" s="173"/>
      <c r="K6" s="173"/>
      <c r="L6" s="173"/>
      <c r="M6" s="173"/>
    </row>
    <row r="7" spans="2:13" s="68" customFormat="1" ht="39" customHeight="1" x14ac:dyDescent="0.3">
      <c r="B7" s="297" t="s">
        <v>436</v>
      </c>
      <c r="C7" s="178"/>
      <c r="D7" s="310"/>
      <c r="E7" s="44"/>
      <c r="F7" s="44"/>
      <c r="H7" s="173"/>
      <c r="I7" s="173"/>
      <c r="J7" s="173"/>
      <c r="K7" s="173"/>
      <c r="L7" s="173"/>
      <c r="M7" s="173"/>
    </row>
    <row r="8" spans="2:13" s="68" customFormat="1" ht="22.4" customHeight="1" x14ac:dyDescent="0.3">
      <c r="B8" s="293" t="s">
        <v>447</v>
      </c>
      <c r="C8" s="178"/>
      <c r="D8" s="310"/>
      <c r="E8" s="44"/>
      <c r="F8" s="44"/>
      <c r="H8" s="173"/>
      <c r="I8" s="173"/>
      <c r="J8" s="173"/>
      <c r="K8" s="173"/>
      <c r="L8" s="173"/>
      <c r="M8" s="173"/>
    </row>
    <row r="9" spans="2:13" s="68" customFormat="1" ht="22.4" customHeight="1" x14ac:dyDescent="0.3">
      <c r="B9" s="293" t="s">
        <v>448</v>
      </c>
      <c r="C9" s="52"/>
      <c r="D9" s="311"/>
      <c r="E9" s="51"/>
      <c r="F9" s="51"/>
      <c r="H9" s="173"/>
      <c r="I9" s="173"/>
      <c r="J9" s="173"/>
      <c r="K9" s="173"/>
      <c r="L9" s="173"/>
      <c r="M9" s="173"/>
    </row>
    <row r="10" spans="2:13" s="68" customFormat="1" ht="22.4" customHeight="1" x14ac:dyDescent="0.3">
      <c r="B10" s="293" t="s">
        <v>449</v>
      </c>
      <c r="C10" s="180"/>
      <c r="D10" s="312"/>
      <c r="E10" s="50"/>
      <c r="F10" s="50"/>
      <c r="H10" s="173"/>
      <c r="I10" s="173"/>
      <c r="J10" s="173"/>
      <c r="K10" s="173"/>
      <c r="L10" s="173"/>
      <c r="M10" s="173"/>
    </row>
    <row r="11" spans="2:13" s="68" customFormat="1" ht="22.4" customHeight="1" x14ac:dyDescent="0.3">
      <c r="B11" s="293" t="s">
        <v>450</v>
      </c>
      <c r="C11" s="52"/>
      <c r="D11" s="311"/>
      <c r="E11" s="51"/>
      <c r="F11" s="52"/>
      <c r="H11" s="173"/>
      <c r="I11" s="173"/>
      <c r="J11" s="173"/>
      <c r="K11" s="173"/>
      <c r="L11" s="173"/>
      <c r="M11" s="173"/>
    </row>
    <row r="12" spans="2:13" s="68" customFormat="1" ht="22.4" customHeight="1" thickBot="1" x14ac:dyDescent="0.35">
      <c r="B12" s="294" t="s">
        <v>451</v>
      </c>
      <c r="C12" s="160"/>
      <c r="D12" s="188"/>
      <c r="E12" s="159"/>
      <c r="F12" s="160"/>
      <c r="H12" s="173"/>
      <c r="I12" s="173"/>
      <c r="J12" s="173"/>
      <c r="K12" s="173"/>
      <c r="L12" s="173"/>
      <c r="M12" s="173"/>
    </row>
    <row r="13" spans="2:13" s="68" customFormat="1" ht="22.4" hidden="1" customHeight="1" thickBot="1" x14ac:dyDescent="0.35">
      <c r="B13" s="309" t="s">
        <v>438</v>
      </c>
      <c r="C13" s="313"/>
      <c r="D13" s="313"/>
      <c r="E13" s="313"/>
      <c r="F13" s="314"/>
      <c r="H13" s="173"/>
      <c r="I13" s="173"/>
      <c r="J13" s="173"/>
      <c r="K13" s="173"/>
      <c r="L13" s="173"/>
      <c r="M13" s="173"/>
    </row>
    <row r="14" spans="2:13" s="68" customFormat="1" ht="22.4" customHeight="1" thickBot="1" x14ac:dyDescent="0.35">
      <c r="B14" s="73"/>
      <c r="C14" s="73"/>
      <c r="D14" s="73"/>
      <c r="E14" s="73"/>
      <c r="F14" s="73"/>
      <c r="H14" s="173"/>
      <c r="I14" s="173"/>
      <c r="J14" s="173"/>
      <c r="K14" s="173"/>
      <c r="L14" s="173"/>
      <c r="M14" s="173"/>
    </row>
    <row r="15" spans="2:13" s="68" customFormat="1" ht="22.5" customHeight="1" x14ac:dyDescent="0.3">
      <c r="B15" s="295" t="s">
        <v>320</v>
      </c>
      <c r="C15" s="278">
        <f>Calculations!$J88</f>
        <v>0</v>
      </c>
      <c r="D15" s="190">
        <f>Calculations!J89</f>
        <v>0</v>
      </c>
      <c r="E15" s="157">
        <f>Calculations!J90</f>
        <v>0</v>
      </c>
      <c r="F15" s="158">
        <f>Calculations!J91</f>
        <v>0</v>
      </c>
      <c r="H15" s="173"/>
      <c r="I15" s="173"/>
      <c r="J15" s="173"/>
      <c r="K15" s="173"/>
      <c r="L15" s="173"/>
      <c r="M15" s="173"/>
    </row>
    <row r="16" spans="2:13" s="68" customFormat="1" ht="22.5" customHeight="1" x14ac:dyDescent="0.3">
      <c r="B16" s="298" t="s">
        <v>321</v>
      </c>
      <c r="C16" s="279">
        <f>Calculations!$K88</f>
        <v>0</v>
      </c>
      <c r="D16" s="191">
        <f>Calculations!$K89</f>
        <v>0</v>
      </c>
      <c r="E16" s="182">
        <f>Calculations!$K90</f>
        <v>0</v>
      </c>
      <c r="F16" s="183">
        <f>Calculations!$K91</f>
        <v>0</v>
      </c>
      <c r="H16" s="173"/>
      <c r="I16" s="173"/>
      <c r="J16" s="173"/>
      <c r="K16" s="173"/>
      <c r="L16" s="173"/>
      <c r="M16" s="173"/>
    </row>
    <row r="17" spans="2:13" s="68" customFormat="1" ht="22.5" customHeight="1" x14ac:dyDescent="0.3">
      <c r="B17" s="298" t="s">
        <v>322</v>
      </c>
      <c r="C17" s="279">
        <f>Calculations!$L88</f>
        <v>0</v>
      </c>
      <c r="D17" s="191">
        <f>Calculations!$L89</f>
        <v>0</v>
      </c>
      <c r="E17" s="182">
        <f>Calculations!$L90</f>
        <v>0</v>
      </c>
      <c r="F17" s="183">
        <f>Calculations!$L91</f>
        <v>0</v>
      </c>
      <c r="H17" s="173"/>
      <c r="I17" s="173"/>
      <c r="J17" s="173"/>
      <c r="K17" s="173"/>
      <c r="L17" s="173"/>
      <c r="M17" s="173"/>
    </row>
    <row r="18" spans="2:13" s="68" customFormat="1" ht="22.5" customHeight="1" thickBot="1" x14ac:dyDescent="0.35">
      <c r="B18" s="296" t="s">
        <v>323</v>
      </c>
      <c r="C18" s="280">
        <f>Calculations!$M88</f>
        <v>0</v>
      </c>
      <c r="D18" s="315">
        <f>Calculations!M89</f>
        <v>0</v>
      </c>
      <c r="E18" s="78">
        <f>Calculations!$M90</f>
        <v>0</v>
      </c>
      <c r="F18" s="142">
        <f>Calculations!$M91</f>
        <v>0</v>
      </c>
      <c r="H18" s="173"/>
      <c r="I18" s="173"/>
      <c r="J18" s="173"/>
      <c r="K18" s="173"/>
      <c r="L18" s="173"/>
      <c r="M18" s="173"/>
    </row>
    <row r="19" spans="2:13" s="68" customFormat="1" ht="14.25" hidden="1" customHeight="1" x14ac:dyDescent="0.3">
      <c r="B19" s="276" t="s">
        <v>303</v>
      </c>
      <c r="C19" s="277">
        <f>Calculations!$O88</f>
        <v>0</v>
      </c>
      <c r="D19" s="316">
        <f>Calculations!$O89</f>
        <v>0</v>
      </c>
      <c r="E19" s="168">
        <f>Calculations!$O90</f>
        <v>0</v>
      </c>
      <c r="F19" s="169">
        <f>Calculations!$O91</f>
        <v>0</v>
      </c>
      <c r="H19" s="173"/>
      <c r="I19" s="173"/>
      <c r="J19" s="173"/>
      <c r="K19" s="173"/>
      <c r="L19" s="173"/>
      <c r="M19" s="173"/>
    </row>
    <row r="20" spans="2:13" s="68" customFormat="1" ht="22.4" hidden="1" customHeight="1" thickBot="1" x14ac:dyDescent="0.35">
      <c r="B20" s="210" t="s">
        <v>331</v>
      </c>
      <c r="C20" s="211">
        <f>IFERROR(Summary!$K$16/Summary!$L$16*'Air Nozzle'!C19,0)</f>
        <v>0</v>
      </c>
      <c r="D20" s="204">
        <f>IFERROR(Summary!$K$16/Summary!$L$16*'Air Nozzle'!D19,0)</f>
        <v>0</v>
      </c>
      <c r="E20" s="76">
        <f>IFERROR(Summary!$K$16/Summary!$L$16*'Air Nozzle'!E19,0)</f>
        <v>0</v>
      </c>
      <c r="F20" s="143">
        <f>IFERROR(Summary!$K$16/Summary!$L$16*'Air Nozzle'!F19,0)</f>
        <v>0</v>
      </c>
    </row>
    <row r="21" spans="2:13" ht="9" customHeight="1" x14ac:dyDescent="0.3">
      <c r="B21" s="77"/>
    </row>
    <row r="28" spans="2:13" x14ac:dyDescent="0.3">
      <c r="D28" s="443"/>
      <c r="E28" s="443"/>
    </row>
    <row r="29" spans="2:13" x14ac:dyDescent="0.3">
      <c r="D29" s="443"/>
      <c r="E29" s="443"/>
    </row>
    <row r="30" spans="2:13" x14ac:dyDescent="0.3">
      <c r="D30" s="443"/>
      <c r="E30" s="443"/>
    </row>
    <row r="31" spans="2:13" x14ac:dyDescent="0.3">
      <c r="D31" s="443"/>
      <c r="E31" s="443"/>
    </row>
    <row r="32" spans="2:13" x14ac:dyDescent="0.3">
      <c r="D32" s="443"/>
      <c r="E32" s="443"/>
    </row>
    <row r="33" spans="4:5" x14ac:dyDescent="0.3">
      <c r="D33" s="443"/>
      <c r="E33" s="443"/>
    </row>
    <row r="34" spans="4:5" x14ac:dyDescent="0.3">
      <c r="D34" s="443"/>
      <c r="E34" s="443"/>
    </row>
    <row r="35" spans="4:5" x14ac:dyDescent="0.3">
      <c r="D35" s="443"/>
      <c r="E35" s="443"/>
    </row>
    <row r="36" spans="4:5" x14ac:dyDescent="0.3">
      <c r="D36" s="443"/>
      <c r="E36" s="443"/>
    </row>
    <row r="37" spans="4:5" x14ac:dyDescent="0.3">
      <c r="D37" s="443"/>
      <c r="E37" s="443"/>
    </row>
    <row r="38" spans="4:5" x14ac:dyDescent="0.3">
      <c r="D38" s="443"/>
      <c r="E38" s="443"/>
    </row>
    <row r="39" spans="4:5" x14ac:dyDescent="0.3">
      <c r="D39" s="443"/>
      <c r="E39" s="443"/>
    </row>
    <row r="40" spans="4:5" x14ac:dyDescent="0.3">
      <c r="D40" s="443"/>
      <c r="E40" s="443"/>
    </row>
    <row r="41" spans="4:5" x14ac:dyDescent="0.3">
      <c r="D41" s="443"/>
      <c r="E41" s="443"/>
    </row>
    <row r="42" spans="4:5" x14ac:dyDescent="0.3">
      <c r="D42" s="443"/>
      <c r="E42" s="443"/>
    </row>
  </sheetData>
  <sheetProtection sheet="1" objects="1" scenarios="1" formatColumns="0"/>
  <mergeCells count="3">
    <mergeCell ref="B2:D2"/>
    <mergeCell ref="D28:E42"/>
    <mergeCell ref="B3:F3"/>
  </mergeCells>
  <phoneticPr fontId="80" type="noConversion"/>
  <dataValidations count="2">
    <dataValidation type="decimal" allowBlank="1" showInputMessage="1" showErrorMessage="1" sqref="C15:F19 C13:F13" xr:uid="{00000000-0002-0000-0A00-000000000000}">
      <formula1>0</formula1>
      <formula2>999999999999999000</formula2>
    </dataValidation>
    <dataValidation type="whole" operator="greaterThan" allowBlank="1" showInputMessage="1" showErrorMessage="1" error="Must be a whole number" sqref="C10:F10" xr:uid="{7DFD4691-0F8F-48DD-AB37-018559442E0A}">
      <formula1>0</formula1>
    </dataValidation>
  </dataValidations>
  <pageMargins left="0.5" right="0.5" top="0.5" bottom="0.5" header="0.3" footer="0.3"/>
  <pageSetup orientation="portrait" r:id="rId1"/>
  <ignoredErrors>
    <ignoredError sqref="C18:F19 C15:F15" unlockedFormula="1"/>
  </ignoredError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A00-000002000000}">
          <x14:formula1>
            <xm:f>Calculations!$N$69:$N$74</xm:f>
          </x14:formula1>
          <xm:sqref>C8:F8</xm:sqref>
        </x14:dataValidation>
        <x14:dataValidation type="list" allowBlank="1" showInputMessage="1" showErrorMessage="1" xr:uid="{00000000-0002-0000-0A00-000003000000}">
          <x14:formula1>
            <xm:f>Calculations!$B$77:$B$80</xm:f>
          </x14:formula1>
          <xm:sqref>C7:F7</xm:sqref>
        </x14:dataValidation>
        <x14:dataValidation type="list" allowBlank="1" showInputMessage="1" showErrorMessage="1" xr:uid="{00000000-0002-0000-0A00-000001000000}">
          <x14:formula1>
            <xm:f>Calculations!$I$69:$I$70</xm:f>
          </x14:formula1>
          <xm:sqref>C9:F9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tabColor theme="8" tint="0.59999389629810485"/>
  </sheetPr>
  <dimension ref="B1:M33"/>
  <sheetViews>
    <sheetView topLeftCell="A4" zoomScaleNormal="100" workbookViewId="0">
      <selection activeCell="C14" sqref="C7:C14"/>
    </sheetView>
  </sheetViews>
  <sheetFormatPr defaultColWidth="8.58203125" defaultRowHeight="14" x14ac:dyDescent="0.3"/>
  <cols>
    <col min="1" max="1" width="3.58203125" style="57" customWidth="1"/>
    <col min="2" max="2" width="36.33203125" style="57" bestFit="1" customWidth="1"/>
    <col min="3" max="3" width="31.25" style="57" customWidth="1"/>
    <col min="4" max="4" width="30.58203125" style="57" hidden="1" customWidth="1"/>
    <col min="5" max="5" width="32" style="57" hidden="1" customWidth="1"/>
    <col min="6" max="6" width="31.08203125" style="57" hidden="1" customWidth="1"/>
    <col min="7" max="7" width="5.5" style="57" customWidth="1"/>
    <col min="8" max="16384" width="8.58203125" style="57"/>
  </cols>
  <sheetData>
    <row r="1" spans="2:13" ht="9.75" customHeight="1" x14ac:dyDescent="0.3"/>
    <row r="2" spans="2:13" ht="34.5" customHeight="1" x14ac:dyDescent="0.65">
      <c r="B2" s="439" t="s">
        <v>128</v>
      </c>
      <c r="C2" s="444"/>
      <c r="D2" s="444"/>
      <c r="E2" s="299"/>
      <c r="F2" s="299"/>
      <c r="H2" s="171"/>
      <c r="I2" s="173"/>
      <c r="J2" s="173"/>
      <c r="K2" s="173"/>
      <c r="L2" s="173"/>
      <c r="M2" s="173"/>
    </row>
    <row r="3" spans="2:13" ht="29.15" customHeight="1" x14ac:dyDescent="0.3">
      <c r="B3" s="441" t="s">
        <v>434</v>
      </c>
      <c r="C3" s="441"/>
      <c r="D3" s="441"/>
      <c r="E3" s="441"/>
      <c r="F3" s="441"/>
      <c r="H3" s="173"/>
      <c r="I3" s="173"/>
      <c r="J3" s="173"/>
      <c r="K3" s="173"/>
      <c r="L3" s="173"/>
      <c r="M3" s="173"/>
    </row>
    <row r="4" spans="2:13" ht="9" customHeight="1" x14ac:dyDescent="0.3">
      <c r="B4" s="72"/>
      <c r="C4" s="72"/>
      <c r="H4" s="173"/>
      <c r="I4" s="173"/>
      <c r="J4" s="173"/>
      <c r="K4" s="173"/>
      <c r="L4" s="173"/>
      <c r="M4" s="173"/>
    </row>
    <row r="5" spans="2:13" s="68" customFormat="1" ht="15.75" customHeight="1" thickBot="1" x14ac:dyDescent="0.35">
      <c r="C5" s="74"/>
      <c r="D5" s="74">
        <v>2</v>
      </c>
      <c r="E5" s="74">
        <v>3</v>
      </c>
      <c r="F5" s="74">
        <v>4</v>
      </c>
      <c r="H5" s="173"/>
      <c r="I5" s="173"/>
      <c r="J5" s="173"/>
      <c r="K5" s="173"/>
      <c r="L5" s="173"/>
      <c r="M5" s="173"/>
    </row>
    <row r="6" spans="2:13" s="68" customFormat="1" ht="22.4" customHeight="1" x14ac:dyDescent="0.3">
      <c r="B6" s="292" t="s">
        <v>435</v>
      </c>
      <c r="C6" s="179">
        <f>IF(Summary!$C$12="",'Condensate Drains'!C7,Summary!$C$12)</f>
        <v>0</v>
      </c>
      <c r="D6" s="198">
        <f>IF(Summary!$C$12="",'Condensate Drains'!D7,Summary!$C$12)</f>
        <v>0</v>
      </c>
      <c r="E6" s="75">
        <f>IF(Summary!$C$12="",'Condensate Drains'!E7,Summary!$C$12)</f>
        <v>0</v>
      </c>
      <c r="F6" s="179">
        <f>IF(Summary!$C$12="",'Condensate Drains'!F7,Summary!$C$12)</f>
        <v>0</v>
      </c>
      <c r="H6" s="173"/>
      <c r="I6" s="173"/>
      <c r="J6" s="173"/>
      <c r="K6" s="173"/>
      <c r="L6" s="173"/>
      <c r="M6" s="173"/>
    </row>
    <row r="7" spans="2:13" s="68" customFormat="1" ht="37.5" customHeight="1" x14ac:dyDescent="0.3">
      <c r="B7" s="297" t="s">
        <v>436</v>
      </c>
      <c r="C7" s="200"/>
      <c r="D7" s="317"/>
      <c r="E7" s="167"/>
      <c r="F7" s="181"/>
      <c r="H7" s="173"/>
      <c r="I7" s="173"/>
      <c r="J7" s="173"/>
      <c r="K7" s="173"/>
      <c r="L7" s="173"/>
      <c r="M7" s="173"/>
    </row>
    <row r="8" spans="2:13" s="68" customFormat="1" ht="22.4" customHeight="1" x14ac:dyDescent="0.3">
      <c r="B8" s="293" t="s">
        <v>447</v>
      </c>
      <c r="C8" s="201"/>
      <c r="D8" s="310"/>
      <c r="E8" s="44"/>
      <c r="F8" s="178"/>
      <c r="H8" s="173"/>
      <c r="I8" s="173"/>
      <c r="J8" s="173"/>
      <c r="K8" s="173"/>
      <c r="L8" s="173"/>
      <c r="M8" s="173"/>
    </row>
    <row r="9" spans="2:13" s="68" customFormat="1" ht="22.4" customHeight="1" x14ac:dyDescent="0.3">
      <c r="B9" s="293" t="s">
        <v>452</v>
      </c>
      <c r="C9" s="180"/>
      <c r="D9" s="312"/>
      <c r="E9" s="50"/>
      <c r="F9" s="180"/>
      <c r="H9" s="173"/>
      <c r="I9" s="173"/>
      <c r="J9" s="173"/>
      <c r="K9" s="173"/>
      <c r="L9" s="173"/>
      <c r="M9" s="173"/>
    </row>
    <row r="10" spans="2:13" s="68" customFormat="1" ht="22.4" customHeight="1" x14ac:dyDescent="0.3">
      <c r="B10" s="293" t="s">
        <v>65</v>
      </c>
      <c r="C10" s="202"/>
      <c r="D10" s="311"/>
      <c r="E10" s="51"/>
      <c r="F10" s="52"/>
      <c r="H10" s="173"/>
      <c r="I10" s="173"/>
      <c r="J10" s="173"/>
      <c r="K10" s="173"/>
      <c r="L10" s="173"/>
      <c r="M10" s="173"/>
    </row>
    <row r="11" spans="2:13" s="68" customFormat="1" ht="22.4" customHeight="1" x14ac:dyDescent="0.3">
      <c r="B11" s="293" t="s">
        <v>67</v>
      </c>
      <c r="C11" s="203"/>
      <c r="D11" s="311"/>
      <c r="E11" s="51"/>
      <c r="F11" s="52"/>
      <c r="H11" s="173"/>
      <c r="I11" s="173"/>
      <c r="J11" s="173"/>
      <c r="K11" s="173"/>
      <c r="L11" s="173"/>
      <c r="M11" s="173"/>
    </row>
    <row r="12" spans="2:13" s="68" customFormat="1" ht="22.4" hidden="1" customHeight="1" thickBot="1" x14ac:dyDescent="0.35">
      <c r="B12" s="293" t="s">
        <v>438</v>
      </c>
      <c r="C12" s="194"/>
      <c r="D12" s="318"/>
      <c r="E12" s="192"/>
      <c r="F12" s="194"/>
      <c r="H12" s="173"/>
      <c r="I12" s="173"/>
      <c r="J12" s="173"/>
      <c r="K12" s="173"/>
      <c r="L12" s="173"/>
      <c r="M12" s="173"/>
    </row>
    <row r="13" spans="2:13" s="68" customFormat="1" ht="34.5" customHeight="1" x14ac:dyDescent="0.3">
      <c r="B13" s="297" t="s">
        <v>453</v>
      </c>
      <c r="C13" s="195"/>
      <c r="D13" s="319"/>
      <c r="E13" s="193"/>
      <c r="F13" s="195"/>
      <c r="H13" s="173"/>
      <c r="I13" s="173"/>
      <c r="J13" s="173"/>
      <c r="K13" s="173"/>
      <c r="L13" s="173"/>
      <c r="M13" s="173"/>
    </row>
    <row r="14" spans="2:13" s="68" customFormat="1" ht="17.25" customHeight="1" thickBot="1" x14ac:dyDescent="0.35">
      <c r="B14" s="294" t="s">
        <v>454</v>
      </c>
      <c r="C14" s="197"/>
      <c r="D14" s="199"/>
      <c r="E14" s="196"/>
      <c r="F14" s="197"/>
      <c r="H14" s="173"/>
      <c r="I14" s="173"/>
      <c r="J14" s="173"/>
      <c r="K14" s="173"/>
      <c r="L14" s="173"/>
      <c r="M14" s="173"/>
    </row>
    <row r="15" spans="2:13" s="68" customFormat="1" ht="22.4" customHeight="1" thickBot="1" x14ac:dyDescent="0.35">
      <c r="H15" s="173"/>
      <c r="I15" s="173"/>
      <c r="J15" s="173"/>
      <c r="K15" s="173"/>
      <c r="L15" s="173"/>
      <c r="M15" s="173"/>
    </row>
    <row r="16" spans="2:13" ht="22.5" customHeight="1" x14ac:dyDescent="0.3">
      <c r="B16" s="292" t="s">
        <v>320</v>
      </c>
      <c r="C16" s="158">
        <f>Calculations!M94</f>
        <v>0</v>
      </c>
      <c r="D16" s="190">
        <f>Calculations!M95</f>
        <v>0</v>
      </c>
      <c r="E16" s="157">
        <f>Calculations!M96</f>
        <v>0</v>
      </c>
      <c r="F16" s="158">
        <f>Calculations!M97</f>
        <v>0</v>
      </c>
    </row>
    <row r="17" spans="2:13" ht="22.5" customHeight="1" x14ac:dyDescent="0.3">
      <c r="B17" s="298" t="s">
        <v>321</v>
      </c>
      <c r="C17" s="279">
        <f>IFERROR(Calculations!N94, "-")</f>
        <v>0</v>
      </c>
      <c r="D17" s="315">
        <f>Calculations!$P95</f>
        <v>0</v>
      </c>
      <c r="E17" s="78">
        <f>Calculations!$P96</f>
        <v>0</v>
      </c>
      <c r="F17" s="142">
        <f>Calculations!$P97</f>
        <v>0</v>
      </c>
    </row>
    <row r="18" spans="2:13" s="68" customFormat="1" ht="22.5" customHeight="1" thickBot="1" x14ac:dyDescent="0.35">
      <c r="B18" s="298" t="s">
        <v>322</v>
      </c>
      <c r="C18" s="279">
        <f>IFERROR(Calculations!O94, "-")</f>
        <v>0</v>
      </c>
      <c r="D18" s="204">
        <f>Calculations!$Q95</f>
        <v>0</v>
      </c>
      <c r="E18" s="76">
        <f>Calculations!$Q96</f>
        <v>0</v>
      </c>
      <c r="F18" s="143">
        <f>Calculations!$Q97</f>
        <v>0</v>
      </c>
      <c r="H18" s="173"/>
      <c r="I18" s="173"/>
      <c r="J18" s="173"/>
      <c r="K18" s="173"/>
      <c r="L18" s="173"/>
      <c r="M18" s="173"/>
    </row>
    <row r="19" spans="2:13" ht="22.5" customHeight="1" thickBot="1" x14ac:dyDescent="0.35">
      <c r="B19" s="294" t="s">
        <v>323</v>
      </c>
      <c r="C19" s="281">
        <f>IFERROR(Calculations!P94, "-")</f>
        <v>0</v>
      </c>
      <c r="D19" s="376"/>
      <c r="E19" s="376"/>
    </row>
    <row r="20" spans="2:13" ht="14.5" hidden="1" thickBot="1" x14ac:dyDescent="0.35">
      <c r="B20" s="309" t="s">
        <v>303</v>
      </c>
      <c r="C20" s="320">
        <f>Calculations!$Q94</f>
        <v>0</v>
      </c>
      <c r="D20" s="376"/>
      <c r="E20" s="376"/>
    </row>
    <row r="21" spans="2:13" x14ac:dyDescent="0.3">
      <c r="D21" s="376"/>
      <c r="E21" s="376"/>
    </row>
    <row r="22" spans="2:13" x14ac:dyDescent="0.3">
      <c r="D22" s="376"/>
      <c r="E22" s="376"/>
    </row>
    <row r="23" spans="2:13" x14ac:dyDescent="0.3">
      <c r="D23" s="376"/>
      <c r="E23" s="376"/>
    </row>
    <row r="24" spans="2:13" x14ac:dyDescent="0.3">
      <c r="D24" s="376"/>
      <c r="E24" s="376"/>
    </row>
    <row r="25" spans="2:13" x14ac:dyDescent="0.3">
      <c r="D25" s="376"/>
      <c r="E25" s="376"/>
    </row>
    <row r="26" spans="2:13" x14ac:dyDescent="0.3">
      <c r="D26" s="376"/>
      <c r="E26" s="376"/>
    </row>
    <row r="27" spans="2:13" x14ac:dyDescent="0.3">
      <c r="D27" s="376"/>
      <c r="E27" s="376"/>
    </row>
    <row r="28" spans="2:13" x14ac:dyDescent="0.3">
      <c r="D28" s="376"/>
      <c r="E28" s="376"/>
    </row>
    <row r="29" spans="2:13" x14ac:dyDescent="0.3">
      <c r="D29" s="376"/>
      <c r="E29" s="376"/>
    </row>
    <row r="30" spans="2:13" x14ac:dyDescent="0.3">
      <c r="D30" s="376"/>
      <c r="E30" s="376"/>
    </row>
    <row r="31" spans="2:13" x14ac:dyDescent="0.3">
      <c r="D31" s="376"/>
      <c r="E31" s="376"/>
    </row>
    <row r="32" spans="2:13" x14ac:dyDescent="0.3">
      <c r="D32" s="376"/>
      <c r="E32" s="376"/>
    </row>
    <row r="33" spans="4:5" x14ac:dyDescent="0.3">
      <c r="D33" s="376"/>
      <c r="E33" s="376"/>
    </row>
  </sheetData>
  <sheetProtection sheet="1" objects="1" scenarios="1" formatColumns="0"/>
  <protectedRanges>
    <protectedRange sqref="C13:F14 C7:F11" name="Range1"/>
  </protectedRanges>
  <mergeCells count="3">
    <mergeCell ref="B2:D2"/>
    <mergeCell ref="D19:E33"/>
    <mergeCell ref="B3:F3"/>
  </mergeCells>
  <phoneticPr fontId="80" type="noConversion"/>
  <dataValidations count="2">
    <dataValidation type="decimal" allowBlank="1" showInputMessage="1" showErrorMessage="1" sqref="C12:F12 D16:F18 C16:C20" xr:uid="{00000000-0002-0000-0B00-000000000000}">
      <formula1>0</formula1>
      <formula2>999999999999999000</formula2>
    </dataValidation>
    <dataValidation type="whole" operator="greaterThan" allowBlank="1" showInputMessage="1" showErrorMessage="1" error="Must be a whole number" sqref="C9:F9" xr:uid="{7359D18D-A6EB-4003-9438-16CDA98E069D}">
      <formula1>0</formula1>
    </dataValidation>
  </dataValidations>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B00-000001000000}">
          <x14:formula1>
            <xm:f>Calculations!$Q$70:$Q$79</xm:f>
          </x14:formula1>
          <xm:sqref>C14:F14</xm:sqref>
        </x14:dataValidation>
        <x14:dataValidation type="list" allowBlank="1" showInputMessage="1" showErrorMessage="1" xr:uid="{00000000-0002-0000-0B00-000002000000}">
          <x14:formula1>
            <xm:f>Calculations!$N$69:$N$74</xm:f>
          </x14:formula1>
          <xm:sqref>C8:F8</xm:sqref>
        </x14:dataValidation>
        <x14:dataValidation type="list" allowBlank="1" showInputMessage="1" showErrorMessage="1" xr:uid="{00000000-0002-0000-0B00-000004000000}">
          <x14:formula1>
            <xm:f>Calculations!$B$77:$B$80</xm:f>
          </x14:formula1>
          <xm:sqref>C7:F7 C14:F14</xm:sqref>
        </x14:dataValidation>
        <x14:dataValidation type="list" allowBlank="1" showInputMessage="1" showErrorMessage="1" xr:uid="{00000000-0002-0000-0B00-000003000000}">
          <x14:formula1>
            <xm:f>Calculations!$R$69:$W$69</xm:f>
          </x14:formula1>
          <xm:sqref>C13:F14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tabColor theme="8" tint="0.59999389629810485"/>
  </sheetPr>
  <dimension ref="B1:K35"/>
  <sheetViews>
    <sheetView zoomScaleNormal="100" workbookViewId="0">
      <selection activeCell="G20" sqref="G20"/>
    </sheetView>
  </sheetViews>
  <sheetFormatPr defaultColWidth="8.58203125" defaultRowHeight="14" x14ac:dyDescent="0.3"/>
  <cols>
    <col min="1" max="1" width="3.58203125" style="57" customWidth="1"/>
    <col min="2" max="2" width="30.58203125" style="57" customWidth="1"/>
    <col min="3" max="3" width="31.25" style="57" customWidth="1"/>
    <col min="4" max="4" width="5.08203125" style="57" customWidth="1"/>
    <col min="5" max="5" width="9.58203125" style="57" customWidth="1"/>
    <col min="6" max="16384" width="8.58203125" style="57"/>
  </cols>
  <sheetData>
    <row r="1" spans="2:11" ht="9.75" customHeight="1" x14ac:dyDescent="0.3"/>
    <row r="2" spans="2:11" ht="34.5" customHeight="1" x14ac:dyDescent="0.7">
      <c r="B2" s="439" t="s">
        <v>365</v>
      </c>
      <c r="C2" s="440"/>
      <c r="F2" s="171"/>
      <c r="G2" s="173"/>
      <c r="H2" s="173"/>
      <c r="I2" s="173"/>
      <c r="J2" s="173"/>
      <c r="K2" s="173"/>
    </row>
    <row r="3" spans="2:11" ht="29.15" customHeight="1" x14ac:dyDescent="0.3">
      <c r="B3" s="441" t="s">
        <v>434</v>
      </c>
      <c r="C3" s="441"/>
      <c r="F3" s="173"/>
      <c r="G3" s="173"/>
      <c r="H3" s="173"/>
      <c r="I3" s="173"/>
      <c r="J3" s="173"/>
      <c r="K3" s="173"/>
    </row>
    <row r="4" spans="2:11" ht="9" customHeight="1" thickBot="1" x14ac:dyDescent="0.35">
      <c r="B4" s="72"/>
      <c r="C4" s="72"/>
      <c r="F4" s="173"/>
      <c r="G4" s="173"/>
      <c r="H4" s="173"/>
      <c r="I4" s="173"/>
      <c r="J4" s="173"/>
      <c r="K4" s="173"/>
    </row>
    <row r="5" spans="2:11" s="68" customFormat="1" ht="22.4" customHeight="1" x14ac:dyDescent="0.3">
      <c r="B5" s="343" t="s">
        <v>455</v>
      </c>
      <c r="C5" s="356">
        <f>IF(Summary!$C$12="",'Air Tanks'!C6,Summary!$C$12)</f>
        <v>0</v>
      </c>
      <c r="F5" s="173"/>
      <c r="G5" s="173"/>
      <c r="H5" s="173"/>
      <c r="I5" s="173"/>
      <c r="J5" s="173"/>
      <c r="K5" s="173"/>
    </row>
    <row r="6" spans="2:11" s="68" customFormat="1" ht="30" customHeight="1" x14ac:dyDescent="0.3">
      <c r="B6" s="344" t="s">
        <v>436</v>
      </c>
      <c r="C6" s="348"/>
      <c r="F6" s="173"/>
      <c r="G6" s="173"/>
      <c r="H6" s="173"/>
      <c r="I6" s="173"/>
      <c r="J6" s="173"/>
      <c r="K6" s="173"/>
    </row>
    <row r="7" spans="2:11" s="68" customFormat="1" ht="22.4" customHeight="1" x14ac:dyDescent="0.3">
      <c r="B7" s="345" t="s">
        <v>456</v>
      </c>
      <c r="C7" s="366"/>
      <c r="F7" s="173"/>
      <c r="G7" s="173"/>
      <c r="H7" s="173"/>
      <c r="I7" s="173"/>
      <c r="J7" s="173"/>
      <c r="K7" s="173"/>
    </row>
    <row r="8" spans="2:11" s="68" customFormat="1" ht="22.4" customHeight="1" x14ac:dyDescent="0.3">
      <c r="B8" s="345" t="s">
        <v>450</v>
      </c>
      <c r="C8" s="367"/>
      <c r="F8" s="173"/>
      <c r="G8" s="173"/>
      <c r="H8" s="173"/>
      <c r="I8" s="173"/>
      <c r="J8" s="173"/>
      <c r="K8" s="173"/>
    </row>
    <row r="9" spans="2:11" s="68" customFormat="1" ht="22.4" customHeight="1" thickBot="1" x14ac:dyDescent="0.35">
      <c r="B9" s="346" t="s">
        <v>451</v>
      </c>
      <c r="C9" s="368"/>
      <c r="F9" s="173"/>
      <c r="G9" s="173"/>
      <c r="H9" s="173"/>
      <c r="I9" s="173"/>
      <c r="J9" s="173"/>
      <c r="K9" s="173"/>
    </row>
    <row r="10" spans="2:11" s="68" customFormat="1" ht="22.4" hidden="1" customHeight="1" thickBot="1" x14ac:dyDescent="0.35">
      <c r="B10" s="309" t="s">
        <v>438</v>
      </c>
      <c r="C10" s="328"/>
      <c r="F10" s="173"/>
      <c r="G10" s="173"/>
      <c r="H10" s="173"/>
      <c r="I10" s="173"/>
      <c r="J10" s="173"/>
      <c r="K10" s="173"/>
    </row>
    <row r="11" spans="2:11" s="68" customFormat="1" ht="22.4" customHeight="1" thickBot="1" x14ac:dyDescent="0.35">
      <c r="B11" s="73"/>
      <c r="C11" s="73"/>
      <c r="F11" s="173"/>
      <c r="G11" s="173"/>
      <c r="H11" s="173"/>
      <c r="I11" s="173"/>
      <c r="J11" s="173"/>
      <c r="K11" s="173"/>
    </row>
    <row r="12" spans="2:11" s="68" customFormat="1" ht="22.4" customHeight="1" x14ac:dyDescent="0.3">
      <c r="B12" s="343" t="s">
        <v>320</v>
      </c>
      <c r="C12" s="369">
        <f>Calculations!H100</f>
        <v>0</v>
      </c>
      <c r="F12" s="173"/>
      <c r="G12" s="173"/>
      <c r="H12" s="173"/>
      <c r="I12" s="173"/>
      <c r="J12" s="173"/>
      <c r="K12" s="173"/>
    </row>
    <row r="13" spans="2:11" s="68" customFormat="1" ht="22.4" customHeight="1" x14ac:dyDescent="0.3">
      <c r="B13" s="298" t="s">
        <v>321</v>
      </c>
      <c r="C13" s="279">
        <f>IFERROR(Calculations!I100, "-")</f>
        <v>0</v>
      </c>
      <c r="F13" s="173"/>
      <c r="G13" s="173"/>
      <c r="H13" s="173"/>
      <c r="I13" s="173"/>
      <c r="J13" s="173"/>
      <c r="K13" s="173"/>
    </row>
    <row r="14" spans="2:11" s="68" customFormat="1" ht="21" customHeight="1" x14ac:dyDescent="0.3">
      <c r="B14" s="298" t="s">
        <v>322</v>
      </c>
      <c r="C14" s="279">
        <f>IFERROR(Calculations!J100, "-")</f>
        <v>0</v>
      </c>
    </row>
    <row r="15" spans="2:11" s="68" customFormat="1" ht="22.4" customHeight="1" thickBot="1" x14ac:dyDescent="0.35">
      <c r="B15" s="346" t="s">
        <v>323</v>
      </c>
      <c r="C15" s="370">
        <f>IFERROR(Calculations!K100, "-")</f>
        <v>0</v>
      </c>
    </row>
    <row r="16" spans="2:11" s="68" customFormat="1" ht="22.4" hidden="1" customHeight="1" thickBot="1" x14ac:dyDescent="0.35">
      <c r="B16" s="309" t="s">
        <v>75</v>
      </c>
      <c r="C16" s="330">
        <f>Calculations!M100</f>
        <v>0</v>
      </c>
    </row>
    <row r="17" spans="2:4" s="68" customFormat="1" ht="22.4" customHeight="1" x14ac:dyDescent="0.3">
      <c r="B17" s="57"/>
      <c r="C17" s="57"/>
    </row>
    <row r="18" spans="2:4" ht="9" customHeight="1" x14ac:dyDescent="0.3">
      <c r="B18" s="77"/>
    </row>
    <row r="21" spans="2:4" x14ac:dyDescent="0.3">
      <c r="D21" s="376"/>
    </row>
    <row r="22" spans="2:4" x14ac:dyDescent="0.3">
      <c r="D22" s="376"/>
    </row>
    <row r="23" spans="2:4" x14ac:dyDescent="0.3">
      <c r="D23" s="376"/>
    </row>
    <row r="24" spans="2:4" x14ac:dyDescent="0.3">
      <c r="D24" s="376"/>
    </row>
    <row r="25" spans="2:4" x14ac:dyDescent="0.3">
      <c r="D25" s="376"/>
    </row>
    <row r="26" spans="2:4" x14ac:dyDescent="0.3">
      <c r="D26" s="376"/>
    </row>
    <row r="27" spans="2:4" x14ac:dyDescent="0.3">
      <c r="D27" s="376"/>
    </row>
    <row r="28" spans="2:4" x14ac:dyDescent="0.3">
      <c r="D28" s="376"/>
    </row>
    <row r="29" spans="2:4" x14ac:dyDescent="0.3">
      <c r="D29" s="376"/>
    </row>
    <row r="30" spans="2:4" x14ac:dyDescent="0.3">
      <c r="D30" s="376"/>
    </row>
    <row r="31" spans="2:4" x14ac:dyDescent="0.3">
      <c r="D31" s="376"/>
    </row>
    <row r="32" spans="2:4" x14ac:dyDescent="0.3">
      <c r="D32" s="376"/>
    </row>
    <row r="33" spans="4:4" x14ac:dyDescent="0.3">
      <c r="D33" s="376"/>
    </row>
    <row r="34" spans="4:4" x14ac:dyDescent="0.3">
      <c r="D34" s="376"/>
    </row>
    <row r="35" spans="4:4" x14ac:dyDescent="0.3">
      <c r="D35" s="376"/>
    </row>
  </sheetData>
  <sheetProtection sheet="1" objects="1" scenarios="1" formatColumns="0"/>
  <mergeCells count="3">
    <mergeCell ref="B2:C2"/>
    <mergeCell ref="B3:C3"/>
    <mergeCell ref="D21:D35"/>
  </mergeCells>
  <dataValidations count="2">
    <dataValidation type="decimal" allowBlank="1" showInputMessage="1" showErrorMessage="1" sqref="C10 C12:C16" xr:uid="{00000000-0002-0000-0C00-000000000000}">
      <formula1>0</formula1>
      <formula2>999999999999999000</formula2>
    </dataValidation>
    <dataValidation type="decimal" operator="greaterThan" allowBlank="1" showInputMessage="1" showErrorMessage="1" sqref="C7" xr:uid="{7A1440B7-9B89-43BD-A18E-E62813A7A189}">
      <formula1>0</formula1>
    </dataValidation>
  </dataValidations>
  <pageMargins left="0.5" right="0.5" top="0.5" bottom="0.5" header="0.3" footer="0.3"/>
  <pageSetup orientation="portrait" r:id="rId1"/>
  <ignoredErrors>
    <ignoredError sqref="C1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1000000}">
          <x14:formula1>
            <xm:f>Calculations!$B$69:$B$72</xm:f>
          </x14:formula1>
          <xm:sqref>C6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8" tint="0.59999389629810485"/>
  </sheetPr>
  <dimension ref="B1:R24"/>
  <sheetViews>
    <sheetView workbookViewId="0">
      <selection activeCell="C7" sqref="C7"/>
    </sheetView>
  </sheetViews>
  <sheetFormatPr defaultColWidth="8.58203125" defaultRowHeight="14" x14ac:dyDescent="0.3"/>
  <cols>
    <col min="1" max="1" width="3.58203125" style="57" customWidth="1"/>
    <col min="2" max="2" width="38.08203125" style="57" customWidth="1"/>
    <col min="3" max="3" width="31.25" style="57" customWidth="1"/>
    <col min="4" max="4" width="4.58203125" style="57" customWidth="1"/>
    <col min="5" max="5" width="9.58203125" style="57" customWidth="1"/>
    <col min="6" max="16384" width="8.58203125" style="57"/>
  </cols>
  <sheetData>
    <row r="1" spans="2:18" ht="9.75" customHeight="1" x14ac:dyDescent="0.3"/>
    <row r="2" spans="2:18" ht="34.5" customHeight="1" x14ac:dyDescent="0.7">
      <c r="B2" s="439" t="s">
        <v>131</v>
      </c>
      <c r="C2" s="440"/>
      <c r="F2" s="171"/>
      <c r="G2" s="171"/>
      <c r="H2" s="171"/>
      <c r="I2" s="171"/>
      <c r="J2" s="171"/>
      <c r="K2" s="171"/>
      <c r="L2" s="79"/>
      <c r="M2" s="171"/>
      <c r="N2" s="171"/>
      <c r="O2" s="171"/>
      <c r="P2" s="171"/>
      <c r="Q2" s="171"/>
      <c r="R2" s="171"/>
    </row>
    <row r="3" spans="2:18" ht="29.15" customHeight="1" x14ac:dyDescent="0.3">
      <c r="B3" s="441" t="s">
        <v>434</v>
      </c>
      <c r="C3" s="441"/>
      <c r="F3" s="171"/>
      <c r="G3" s="171"/>
      <c r="H3" s="171"/>
      <c r="I3" s="171"/>
      <c r="J3" s="171"/>
      <c r="K3" s="171"/>
      <c r="L3" s="79"/>
      <c r="M3" s="171"/>
      <c r="N3" s="171"/>
      <c r="O3" s="171"/>
      <c r="P3" s="171"/>
      <c r="Q3" s="171"/>
      <c r="R3" s="171"/>
    </row>
    <row r="4" spans="2:18" ht="9" customHeight="1" thickBot="1" x14ac:dyDescent="0.35">
      <c r="B4" s="72"/>
      <c r="C4" s="72"/>
      <c r="F4" s="171"/>
      <c r="G4" s="171"/>
      <c r="H4" s="171"/>
      <c r="I4" s="171"/>
      <c r="J4" s="171"/>
      <c r="K4" s="171"/>
      <c r="L4" s="79"/>
      <c r="M4" s="171"/>
      <c r="N4" s="171"/>
      <c r="O4" s="171"/>
      <c r="P4" s="171"/>
      <c r="Q4" s="171"/>
      <c r="R4" s="171"/>
    </row>
    <row r="5" spans="2:18" s="68" customFormat="1" ht="22.4" customHeight="1" x14ac:dyDescent="0.3">
      <c r="B5" s="343" t="s">
        <v>455</v>
      </c>
      <c r="C5" s="356">
        <f>IF(Summary!$C$12="",'Compressor Controller'!C6,Summary!$C$12)</f>
        <v>0</v>
      </c>
      <c r="F5" s="171"/>
      <c r="G5" s="171"/>
      <c r="H5" s="171"/>
      <c r="I5" s="171"/>
      <c r="J5" s="171"/>
      <c r="K5" s="171"/>
      <c r="L5" s="79"/>
      <c r="M5" s="171"/>
      <c r="N5" s="171"/>
      <c r="O5" s="171"/>
      <c r="P5" s="171"/>
      <c r="Q5" s="171"/>
      <c r="R5" s="171"/>
    </row>
    <row r="6" spans="2:18" s="68" customFormat="1" ht="34.5" customHeight="1" x14ac:dyDescent="0.3">
      <c r="B6" s="344" t="s">
        <v>436</v>
      </c>
      <c r="C6" s="348"/>
      <c r="F6" s="171"/>
      <c r="G6" s="171"/>
      <c r="H6" s="171"/>
      <c r="I6" s="171"/>
      <c r="J6" s="171"/>
      <c r="K6" s="171"/>
      <c r="L6" s="79"/>
      <c r="M6" s="171"/>
      <c r="N6" s="171"/>
      <c r="O6" s="171"/>
      <c r="P6" s="171"/>
      <c r="Q6" s="171"/>
      <c r="R6" s="171"/>
    </row>
    <row r="7" spans="2:18" s="68" customFormat="1" ht="22.4" customHeight="1" x14ac:dyDescent="0.3">
      <c r="B7" s="345" t="s">
        <v>457</v>
      </c>
      <c r="C7" s="357"/>
      <c r="F7" s="171"/>
      <c r="G7" s="171"/>
      <c r="H7" s="171"/>
      <c r="I7" s="171"/>
      <c r="J7" s="171"/>
      <c r="K7" s="171"/>
      <c r="L7" s="79"/>
      <c r="M7" s="171"/>
      <c r="N7" s="171"/>
      <c r="O7" s="171"/>
      <c r="P7" s="171"/>
      <c r="Q7" s="171"/>
      <c r="R7" s="171"/>
    </row>
    <row r="8" spans="2:18" s="68" customFormat="1" ht="22.4" customHeight="1" x14ac:dyDescent="0.3">
      <c r="B8" s="345" t="s">
        <v>450</v>
      </c>
      <c r="C8" s="358"/>
      <c r="F8" s="171"/>
      <c r="G8" s="171"/>
      <c r="H8" s="171"/>
      <c r="I8" s="171"/>
      <c r="J8" s="171"/>
      <c r="K8" s="171"/>
      <c r="L8" s="79"/>
      <c r="M8" s="171"/>
      <c r="N8" s="171"/>
      <c r="O8" s="171"/>
      <c r="P8" s="171"/>
      <c r="Q8" s="171"/>
      <c r="R8" s="171"/>
    </row>
    <row r="9" spans="2:18" s="68" customFormat="1" ht="22.4" customHeight="1" thickBot="1" x14ac:dyDescent="0.35">
      <c r="B9" s="346" t="s">
        <v>451</v>
      </c>
      <c r="C9" s="359"/>
      <c r="F9" s="171"/>
      <c r="G9" s="171"/>
      <c r="H9" s="171"/>
      <c r="I9" s="171"/>
      <c r="J9" s="171"/>
      <c r="K9" s="171"/>
      <c r="L9" s="79"/>
      <c r="M9" s="171"/>
      <c r="N9" s="171"/>
      <c r="O9" s="171"/>
      <c r="P9" s="171"/>
      <c r="Q9" s="171"/>
      <c r="R9" s="171"/>
    </row>
    <row r="10" spans="2:18" s="68" customFormat="1" ht="21.65" hidden="1" customHeight="1" thickBot="1" x14ac:dyDescent="0.35">
      <c r="B10" s="309" t="s">
        <v>438</v>
      </c>
      <c r="C10" s="328"/>
      <c r="F10" s="171"/>
      <c r="G10" s="171"/>
      <c r="H10" s="171"/>
      <c r="I10" s="171"/>
      <c r="J10" s="171"/>
      <c r="K10" s="171"/>
      <c r="L10" s="79"/>
      <c r="M10" s="171"/>
      <c r="N10" s="171"/>
      <c r="O10" s="171"/>
      <c r="P10" s="171"/>
      <c r="Q10" s="171"/>
      <c r="R10" s="171"/>
    </row>
    <row r="11" spans="2:18" s="68" customFormat="1" ht="31.5" customHeight="1" thickBot="1" x14ac:dyDescent="0.35">
      <c r="B11" s="73"/>
      <c r="C11" s="73"/>
      <c r="F11" s="171"/>
      <c r="G11" s="171"/>
      <c r="H11" s="171"/>
      <c r="I11" s="171"/>
      <c r="J11" s="171"/>
      <c r="K11" s="171"/>
      <c r="L11" s="79"/>
      <c r="M11" s="171"/>
      <c r="N11" s="171"/>
      <c r="O11" s="171"/>
      <c r="P11" s="171"/>
      <c r="Q11" s="171"/>
      <c r="R11" s="171"/>
    </row>
    <row r="12" spans="2:18" s="68" customFormat="1" ht="22.5" customHeight="1" x14ac:dyDescent="0.3">
      <c r="B12" s="343" t="s">
        <v>320</v>
      </c>
      <c r="C12" s="369">
        <f>IF(ISBLANK(C7),0,IF(AND(C7&gt;=40,ISNUMBER(C7)),Calculations!K106,"Not Eligible"))</f>
        <v>0</v>
      </c>
      <c r="F12" s="171"/>
      <c r="G12" s="171"/>
      <c r="H12" s="171"/>
      <c r="I12" s="171"/>
      <c r="J12" s="171"/>
      <c r="K12" s="171"/>
      <c r="L12" s="79"/>
      <c r="M12" s="171"/>
      <c r="N12" s="171"/>
      <c r="O12" s="171"/>
      <c r="P12" s="171"/>
      <c r="Q12" s="171"/>
      <c r="R12" s="171"/>
    </row>
    <row r="13" spans="2:18" s="68" customFormat="1" ht="22.5" customHeight="1" x14ac:dyDescent="0.3">
      <c r="B13" s="298" t="s">
        <v>321</v>
      </c>
      <c r="C13" s="279">
        <f>IF(ISBLANK(C7),0,IF(AND(C7&gt;=40,ISNUMBER(C7)),Calculations!L106,"Not Eligible"))</f>
        <v>0</v>
      </c>
      <c r="F13" s="171"/>
      <c r="G13" s="171"/>
      <c r="H13" s="171"/>
      <c r="I13" s="171"/>
      <c r="J13" s="171"/>
      <c r="K13" s="171"/>
      <c r="L13" s="79"/>
      <c r="M13" s="171"/>
      <c r="N13" s="171"/>
      <c r="O13" s="171"/>
      <c r="P13" s="171"/>
      <c r="Q13" s="171"/>
      <c r="R13" s="171"/>
    </row>
    <row r="14" spans="2:18" s="68" customFormat="1" ht="22.5" customHeight="1" x14ac:dyDescent="0.3">
      <c r="B14" s="298" t="s">
        <v>322</v>
      </c>
      <c r="C14" s="279">
        <f>IF(ISBLANK(C7),0,IF(AND(C7&gt;=40,ISNUMBER(C7)),Calculations!M106,"Not Eligible"))</f>
        <v>0</v>
      </c>
      <c r="F14" s="171"/>
      <c r="G14" s="171"/>
      <c r="H14" s="171"/>
      <c r="I14" s="171"/>
      <c r="J14" s="171"/>
      <c r="K14" s="171"/>
      <c r="L14" s="79"/>
      <c r="M14" s="171"/>
      <c r="N14" s="171"/>
      <c r="O14" s="171"/>
      <c r="P14" s="171"/>
      <c r="Q14" s="171"/>
      <c r="R14" s="171"/>
    </row>
    <row r="15" spans="2:18" s="68" customFormat="1" ht="22.5" customHeight="1" thickBot="1" x14ac:dyDescent="0.35">
      <c r="B15" s="346" t="s">
        <v>323</v>
      </c>
      <c r="C15" s="370">
        <f>IF(ISBLANK(C7),0,IF(AND(C7&gt;=40,ISNUMBER(C7)),Calculations!N106,"Not Eligible"))</f>
        <v>0</v>
      </c>
      <c r="F15" s="171"/>
      <c r="G15" s="171"/>
      <c r="H15" s="171"/>
      <c r="I15" s="171"/>
      <c r="J15" s="171"/>
      <c r="K15" s="171"/>
      <c r="L15" s="79"/>
      <c r="M15" s="171"/>
      <c r="N15" s="171"/>
      <c r="O15" s="171"/>
      <c r="P15" s="171"/>
      <c r="Q15" s="171"/>
      <c r="R15" s="171"/>
    </row>
    <row r="16" spans="2:18" s="68" customFormat="1" ht="22.4" hidden="1" customHeight="1" thickBot="1" x14ac:dyDescent="0.35">
      <c r="B16" s="309" t="s">
        <v>75</v>
      </c>
      <c r="C16" s="371">
        <f>IF(ISBLANK(C7),0,Calculations!P106)</f>
        <v>0</v>
      </c>
      <c r="F16" s="171"/>
      <c r="G16" s="171"/>
      <c r="H16" s="171"/>
      <c r="I16" s="171"/>
      <c r="J16" s="171"/>
      <c r="K16" s="171"/>
      <c r="L16" s="79"/>
    </row>
    <row r="17" spans="2:12" s="68" customFormat="1" ht="22.4" customHeight="1" x14ac:dyDescent="0.3">
      <c r="B17" s="57"/>
      <c r="C17" s="57"/>
      <c r="F17" s="171"/>
      <c r="G17" s="171"/>
      <c r="H17" s="171"/>
      <c r="I17" s="171"/>
      <c r="J17" s="171"/>
      <c r="K17" s="171"/>
      <c r="L17" s="79"/>
    </row>
    <row r="18" spans="2:12" ht="9" customHeight="1" x14ac:dyDescent="0.3">
      <c r="B18" s="77"/>
      <c r="F18" s="171"/>
      <c r="G18" s="171"/>
      <c r="H18" s="171"/>
      <c r="I18" s="171"/>
      <c r="J18" s="171"/>
      <c r="K18" s="171"/>
      <c r="L18" s="79"/>
    </row>
    <row r="19" spans="2:12" x14ac:dyDescent="0.3">
      <c r="F19" s="171"/>
      <c r="G19" s="171"/>
      <c r="H19" s="171"/>
      <c r="I19" s="171"/>
      <c r="J19" s="171"/>
      <c r="K19" s="171"/>
      <c r="L19" s="79"/>
    </row>
    <row r="20" spans="2:12" x14ac:dyDescent="0.3">
      <c r="F20" s="171"/>
      <c r="G20" s="171"/>
      <c r="H20" s="171"/>
      <c r="I20" s="171"/>
      <c r="J20" s="171"/>
      <c r="K20" s="171"/>
      <c r="L20" s="79"/>
    </row>
    <row r="21" spans="2:12" x14ac:dyDescent="0.3">
      <c r="F21" s="171"/>
      <c r="G21" s="171"/>
      <c r="H21" s="171"/>
      <c r="I21" s="171"/>
      <c r="J21" s="171"/>
      <c r="K21" s="171"/>
      <c r="L21" s="79"/>
    </row>
    <row r="22" spans="2:12" x14ac:dyDescent="0.3">
      <c r="F22" s="171"/>
      <c r="G22" s="171"/>
      <c r="H22" s="171"/>
      <c r="I22" s="171"/>
      <c r="J22" s="171"/>
      <c r="K22" s="171"/>
      <c r="L22" s="79"/>
    </row>
    <row r="23" spans="2:12" x14ac:dyDescent="0.3">
      <c r="F23" s="171"/>
      <c r="G23" s="171"/>
      <c r="H23" s="171"/>
      <c r="I23" s="171"/>
      <c r="J23" s="171"/>
      <c r="K23" s="171"/>
      <c r="L23" s="79"/>
    </row>
    <row r="24" spans="2:12" x14ac:dyDescent="0.3">
      <c r="F24" s="171"/>
      <c r="G24" s="171"/>
      <c r="H24" s="171"/>
      <c r="I24" s="171"/>
      <c r="J24" s="171"/>
      <c r="K24" s="171"/>
      <c r="L24" s="79"/>
    </row>
  </sheetData>
  <sheetProtection sheet="1" objects="1" scenarios="1" formatColumns="0"/>
  <mergeCells count="2">
    <mergeCell ref="B2:C2"/>
    <mergeCell ref="B3:C3"/>
  </mergeCells>
  <dataValidations count="3">
    <dataValidation type="decimal" allowBlank="1" showInputMessage="1" showErrorMessage="1" sqref="C10 C16 C13:C14" xr:uid="{00000000-0002-0000-0D00-000000000000}">
      <formula1>0</formula1>
      <formula2>999999999999999000</formula2>
    </dataValidation>
    <dataValidation operator="greaterThanOrEqual" allowBlank="1" showInputMessage="1" showErrorMessage="1" sqref="C8:C9" xr:uid="{00000000-0002-0000-0D00-000001000000}"/>
    <dataValidation type="decimal" operator="greaterThanOrEqual" allowBlank="1" showInputMessage="1" showErrorMessage="1" error="Compressor power must be greater than or equal to 40 HP" prompt="Compressor power must be greater than or equal to 40 HP" sqref="C7" xr:uid="{00000000-0002-0000-0D00-000002000000}">
      <formula1>40</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3000000}">
          <x14:formula1>
            <xm:f>Calculations!$B$77:$B$80</xm:f>
          </x14:formula1>
          <xm:sqref>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tabColor theme="8" tint="0.59999389629810485"/>
  </sheetPr>
  <dimension ref="B1:K19"/>
  <sheetViews>
    <sheetView workbookViewId="0">
      <selection activeCell="C7" sqref="C7"/>
    </sheetView>
  </sheetViews>
  <sheetFormatPr defaultColWidth="8.58203125" defaultRowHeight="14" x14ac:dyDescent="0.3"/>
  <cols>
    <col min="1" max="1" width="3.58203125" style="57" customWidth="1"/>
    <col min="2" max="2" width="38.08203125" style="57" customWidth="1"/>
    <col min="3" max="3" width="31.25" style="57" customWidth="1"/>
    <col min="4" max="4" width="4.58203125" style="57" customWidth="1"/>
    <col min="5" max="5" width="9.58203125" style="57" customWidth="1"/>
    <col min="6" max="16384" width="8.58203125" style="57"/>
  </cols>
  <sheetData>
    <row r="1" spans="2:11" ht="9.75" customHeight="1" x14ac:dyDescent="0.3"/>
    <row r="2" spans="2:11" ht="34.5" customHeight="1" x14ac:dyDescent="0.7">
      <c r="B2" s="439" t="s">
        <v>163</v>
      </c>
      <c r="C2" s="440"/>
      <c r="F2" s="171"/>
      <c r="G2" s="173"/>
      <c r="H2" s="173"/>
      <c r="I2" s="173"/>
      <c r="J2" s="173"/>
      <c r="K2" s="173"/>
    </row>
    <row r="3" spans="2:11" ht="29.15" customHeight="1" x14ac:dyDescent="0.3">
      <c r="B3" s="441" t="s">
        <v>434</v>
      </c>
      <c r="C3" s="441"/>
      <c r="F3" s="173"/>
      <c r="G3" s="173"/>
      <c r="H3" s="173"/>
      <c r="I3" s="173"/>
      <c r="J3" s="173"/>
      <c r="K3" s="173"/>
    </row>
    <row r="4" spans="2:11" ht="9" customHeight="1" thickBot="1" x14ac:dyDescent="0.35">
      <c r="B4" s="72"/>
      <c r="C4" s="72"/>
      <c r="F4" s="173"/>
      <c r="G4" s="173"/>
      <c r="H4" s="173"/>
      <c r="I4" s="173"/>
      <c r="J4" s="173"/>
      <c r="K4" s="173"/>
    </row>
    <row r="5" spans="2:11" s="68" customFormat="1" ht="22.4" customHeight="1" x14ac:dyDescent="0.3">
      <c r="B5" s="292" t="s">
        <v>455</v>
      </c>
      <c r="C5" s="324">
        <f>IF(Summary!$C$12="",'Low Pressure Drop Filters'!C6,Summary!$C$12)</f>
        <v>0</v>
      </c>
      <c r="F5" s="173"/>
      <c r="G5" s="173"/>
      <c r="H5" s="173"/>
      <c r="I5" s="173"/>
      <c r="J5" s="173"/>
      <c r="K5" s="173"/>
    </row>
    <row r="6" spans="2:11" s="68" customFormat="1" ht="37.5" customHeight="1" x14ac:dyDescent="0.3">
      <c r="B6" s="297" t="s">
        <v>436</v>
      </c>
      <c r="C6" s="44"/>
      <c r="F6" s="173"/>
      <c r="G6" s="173"/>
      <c r="H6" s="173"/>
      <c r="I6" s="173"/>
      <c r="J6" s="173"/>
      <c r="K6" s="173"/>
    </row>
    <row r="7" spans="2:11" s="68" customFormat="1" ht="22.4" customHeight="1" x14ac:dyDescent="0.3">
      <c r="B7" s="293" t="s">
        <v>458</v>
      </c>
      <c r="C7" s="325"/>
      <c r="F7" s="173"/>
      <c r="G7" s="173"/>
      <c r="H7" s="173"/>
      <c r="I7" s="173"/>
      <c r="J7" s="173"/>
      <c r="K7" s="173"/>
    </row>
    <row r="8" spans="2:11" s="68" customFormat="1" ht="22.4" customHeight="1" x14ac:dyDescent="0.3">
      <c r="B8" s="293" t="s">
        <v>459</v>
      </c>
      <c r="C8" s="325"/>
      <c r="F8" s="173"/>
      <c r="G8" s="173"/>
      <c r="H8" s="173"/>
      <c r="I8" s="173"/>
      <c r="J8" s="173"/>
      <c r="K8" s="173"/>
    </row>
    <row r="9" spans="2:11" s="68" customFormat="1" ht="22.4" customHeight="1" x14ac:dyDescent="0.3">
      <c r="B9" s="293" t="s">
        <v>450</v>
      </c>
      <c r="C9" s="326"/>
      <c r="F9" s="173"/>
      <c r="G9" s="173"/>
      <c r="H9" s="173"/>
      <c r="I9" s="173"/>
      <c r="J9" s="173"/>
      <c r="K9" s="173"/>
    </row>
    <row r="10" spans="2:11" s="68" customFormat="1" ht="23.25" customHeight="1" thickBot="1" x14ac:dyDescent="0.35">
      <c r="B10" s="294" t="s">
        <v>451</v>
      </c>
      <c r="C10" s="327"/>
      <c r="F10" s="173"/>
      <c r="G10" s="173"/>
      <c r="H10" s="173"/>
      <c r="I10" s="173"/>
      <c r="J10" s="173"/>
      <c r="K10" s="173"/>
    </row>
    <row r="11" spans="2:11" s="68" customFormat="1" ht="22.4" customHeight="1" thickBot="1" x14ac:dyDescent="0.35">
      <c r="B11" s="73"/>
      <c r="C11" s="73"/>
      <c r="F11" s="173"/>
      <c r="G11" s="173"/>
      <c r="H11" s="173"/>
      <c r="I11" s="173"/>
      <c r="J11" s="173"/>
      <c r="K11" s="173"/>
    </row>
    <row r="12" spans="2:11" s="68" customFormat="1" ht="22.5" customHeight="1" x14ac:dyDescent="0.3">
      <c r="B12" s="292" t="s">
        <v>320</v>
      </c>
      <c r="C12" s="374">
        <f>Calculations!L109</f>
        <v>0</v>
      </c>
      <c r="F12" s="173"/>
      <c r="G12" s="173"/>
      <c r="H12" s="173"/>
      <c r="I12" s="173"/>
      <c r="J12" s="173"/>
      <c r="K12" s="173"/>
    </row>
    <row r="13" spans="2:11" s="68" customFormat="1" ht="22.5" customHeight="1" x14ac:dyDescent="0.3">
      <c r="B13" s="340" t="s">
        <v>321</v>
      </c>
      <c r="C13" s="331">
        <f>Calculations!M109</f>
        <v>0</v>
      </c>
      <c r="F13" s="173"/>
      <c r="G13" s="173"/>
      <c r="H13" s="173"/>
      <c r="I13" s="173"/>
      <c r="J13" s="173"/>
      <c r="K13" s="173"/>
    </row>
    <row r="14" spans="2:11" s="68" customFormat="1" ht="22.5" customHeight="1" x14ac:dyDescent="0.3">
      <c r="B14" s="340" t="s">
        <v>322</v>
      </c>
      <c r="C14" s="331">
        <f>Calculations!N109</f>
        <v>0</v>
      </c>
      <c r="F14" s="173"/>
      <c r="G14" s="173"/>
      <c r="H14" s="173"/>
      <c r="I14" s="173"/>
      <c r="J14" s="173"/>
      <c r="K14" s="173"/>
    </row>
    <row r="15" spans="2:11" s="68" customFormat="1" ht="22.5" customHeight="1" thickBot="1" x14ac:dyDescent="0.35">
      <c r="B15" s="294" t="s">
        <v>323</v>
      </c>
      <c r="C15" s="331">
        <f>Calculations!O109</f>
        <v>0</v>
      </c>
    </row>
    <row r="16" spans="2:11" s="68" customFormat="1" ht="22.4" hidden="1" customHeight="1" thickBot="1" x14ac:dyDescent="0.35">
      <c r="B16" s="309" t="s">
        <v>75</v>
      </c>
      <c r="C16" s="332">
        <f>Calculations!Q109</f>
        <v>0</v>
      </c>
    </row>
    <row r="17" spans="2:3" s="68" customFormat="1" ht="22.4" customHeight="1" x14ac:dyDescent="0.3">
      <c r="B17" s="57"/>
      <c r="C17" s="57"/>
    </row>
    <row r="18" spans="2:3" s="68" customFormat="1" ht="22.4" customHeight="1" x14ac:dyDescent="0.3">
      <c r="B18" s="77"/>
      <c r="C18" s="57"/>
    </row>
    <row r="19" spans="2:3" ht="9" customHeight="1" x14ac:dyDescent="0.3"/>
  </sheetData>
  <sheetProtection sheet="1" objects="1" scenarios="1" formatColumns="0"/>
  <mergeCells count="2">
    <mergeCell ref="B2:C2"/>
    <mergeCell ref="B3:C3"/>
  </mergeCells>
  <dataValidations count="4">
    <dataValidation type="decimal" allowBlank="1" showInputMessage="1" showErrorMessage="1" sqref="C12:C16" xr:uid="{00000000-0002-0000-0E00-000000000000}">
      <formula1>0</formula1>
      <formula2>999999999999999000</formula2>
    </dataValidation>
    <dataValidation operator="greaterThanOrEqual" allowBlank="1" showInputMessage="1" showErrorMessage="1" sqref="C9:C10" xr:uid="{00000000-0002-0000-0E00-000001000000}"/>
    <dataValidation type="whole" operator="greaterThan" allowBlank="1" showInputMessage="1" showErrorMessage="1" error="Must be a whole number" sqref="C8" xr:uid="{00000000-0002-0000-0E00-000002000000}">
      <formula1>0</formula1>
    </dataValidation>
    <dataValidation type="decimal" operator="greaterThan" allowBlank="1" showInputMessage="1" showErrorMessage="1" sqref="C7:C8" xr:uid="{9548A635-4317-4029-8B9A-5ED4C8494F18}">
      <formula1>0</formula1>
    </dataValidation>
  </dataValidations>
  <pageMargins left="0.7" right="0.7" top="0.75" bottom="0.75" header="0.3" footer="0.3"/>
  <ignoredErrors>
    <ignoredError sqref="C15:C16 C12" unlockedFormula="1"/>
  </ignoredErrors>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3000000}">
          <x14:formula1>
            <xm:f>Calculations!$B$77:$B$80</xm:f>
          </x14:formula1>
          <xm:sqref>C6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theme="8" tint="0.59999389629810485"/>
  </sheetPr>
  <dimension ref="B1:R19"/>
  <sheetViews>
    <sheetView workbookViewId="0">
      <selection activeCell="C6" sqref="C6"/>
    </sheetView>
  </sheetViews>
  <sheetFormatPr defaultColWidth="8.58203125" defaultRowHeight="14" x14ac:dyDescent="0.3"/>
  <cols>
    <col min="1" max="1" width="3.58203125" style="57" customWidth="1"/>
    <col min="2" max="2" width="38.08203125" style="57" customWidth="1"/>
    <col min="3" max="3" width="31.25" style="57" customWidth="1"/>
    <col min="4" max="4" width="5.58203125" style="57" customWidth="1"/>
    <col min="5" max="5" width="9.58203125" style="57" customWidth="1"/>
    <col min="6" max="16384" width="8.58203125" style="57"/>
  </cols>
  <sheetData>
    <row r="1" spans="2:18" ht="9.75" customHeight="1" x14ac:dyDescent="0.3"/>
    <row r="2" spans="2:18" ht="34.5" customHeight="1" x14ac:dyDescent="0.7">
      <c r="B2" s="439" t="s">
        <v>164</v>
      </c>
      <c r="C2" s="440"/>
      <c r="F2" s="171"/>
      <c r="G2" s="173"/>
      <c r="H2" s="173"/>
      <c r="I2" s="173"/>
      <c r="J2" s="173"/>
      <c r="K2" s="173"/>
      <c r="M2" s="171"/>
      <c r="N2" s="173"/>
      <c r="O2" s="173"/>
      <c r="P2" s="173"/>
      <c r="Q2" s="173"/>
      <c r="R2" s="173"/>
    </row>
    <row r="3" spans="2:18" ht="29.15" customHeight="1" x14ac:dyDescent="0.3">
      <c r="B3" s="441" t="s">
        <v>434</v>
      </c>
      <c r="C3" s="441"/>
      <c r="F3" s="173"/>
      <c r="G3" s="173"/>
      <c r="H3" s="173"/>
      <c r="I3" s="173"/>
      <c r="J3" s="173"/>
      <c r="K3" s="173"/>
      <c r="M3" s="173"/>
      <c r="N3" s="173"/>
      <c r="O3" s="173"/>
      <c r="P3" s="173"/>
      <c r="Q3" s="173"/>
      <c r="R3" s="173"/>
    </row>
    <row r="4" spans="2:18" ht="9" customHeight="1" x14ac:dyDescent="0.3">
      <c r="B4" s="72"/>
      <c r="C4" s="72"/>
      <c r="F4" s="173"/>
      <c r="G4" s="173"/>
      <c r="H4" s="173"/>
      <c r="I4" s="173"/>
      <c r="J4" s="173"/>
      <c r="K4" s="173"/>
      <c r="M4" s="173"/>
      <c r="N4" s="173"/>
      <c r="O4" s="173"/>
      <c r="P4" s="173"/>
      <c r="Q4" s="173"/>
      <c r="R4" s="173"/>
    </row>
    <row r="5" spans="2:18" s="68" customFormat="1" ht="22.4" customHeight="1" x14ac:dyDescent="0.3">
      <c r="B5" s="343" t="s">
        <v>455</v>
      </c>
      <c r="C5" s="356">
        <f>IF(Summary!$C$12="",C6,Summary!$C$12)</f>
        <v>0</v>
      </c>
      <c r="F5" s="173"/>
      <c r="G5" s="173"/>
      <c r="H5" s="173"/>
      <c r="I5" s="173"/>
      <c r="J5" s="173"/>
      <c r="K5" s="173"/>
      <c r="M5" s="173"/>
      <c r="N5" s="173"/>
      <c r="O5" s="173"/>
      <c r="P5" s="173"/>
      <c r="Q5" s="173"/>
      <c r="R5" s="173"/>
    </row>
    <row r="6" spans="2:18" s="68" customFormat="1" ht="36.75" customHeight="1" x14ac:dyDescent="0.3">
      <c r="B6" s="344" t="s">
        <v>436</v>
      </c>
      <c r="C6" s="348"/>
      <c r="F6" s="173"/>
      <c r="G6" s="173"/>
      <c r="H6" s="173"/>
      <c r="I6" s="173"/>
      <c r="J6" s="173"/>
      <c r="K6" s="173"/>
      <c r="M6" s="173"/>
      <c r="N6" s="173"/>
      <c r="O6" s="173"/>
      <c r="P6" s="173"/>
      <c r="Q6" s="173"/>
      <c r="R6" s="173"/>
    </row>
    <row r="7" spans="2:18" s="68" customFormat="1" ht="22.4" customHeight="1" x14ac:dyDescent="0.3">
      <c r="B7" s="345" t="s">
        <v>458</v>
      </c>
      <c r="C7" s="357"/>
      <c r="F7" s="173"/>
      <c r="G7" s="173"/>
      <c r="H7" s="173"/>
      <c r="I7" s="173"/>
      <c r="J7" s="173"/>
      <c r="K7" s="173"/>
      <c r="M7" s="173"/>
      <c r="N7" s="173"/>
      <c r="O7" s="173"/>
      <c r="P7" s="173"/>
      <c r="Q7" s="173"/>
      <c r="R7" s="173"/>
    </row>
    <row r="8" spans="2:18" s="68" customFormat="1" ht="22.4" customHeight="1" x14ac:dyDescent="0.3">
      <c r="B8" s="345" t="s">
        <v>459</v>
      </c>
      <c r="C8" s="357"/>
      <c r="F8" s="173"/>
      <c r="G8" s="173"/>
      <c r="H8" s="173"/>
      <c r="I8" s="173"/>
      <c r="J8" s="173"/>
      <c r="K8" s="173"/>
      <c r="M8" s="173"/>
      <c r="N8" s="173"/>
      <c r="O8" s="173"/>
      <c r="P8" s="173"/>
      <c r="Q8" s="173"/>
      <c r="R8" s="173"/>
    </row>
    <row r="9" spans="2:18" s="68" customFormat="1" ht="22.4" customHeight="1" x14ac:dyDescent="0.3">
      <c r="B9" s="345" t="s">
        <v>450</v>
      </c>
      <c r="C9" s="358"/>
      <c r="F9" s="173"/>
      <c r="G9" s="173"/>
      <c r="H9" s="173"/>
      <c r="I9" s="173"/>
      <c r="J9" s="173"/>
      <c r="K9" s="173"/>
      <c r="M9" s="173"/>
      <c r="N9" s="173"/>
      <c r="O9" s="173"/>
      <c r="P9" s="173"/>
      <c r="Q9" s="173"/>
      <c r="R9" s="173"/>
    </row>
    <row r="10" spans="2:18" s="68" customFormat="1" ht="21" customHeight="1" x14ac:dyDescent="0.3">
      <c r="B10" s="346" t="s">
        <v>451</v>
      </c>
      <c r="C10" s="359"/>
      <c r="F10" s="173"/>
      <c r="G10" s="173"/>
      <c r="H10" s="173"/>
      <c r="I10" s="173"/>
      <c r="J10" s="173"/>
      <c r="K10" s="173"/>
      <c r="M10" s="173"/>
      <c r="N10" s="173"/>
      <c r="O10" s="173"/>
      <c r="P10" s="173"/>
      <c r="Q10" s="173"/>
      <c r="R10" s="173"/>
    </row>
    <row r="11" spans="2:18" s="68" customFormat="1" ht="36" hidden="1" customHeight="1" x14ac:dyDescent="0.3">
      <c r="B11" s="309" t="s">
        <v>438</v>
      </c>
      <c r="C11" s="334"/>
      <c r="F11" s="173"/>
      <c r="G11" s="173"/>
      <c r="H11" s="173"/>
      <c r="I11" s="173"/>
      <c r="J11" s="173"/>
      <c r="K11" s="173"/>
      <c r="M11" s="173"/>
      <c r="N11" s="173"/>
      <c r="O11" s="173"/>
      <c r="P11" s="173"/>
      <c r="Q11" s="173"/>
      <c r="R11" s="173"/>
    </row>
    <row r="12" spans="2:18" s="68" customFormat="1" ht="22.4" customHeight="1" x14ac:dyDescent="0.3">
      <c r="B12" s="73"/>
      <c r="C12" s="73"/>
      <c r="F12" s="173"/>
      <c r="G12" s="173"/>
      <c r="H12" s="173"/>
      <c r="I12" s="173"/>
      <c r="J12" s="173"/>
      <c r="K12" s="173"/>
      <c r="M12" s="173"/>
      <c r="N12" s="173"/>
      <c r="O12" s="173"/>
      <c r="P12" s="173"/>
      <c r="Q12" s="173"/>
      <c r="R12" s="173"/>
    </row>
    <row r="13" spans="2:18" s="68" customFormat="1" ht="22.4" customHeight="1" x14ac:dyDescent="0.3">
      <c r="B13" s="343" t="s">
        <v>320</v>
      </c>
      <c r="C13" s="369">
        <f>IF(ISBLANK(C7),0,IF(AND(C7&gt;=40,ISNUMBER(C7)),Calculations!K112,"Not Eligible"))</f>
        <v>0</v>
      </c>
      <c r="F13" s="173"/>
      <c r="G13" s="173"/>
      <c r="H13" s="173"/>
      <c r="I13" s="173"/>
      <c r="J13" s="173"/>
      <c r="K13" s="173"/>
      <c r="M13" s="173"/>
      <c r="N13" s="173"/>
      <c r="O13" s="173"/>
      <c r="P13" s="173"/>
      <c r="Q13" s="173"/>
      <c r="R13" s="173"/>
    </row>
    <row r="14" spans="2:18" s="68" customFormat="1" ht="21" customHeight="1" x14ac:dyDescent="0.3">
      <c r="B14" s="340" t="s">
        <v>321</v>
      </c>
      <c r="C14" s="373">
        <f>IF(ISBLANK(C7),0,IF(AND(C7&gt;=40,ISNUMBER(C7)),Calculations!L112,"Not Eligible"))</f>
        <v>0</v>
      </c>
    </row>
    <row r="15" spans="2:18" s="68" customFormat="1" ht="22.4" customHeight="1" x14ac:dyDescent="0.3">
      <c r="B15" s="340" t="s">
        <v>322</v>
      </c>
      <c r="C15" s="373">
        <f>IF(ISBLANK(C7),0,IF(AND(C7&gt;=40,ISNUMBER(C7)),Calculations!M112,"Not Eligible"))</f>
        <v>0</v>
      </c>
    </row>
    <row r="16" spans="2:18" s="68" customFormat="1" ht="22.4" customHeight="1" x14ac:dyDescent="0.3">
      <c r="B16" s="346" t="s">
        <v>323</v>
      </c>
      <c r="C16" s="370">
        <f>IF(ISBLANK(C7),0,IF(AND(C7&gt;=40,ISNUMBER(C7)),Calculations!N112,"Not Eligible"))</f>
        <v>0</v>
      </c>
    </row>
    <row r="17" spans="2:3" s="68" customFormat="1" ht="22.4" hidden="1" customHeight="1" x14ac:dyDescent="0.3">
      <c r="B17" s="309" t="s">
        <v>75</v>
      </c>
      <c r="C17" s="333">
        <f>Calculations!P112</f>
        <v>0</v>
      </c>
    </row>
    <row r="18" spans="2:3" ht="9" customHeight="1" x14ac:dyDescent="0.3"/>
    <row r="19" spans="2:3" x14ac:dyDescent="0.3">
      <c r="B19" s="77"/>
    </row>
  </sheetData>
  <sheetProtection sheet="1" objects="1" scenarios="1" formatColumns="0"/>
  <mergeCells count="2">
    <mergeCell ref="B2:C2"/>
    <mergeCell ref="B3:C3"/>
  </mergeCells>
  <dataValidations count="4">
    <dataValidation type="whole" operator="greaterThan" allowBlank="1" showInputMessage="1" showErrorMessage="1" error="Must be a whole number" sqref="C8" xr:uid="{00000000-0002-0000-0F00-000000000000}">
      <formula1>0</formula1>
    </dataValidation>
    <dataValidation operator="greaterThanOrEqual" allowBlank="1" showInputMessage="1" showErrorMessage="1" sqref="C9:C10" xr:uid="{00000000-0002-0000-0F00-000001000000}"/>
    <dataValidation type="decimal" allowBlank="1" showInputMessage="1" showErrorMessage="1" sqref="C11 C17 C14:C15" xr:uid="{00000000-0002-0000-0F00-000002000000}">
      <formula1>0</formula1>
      <formula2>999999999999999000</formula2>
    </dataValidation>
    <dataValidation type="decimal" operator="greaterThanOrEqual" allowBlank="1" showInputMessage="1" showErrorMessage="1" error="Total compressor power must be greater than or equal to 40 HP" prompt="Total compressor power must be greater than or equal to 40 HP" sqref="C7:C8" xr:uid="{00000000-0002-0000-0F00-000003000000}">
      <formula1>40</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Calculations!$B$77:$B$80</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1489"/>
  </sheetPr>
  <dimension ref="A1:K49"/>
  <sheetViews>
    <sheetView zoomScale="115" zoomScaleNormal="115" workbookViewId="0">
      <selection activeCell="B4" sqref="B4:D4"/>
    </sheetView>
  </sheetViews>
  <sheetFormatPr defaultColWidth="0" defaultRowHeight="14" x14ac:dyDescent="0.3"/>
  <cols>
    <col min="1" max="1" width="3.08203125" style="57" customWidth="1"/>
    <col min="2" max="2" width="50.58203125" style="57" customWidth="1"/>
    <col min="3" max="3" width="35.58203125" style="57" customWidth="1"/>
    <col min="4" max="4" width="47.83203125" style="57" customWidth="1"/>
    <col min="5" max="5" width="8.58203125" style="57" customWidth="1"/>
    <col min="6" max="10" width="8.58203125" style="57" hidden="1" customWidth="1"/>
    <col min="11" max="11" width="17.08203125" style="57" hidden="1" customWidth="1"/>
    <col min="12" max="16384" width="8.58203125" style="57" hidden="1"/>
  </cols>
  <sheetData>
    <row r="1" spans="1:5" s="55" customFormat="1" ht="76.5" customHeight="1" x14ac:dyDescent="0.3">
      <c r="A1" s="396"/>
      <c r="B1" s="396"/>
      <c r="C1" s="396"/>
      <c r="D1" s="396"/>
      <c r="E1" s="396"/>
    </row>
    <row r="2" spans="1:5" ht="34" x14ac:dyDescent="0.7">
      <c r="B2" s="300" t="s">
        <v>17</v>
      </c>
      <c r="C2" s="56"/>
      <c r="D2" s="56"/>
    </row>
    <row r="3" spans="1:5" ht="6" customHeight="1" x14ac:dyDescent="0.3"/>
    <row r="4" spans="1:5" ht="89.25" customHeight="1" x14ac:dyDescent="0.3">
      <c r="B4" s="397" t="s">
        <v>18</v>
      </c>
      <c r="C4" s="398"/>
      <c r="D4" s="398"/>
    </row>
    <row r="5" spans="1:5" x14ac:dyDescent="0.3">
      <c r="B5" s="54"/>
      <c r="C5" s="54"/>
      <c r="D5" s="54"/>
    </row>
    <row r="6" spans="1:5" ht="24.75" customHeight="1" x14ac:dyDescent="0.3">
      <c r="B6" s="400" t="s">
        <v>19</v>
      </c>
      <c r="C6" s="401"/>
      <c r="D6" s="58"/>
    </row>
    <row r="7" spans="1:5" ht="22.4" customHeight="1" x14ac:dyDescent="0.3">
      <c r="B7" s="402" t="s">
        <v>20</v>
      </c>
      <c r="C7" s="402"/>
      <c r="D7" s="59"/>
    </row>
    <row r="8" spans="1:5" ht="22.4" customHeight="1" x14ac:dyDescent="0.3">
      <c r="B8" s="403" t="s">
        <v>21</v>
      </c>
      <c r="C8" s="403"/>
      <c r="D8" s="59"/>
    </row>
    <row r="9" spans="1:5" x14ac:dyDescent="0.3">
      <c r="B9" s="60"/>
      <c r="C9" s="60"/>
      <c r="D9" s="60"/>
    </row>
    <row r="10" spans="1:5" ht="26.5" hidden="1" customHeight="1" x14ac:dyDescent="0.3">
      <c r="B10" s="404" t="s">
        <v>22</v>
      </c>
      <c r="C10" s="405"/>
      <c r="D10" s="60"/>
    </row>
    <row r="11" spans="1:5" ht="22.4" hidden="1" customHeight="1" x14ac:dyDescent="0.3">
      <c r="B11" s="3" t="s">
        <v>23</v>
      </c>
      <c r="C11" s="2"/>
      <c r="D11" s="53"/>
    </row>
    <row r="12" spans="1:5" ht="22.4" hidden="1" customHeight="1" x14ac:dyDescent="0.3">
      <c r="B12" s="399" t="s">
        <v>24</v>
      </c>
      <c r="C12" s="399"/>
      <c r="D12" s="399"/>
    </row>
    <row r="13" spans="1:5" ht="11.15" hidden="1" customHeight="1" x14ac:dyDescent="0.3"/>
    <row r="14" spans="1:5" ht="22.4" hidden="1" customHeight="1" x14ac:dyDescent="0.3">
      <c r="B14" s="3" t="s">
        <v>25</v>
      </c>
      <c r="C14" s="2"/>
      <c r="D14" s="53"/>
    </row>
    <row r="15" spans="1:5" ht="22.4" hidden="1" customHeight="1" x14ac:dyDescent="0.3">
      <c r="B15" s="399" t="s">
        <v>26</v>
      </c>
      <c r="C15" s="399"/>
      <c r="D15" s="399"/>
    </row>
    <row r="16" spans="1:5" ht="11.15" hidden="1" customHeight="1" x14ac:dyDescent="0.3">
      <c r="B16" s="53"/>
      <c r="C16" s="53"/>
      <c r="D16" s="53"/>
    </row>
    <row r="17" spans="2:4" ht="22.4" hidden="1" customHeight="1" x14ac:dyDescent="0.3">
      <c r="B17" s="3" t="s">
        <v>27</v>
      </c>
      <c r="C17" s="2"/>
      <c r="D17" s="53"/>
    </row>
    <row r="18" spans="2:4" ht="22.4" hidden="1" customHeight="1" x14ac:dyDescent="0.3">
      <c r="B18" s="399" t="s">
        <v>28</v>
      </c>
      <c r="C18" s="399"/>
      <c r="D18" s="399"/>
    </row>
    <row r="19" spans="2:4" ht="11.15" hidden="1" customHeight="1" x14ac:dyDescent="0.3">
      <c r="B19" s="53"/>
      <c r="C19" s="53"/>
      <c r="D19" s="53"/>
    </row>
    <row r="20" spans="2:4" ht="22.4" hidden="1" customHeight="1" x14ac:dyDescent="0.3">
      <c r="B20" s="3" t="s">
        <v>29</v>
      </c>
      <c r="C20" s="2"/>
      <c r="D20" s="53"/>
    </row>
    <row r="21" spans="2:4" ht="22.4" hidden="1" customHeight="1" x14ac:dyDescent="0.3">
      <c r="B21" s="399" t="s">
        <v>30</v>
      </c>
      <c r="C21" s="399"/>
      <c r="D21" s="399"/>
    </row>
    <row r="22" spans="2:4" x14ac:dyDescent="0.3">
      <c r="B22" s="60"/>
      <c r="C22" s="60"/>
      <c r="D22" s="60"/>
    </row>
    <row r="23" spans="2:4" ht="27.65" customHeight="1" x14ac:dyDescent="0.3">
      <c r="B23" s="406" t="s">
        <v>31</v>
      </c>
      <c r="C23" s="407"/>
      <c r="D23" s="60"/>
    </row>
    <row r="24" spans="2:4" ht="19.5" customHeight="1" x14ac:dyDescent="0.3">
      <c r="B24" s="61" t="s">
        <v>32</v>
      </c>
      <c r="C24" s="409" t="s">
        <v>33</v>
      </c>
      <c r="D24" s="410"/>
    </row>
    <row r="25" spans="2:4" ht="18" customHeight="1" x14ac:dyDescent="0.3">
      <c r="B25" s="61" t="s">
        <v>34</v>
      </c>
      <c r="C25" s="408" t="s">
        <v>35</v>
      </c>
      <c r="D25" s="408"/>
    </row>
    <row r="26" spans="2:4" ht="18" customHeight="1" x14ac:dyDescent="0.3">
      <c r="B26" s="61" t="s">
        <v>36</v>
      </c>
      <c r="C26" s="62" t="s">
        <v>37</v>
      </c>
      <c r="D26" s="322"/>
    </row>
    <row r="27" spans="2:4" ht="19.5" customHeight="1" x14ac:dyDescent="0.3">
      <c r="B27" s="61" t="s">
        <v>38</v>
      </c>
      <c r="C27" s="409" t="s">
        <v>39</v>
      </c>
      <c r="D27" s="410"/>
    </row>
    <row r="28" spans="2:4" ht="18.75" customHeight="1" x14ac:dyDescent="0.3">
      <c r="B28" s="61" t="s">
        <v>40</v>
      </c>
      <c r="C28" s="408" t="s">
        <v>41</v>
      </c>
      <c r="D28" s="408"/>
    </row>
    <row r="29" spans="2:4" ht="21.75" customHeight="1" x14ac:dyDescent="0.3">
      <c r="B29" s="61" t="s">
        <v>42</v>
      </c>
      <c r="C29" s="408" t="s">
        <v>43</v>
      </c>
      <c r="D29" s="408"/>
    </row>
    <row r="30" spans="2:4" ht="21" customHeight="1" x14ac:dyDescent="0.3">
      <c r="B30" s="61" t="s">
        <v>44</v>
      </c>
      <c r="C30" s="63" t="s">
        <v>45</v>
      </c>
      <c r="D30" s="322"/>
    </row>
    <row r="31" spans="2:4" ht="22.4" customHeight="1" x14ac:dyDescent="0.3">
      <c r="B31" s="61" t="s">
        <v>46</v>
      </c>
      <c r="C31" s="409" t="s">
        <v>39</v>
      </c>
      <c r="D31" s="410"/>
    </row>
    <row r="32" spans="2:4" ht="22.4" customHeight="1" x14ac:dyDescent="0.3">
      <c r="B32" s="61" t="s">
        <v>47</v>
      </c>
      <c r="C32" s="62" t="s">
        <v>48</v>
      </c>
      <c r="D32" s="322"/>
    </row>
    <row r="33" spans="2:4" ht="22.4" customHeight="1" x14ac:dyDescent="0.3">
      <c r="B33" s="61" t="s">
        <v>49</v>
      </c>
      <c r="C33" s="63" t="s">
        <v>50</v>
      </c>
      <c r="D33" s="322"/>
    </row>
    <row r="34" spans="2:4" ht="21.75" customHeight="1" x14ac:dyDescent="0.3">
      <c r="B34" s="61" t="s">
        <v>51</v>
      </c>
      <c r="C34" s="62" t="s">
        <v>52</v>
      </c>
      <c r="D34" s="322"/>
    </row>
    <row r="35" spans="2:4" ht="21.75" customHeight="1" x14ac:dyDescent="0.3">
      <c r="B35" s="61" t="s">
        <v>53</v>
      </c>
      <c r="C35" s="62" t="s">
        <v>54</v>
      </c>
      <c r="D35" s="322"/>
    </row>
    <row r="36" spans="2:4" ht="19.5" customHeight="1" x14ac:dyDescent="0.3">
      <c r="B36" s="61" t="s">
        <v>55</v>
      </c>
      <c r="C36" s="62" t="s">
        <v>56</v>
      </c>
      <c r="D36" s="322"/>
    </row>
    <row r="37" spans="2:4" ht="19.5" customHeight="1" x14ac:dyDescent="0.3">
      <c r="B37" s="61" t="s">
        <v>57</v>
      </c>
      <c r="C37" s="62" t="s">
        <v>58</v>
      </c>
      <c r="D37" s="322"/>
    </row>
    <row r="38" spans="2:4" ht="20.25" customHeight="1" x14ac:dyDescent="0.3">
      <c r="B38" s="61" t="s">
        <v>59</v>
      </c>
      <c r="C38" s="408" t="s">
        <v>58</v>
      </c>
      <c r="D38" s="408"/>
    </row>
    <row r="39" spans="2:4" ht="20.25" customHeight="1" x14ac:dyDescent="0.3">
      <c r="B39" s="61" t="s">
        <v>60</v>
      </c>
      <c r="C39" s="62" t="s">
        <v>58</v>
      </c>
      <c r="D39" s="322"/>
    </row>
    <row r="40" spans="2:4" ht="20.25" customHeight="1" x14ac:dyDescent="0.3">
      <c r="B40" s="61" t="s">
        <v>61</v>
      </c>
      <c r="C40" s="408" t="s">
        <v>62</v>
      </c>
      <c r="D40" s="408"/>
    </row>
    <row r="41" spans="2:4" ht="19.5" customHeight="1" x14ac:dyDescent="0.3">
      <c r="B41" s="61" t="s">
        <v>63</v>
      </c>
      <c r="C41" s="63" t="s">
        <v>64</v>
      </c>
      <c r="D41" s="322"/>
    </row>
    <row r="42" spans="2:4" ht="19.5" customHeight="1" x14ac:dyDescent="0.3">
      <c r="B42" s="61" t="s">
        <v>65</v>
      </c>
      <c r="C42" s="63" t="s">
        <v>66</v>
      </c>
      <c r="D42" s="322"/>
    </row>
    <row r="43" spans="2:4" ht="19.5" customHeight="1" x14ac:dyDescent="0.3">
      <c r="B43" s="61" t="s">
        <v>67</v>
      </c>
      <c r="C43" s="63" t="s">
        <v>68</v>
      </c>
      <c r="D43" s="322"/>
    </row>
    <row r="44" spans="2:4" ht="21" customHeight="1" x14ac:dyDescent="0.3">
      <c r="B44" s="60"/>
      <c r="C44" s="60"/>
      <c r="D44" s="60"/>
    </row>
    <row r="45" spans="2:4" ht="24.75" customHeight="1" x14ac:dyDescent="0.3">
      <c r="B45" s="406" t="s">
        <v>69</v>
      </c>
      <c r="C45" s="407"/>
      <c r="D45" s="60"/>
    </row>
    <row r="46" spans="2:4" ht="24" customHeight="1" x14ac:dyDescent="0.3">
      <c r="B46" s="64" t="s">
        <v>70</v>
      </c>
      <c r="C46" s="408" t="s">
        <v>71</v>
      </c>
      <c r="D46" s="408" t="s">
        <v>72</v>
      </c>
    </row>
    <row r="47" spans="2:4" ht="24" customHeight="1" x14ac:dyDescent="0.3">
      <c r="B47" s="64" t="s">
        <v>72</v>
      </c>
      <c r="C47" s="408" t="s">
        <v>73</v>
      </c>
      <c r="D47" s="408" t="s">
        <v>74</v>
      </c>
    </row>
    <row r="48" spans="2:4" ht="20.25" customHeight="1" x14ac:dyDescent="0.3">
      <c r="B48" s="64" t="s">
        <v>75</v>
      </c>
      <c r="C48" s="408" t="s">
        <v>76</v>
      </c>
      <c r="D48" s="408" t="s">
        <v>72</v>
      </c>
    </row>
    <row r="49" ht="18.75" customHeight="1" x14ac:dyDescent="0.3"/>
  </sheetData>
  <sheetProtection algorithmName="SHA-512" hashValue="ec0/oLAxnZvwCONA82jIG+TSD37e+nrXYhdl0E+M4H3h3UFVJOO1ibA9HY6MMitHnE1C2+uJsoRKeunsajzVRg==" saltValue="P41I0G6qPHFboltqEDBDBA==" spinCount="100000" sheet="1" objects="1" scenarios="1"/>
  <mergeCells count="23">
    <mergeCell ref="B45:C45"/>
    <mergeCell ref="C46:D46"/>
    <mergeCell ref="C47:D47"/>
    <mergeCell ref="C48:D48"/>
    <mergeCell ref="B12:D12"/>
    <mergeCell ref="C24:D24"/>
    <mergeCell ref="B23:C23"/>
    <mergeCell ref="C29:D29"/>
    <mergeCell ref="C25:D25"/>
    <mergeCell ref="C27:D27"/>
    <mergeCell ref="C28:D28"/>
    <mergeCell ref="C31:D31"/>
    <mergeCell ref="C38:D38"/>
    <mergeCell ref="C40:D40"/>
    <mergeCell ref="A1:E1"/>
    <mergeCell ref="B4:D4"/>
    <mergeCell ref="B21:D21"/>
    <mergeCell ref="B15:D15"/>
    <mergeCell ref="B18:D18"/>
    <mergeCell ref="B6:C6"/>
    <mergeCell ref="B7:C7"/>
    <mergeCell ref="B8:C8"/>
    <mergeCell ref="B10:C10"/>
  </mergeCell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9C8E5B7F-7049-459D-ACBE-CF614E7142B6}">
            <xm:f>'Utility Admin'!$E$3="First Energy"</xm:f>
            <x14:dxf>
              <fill>
                <patternFill>
                  <bgColor rgb="FF1E427C"/>
                </patternFill>
              </fill>
            </x14:dxf>
          </x14:cfRule>
          <x14:cfRule type="expression" priority="2" id="{12C2122E-8669-4AE2-8627-C9C7B9C1E0F4}">
            <xm:f>'Utility Admin'!$E$3="PECO"</xm:f>
            <x14:dxf>
              <fill>
                <patternFill>
                  <bgColor rgb="FF7030A0"/>
                </patternFill>
              </fill>
            </x14:dxf>
          </x14:cfRule>
          <x14:cfRule type="expression" priority="3" id="{8A251ACB-E4F7-44D7-8737-E38644893BED}">
            <xm:f>'Utility Admin'!$E$3="PPL"</xm:f>
            <x14:dxf>
              <fill>
                <patternFill>
                  <bgColor rgb="FF001489"/>
                </patternFill>
              </fill>
            </x14:dxf>
          </x14:cfRule>
          <xm:sqref>A1:E1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0" tint="-0.14999847407452621"/>
  </sheetPr>
  <dimension ref="A1:Z11"/>
  <sheetViews>
    <sheetView zoomScale="80" zoomScaleNormal="80" workbookViewId="0">
      <selection activeCell="B7" sqref="B7"/>
    </sheetView>
  </sheetViews>
  <sheetFormatPr defaultRowHeight="14" x14ac:dyDescent="0.3"/>
  <cols>
    <col min="1" max="1" width="37.75" bestFit="1" customWidth="1"/>
    <col min="2" max="25" width="10.08203125" customWidth="1"/>
  </cols>
  <sheetData>
    <row r="1" spans="1:26" s="33" customFormat="1" ht="70" x14ac:dyDescent="0.3">
      <c r="A1" s="303" t="s">
        <v>77</v>
      </c>
      <c r="B1" s="303" t="s">
        <v>78</v>
      </c>
      <c r="C1" s="303" t="s">
        <v>79</v>
      </c>
      <c r="D1" s="303" t="s">
        <v>80</v>
      </c>
      <c r="E1" s="303" t="s">
        <v>81</v>
      </c>
      <c r="F1" s="303" t="s">
        <v>82</v>
      </c>
      <c r="G1" s="303" t="s">
        <v>83</v>
      </c>
      <c r="H1" s="303" t="s">
        <v>84</v>
      </c>
      <c r="I1" s="303" t="s">
        <v>85</v>
      </c>
      <c r="J1" s="303" t="s">
        <v>86</v>
      </c>
      <c r="K1" s="303" t="s">
        <v>87</v>
      </c>
      <c r="L1" s="303" t="s">
        <v>88</v>
      </c>
      <c r="M1" s="303" t="s">
        <v>89</v>
      </c>
      <c r="N1" s="303" t="s">
        <v>90</v>
      </c>
      <c r="O1" s="303" t="s">
        <v>91</v>
      </c>
      <c r="P1" s="303" t="s">
        <v>92</v>
      </c>
      <c r="Q1" s="303" t="s">
        <v>93</v>
      </c>
      <c r="R1" s="303" t="s">
        <v>94</v>
      </c>
      <c r="S1" s="303" t="s">
        <v>95</v>
      </c>
      <c r="T1" s="303" t="s">
        <v>96</v>
      </c>
      <c r="U1" s="303" t="s">
        <v>97</v>
      </c>
      <c r="V1" s="303" t="s">
        <v>98</v>
      </c>
      <c r="W1" s="303" t="s">
        <v>99</v>
      </c>
      <c r="X1" s="303" t="s">
        <v>100</v>
      </c>
      <c r="Y1" s="303" t="s">
        <v>101</v>
      </c>
      <c r="Z1" s="212" t="s">
        <v>102</v>
      </c>
    </row>
    <row r="2" spans="1:26" s="33" customFormat="1" ht="56" x14ac:dyDescent="0.3">
      <c r="A2" s="150"/>
      <c r="B2" s="221" t="s">
        <v>103</v>
      </c>
      <c r="C2" s="221" t="s">
        <v>104</v>
      </c>
      <c r="D2" s="221" t="s">
        <v>105</v>
      </c>
      <c r="E2" s="221" t="s">
        <v>106</v>
      </c>
      <c r="F2" s="221" t="s">
        <v>107</v>
      </c>
      <c r="G2" s="221" t="s">
        <v>108</v>
      </c>
      <c r="H2" s="221" t="s">
        <v>65</v>
      </c>
      <c r="I2" s="221" t="s">
        <v>67</v>
      </c>
      <c r="J2" s="221" t="s">
        <v>109</v>
      </c>
      <c r="K2" s="221" t="s">
        <v>110</v>
      </c>
      <c r="L2" s="221" t="s">
        <v>111</v>
      </c>
      <c r="M2" s="221" t="s">
        <v>112</v>
      </c>
      <c r="N2" s="221" t="s">
        <v>113</v>
      </c>
      <c r="O2" s="221" t="s">
        <v>114</v>
      </c>
      <c r="P2" s="221" t="s">
        <v>115</v>
      </c>
      <c r="Q2" s="221" t="s">
        <v>116</v>
      </c>
      <c r="R2" s="221" t="s">
        <v>117</v>
      </c>
      <c r="S2" s="221" t="s">
        <v>118</v>
      </c>
      <c r="T2" s="221" t="s">
        <v>119</v>
      </c>
      <c r="U2" s="221" t="s">
        <v>120</v>
      </c>
      <c r="V2" s="221" t="s">
        <v>121</v>
      </c>
      <c r="W2" s="221" t="s">
        <v>122</v>
      </c>
      <c r="X2" s="221" t="s">
        <v>123</v>
      </c>
      <c r="Y2" s="221" t="s">
        <v>124</v>
      </c>
      <c r="Z2" s="304" t="s">
        <v>125</v>
      </c>
    </row>
    <row r="3" spans="1:26" s="33" customFormat="1" ht="14.5" thickBot="1" x14ac:dyDescent="0.35">
      <c r="A3" s="226" t="s">
        <v>126</v>
      </c>
      <c r="B3" s="213" t="str">
        <f>IF('Cycling Dryer'!C19&lt;&gt;0,"Prescriptive","")</f>
        <v/>
      </c>
      <c r="C3" s="217" t="str">
        <f>IF(B3="","","CyclingDryer")</f>
        <v/>
      </c>
      <c r="D3" s="217" t="str">
        <f>IF(B3="","",'Cycling Dryer'!C7)</f>
        <v/>
      </c>
      <c r="E3" s="222" t="str">
        <f>IF(B3="","",ROUND('Cycling Dryer'!C18/'Cycling Dryer'!C14,2))</f>
        <v/>
      </c>
      <c r="F3" s="213"/>
      <c r="G3" s="222" t="str">
        <f>IF(B3="","",'Cycling Dryer'!C18)</f>
        <v/>
      </c>
      <c r="H3" s="217" t="str">
        <f>IF(B3="","",'Cycling Dryer'!C10)</f>
        <v/>
      </c>
      <c r="I3" s="217" t="str">
        <f>IF(B3="","",'Cycling Dryer'!C11)</f>
        <v/>
      </c>
      <c r="J3" s="213"/>
      <c r="K3" s="213"/>
      <c r="L3" s="217" t="str">
        <f>IF(B3="","",'Cycling Dryer'!C9)</f>
        <v/>
      </c>
      <c r="M3" s="213"/>
      <c r="N3" s="213"/>
      <c r="O3" s="213"/>
      <c r="P3" s="213"/>
      <c r="Q3" s="213"/>
      <c r="R3" s="217" t="str">
        <f>IF(B3="","",'Cycling Dryer'!C17)</f>
        <v/>
      </c>
      <c r="S3" s="217" t="str">
        <f>IF(B3="","",'Cycling Dryer'!C14)</f>
        <v/>
      </c>
      <c r="T3" s="217" t="str">
        <f>IF(B3="","",'Cycling Dryer'!C5)</f>
        <v/>
      </c>
      <c r="U3" s="213"/>
      <c r="V3" s="213"/>
      <c r="W3" s="213"/>
      <c r="X3" s="217" t="str">
        <f>IF($B3="","",Calculations!$K$85)</f>
        <v/>
      </c>
      <c r="Y3" s="217" t="str">
        <f>IF($B3="","",Calculations!$L$85)</f>
        <v/>
      </c>
      <c r="Z3" s="231" t="str">
        <f xml:space="preserve"> IF(B3="", "", IF(Summary!$C$6= "", "", Summary!$C$6))</f>
        <v/>
      </c>
    </row>
    <row r="4" spans="1:26" s="33" customFormat="1" ht="15" thickTop="1" thickBot="1" x14ac:dyDescent="0.35">
      <c r="A4" s="227" t="s">
        <v>127</v>
      </c>
      <c r="B4" s="214" t="str">
        <f>IF('Air Nozzle'!C20&lt;&gt;0,"Prescriptive","")</f>
        <v/>
      </c>
      <c r="C4" s="218" t="str">
        <f>IF(B4="","","AirNozzle")</f>
        <v/>
      </c>
      <c r="D4" s="218" t="str">
        <f>IF(B4="","",'Air Nozzle'!C10)</f>
        <v/>
      </c>
      <c r="E4" s="223" t="str">
        <f>IF(B4="","",ROUND('Air Nozzle'!C19/'Air Nozzle'!C15,2))</f>
        <v/>
      </c>
      <c r="F4" s="214"/>
      <c r="G4" s="223" t="str">
        <f>IF(B4="","",'Air Nozzle'!C19)</f>
        <v/>
      </c>
      <c r="H4" s="218" t="str">
        <f>IF(B4="","",'Air Nozzle'!C11)</f>
        <v/>
      </c>
      <c r="I4" s="218" t="str">
        <f>IF(B4="","",'Air Nozzle'!C12)</f>
        <v/>
      </c>
      <c r="J4" s="230" t="str">
        <f>IF(B4="","",'Air Nozzle'!C9)</f>
        <v/>
      </c>
      <c r="K4" s="218" t="str">
        <f>IF(B4="","",'Air Nozzle'!C8)</f>
        <v/>
      </c>
      <c r="L4" s="214"/>
      <c r="M4" s="214"/>
      <c r="N4" s="214"/>
      <c r="O4" s="214"/>
      <c r="P4" s="214"/>
      <c r="Q4" s="214"/>
      <c r="R4" s="218" t="str">
        <f>IF(B4="","",'Air Nozzle'!C18)</f>
        <v/>
      </c>
      <c r="S4" s="218" t="str">
        <f>IF(B4="","",'Air Nozzle'!C15)</f>
        <v/>
      </c>
      <c r="T4" s="218" t="str">
        <f>IF(B4="","",'Air Nozzle'!C6)</f>
        <v/>
      </c>
      <c r="U4" s="214"/>
      <c r="V4" s="214"/>
      <c r="W4" s="214"/>
      <c r="X4" s="218" t="str">
        <f>IF($B4="","",Calculations!$K$88)</f>
        <v/>
      </c>
      <c r="Y4" s="218" t="str">
        <f>IF($B4="","",Calculations!$L$88)</f>
        <v/>
      </c>
      <c r="Z4" s="231" t="str">
        <f xml:space="preserve"> IF(B4="", "", IF(Summary!$C$6= "", "", Summary!$C$6))</f>
        <v/>
      </c>
    </row>
    <row r="5" spans="1:26" ht="15" thickTop="1" thickBot="1" x14ac:dyDescent="0.35">
      <c r="A5" s="228" t="s">
        <v>128</v>
      </c>
      <c r="B5" s="215" t="str">
        <f>IF('Condensate Drains'!C20&lt;&gt;0,"Prescriptive","")</f>
        <v/>
      </c>
      <c r="C5" s="219" t="str">
        <f>IF(B5="","","CondDrain")</f>
        <v/>
      </c>
      <c r="D5" s="219" t="str">
        <f>IF(B5="","",'Condensate Drains'!C9)</f>
        <v/>
      </c>
      <c r="E5" s="224" t="str">
        <f>IF(B5="","",ROUND('Condensate Drains'!C20/'Condensate Drains'!C16,2))</f>
        <v/>
      </c>
      <c r="F5" s="215"/>
      <c r="G5" s="224" t="str">
        <f>IF(B5="","",'Condensate Drains'!C20)</f>
        <v/>
      </c>
      <c r="H5" s="219" t="str">
        <f>IF(B5="","",'Condensate Drains'!C10)</f>
        <v/>
      </c>
      <c r="I5" s="219" t="str">
        <f>IF(B5="","",'Condensate Drains'!C11)</f>
        <v/>
      </c>
      <c r="J5" s="215"/>
      <c r="K5" s="219" t="str">
        <f>IF(B5="","",'Condensate Drains'!C8)</f>
        <v/>
      </c>
      <c r="L5" s="215"/>
      <c r="M5" s="215"/>
      <c r="N5" s="215"/>
      <c r="O5" s="215"/>
      <c r="P5" s="232" t="str">
        <f>IF(B5="","",'Condensate Drains'!C13)</f>
        <v/>
      </c>
      <c r="Q5" s="215"/>
      <c r="R5" s="219" t="str">
        <f>IF(B5="","",'Condensate Drains'!C19)</f>
        <v/>
      </c>
      <c r="S5" s="219" t="str">
        <f>IF(B5="","",'Condensate Drains'!C16)</f>
        <v/>
      </c>
      <c r="T5" s="219" t="str">
        <f>IF(B5="","",IF('Condensate Drains'!C7="",'Condensate Drains'!C6,'Condensate Drains'!C7))</f>
        <v/>
      </c>
      <c r="U5" s="219" t="str">
        <f>IF(B5="","",'Condensate Drains'!C14)</f>
        <v/>
      </c>
      <c r="V5" s="215"/>
      <c r="W5" s="215"/>
      <c r="X5" s="219" t="str">
        <f>IF($B5="","",Calculations!$N$94)</f>
        <v/>
      </c>
      <c r="Y5" s="219" t="str">
        <f>IF($B5="","",Calculations!$O$94)</f>
        <v/>
      </c>
      <c r="Z5" s="233" t="str">
        <f xml:space="preserve"> IF(B5="", "", IF(Summary!$C$6= "", "", Summary!$C$6))</f>
        <v/>
      </c>
    </row>
    <row r="6" spans="1:26" s="33" customFormat="1" ht="15" thickTop="1" thickBot="1" x14ac:dyDescent="0.35">
      <c r="A6" s="228" t="s">
        <v>129</v>
      </c>
      <c r="B6" s="215" t="str">
        <f>IF('Air Tanks'!C16&lt;&gt;0,"Prescriptive","")</f>
        <v/>
      </c>
      <c r="C6" s="219" t="str">
        <f>IF(B6="","","AirTank")</f>
        <v/>
      </c>
      <c r="D6" s="219" t="str">
        <f>IF(B6="","",1)</f>
        <v/>
      </c>
      <c r="E6" s="224" t="str">
        <f>IF(B6="","",ROUND('Air Tanks'!C16/'Air Tanks'!C12,2))</f>
        <v/>
      </c>
      <c r="F6" s="215"/>
      <c r="G6" s="224" t="str">
        <f>IF(B6="","",'Air Tanks'!C16)</f>
        <v/>
      </c>
      <c r="H6" s="219" t="str">
        <f>IF(B6="","",'Air Tanks'!C8)</f>
        <v/>
      </c>
      <c r="I6" s="219" t="str">
        <f>IF(B6="","",'Air Tanks'!C9)</f>
        <v/>
      </c>
      <c r="J6" s="215"/>
      <c r="K6" s="215"/>
      <c r="L6" s="219" t="str">
        <f>IF(B6="","",'Air Tanks'!C7)</f>
        <v/>
      </c>
      <c r="M6" s="215"/>
      <c r="N6" s="215"/>
      <c r="O6" s="215"/>
      <c r="P6" s="215"/>
      <c r="Q6" s="215"/>
      <c r="R6" s="219" t="str">
        <f>IF(B6="","",'Air Tanks'!C15)</f>
        <v/>
      </c>
      <c r="S6" s="219" t="str">
        <f>IF(B6="","",'Air Tanks'!C12)</f>
        <v/>
      </c>
      <c r="T6" s="219" t="str">
        <f>IF(B6="","",'Air Tanks'!C5)</f>
        <v/>
      </c>
      <c r="U6" s="215"/>
      <c r="V6" s="215"/>
      <c r="W6" s="215"/>
      <c r="X6" s="219" t="str">
        <f>IF($B6="","",Calculations!$I$100)</f>
        <v/>
      </c>
      <c r="Y6" s="219" t="str">
        <f>IF($B6="","",Calculations!$J$100)</f>
        <v/>
      </c>
      <c r="Z6" s="231" t="str">
        <f xml:space="preserve"> IF(B6="", "", IF(Summary!$C$6= "", "", Summary!$C$6))</f>
        <v/>
      </c>
    </row>
    <row r="7" spans="1:26" s="33" customFormat="1" ht="15" thickTop="1" thickBot="1" x14ac:dyDescent="0.35">
      <c r="A7" s="227" t="s">
        <v>130</v>
      </c>
      <c r="B7" s="214" t="str">
        <f>IF(ISNUMBER('VFD Compressor (&lt;=40HP)'!C16),"Prescriptive","")</f>
        <v>Prescriptive</v>
      </c>
      <c r="C7" s="218" t="str">
        <f>IF(B7="","","VSDComp")</f>
        <v>VSDComp</v>
      </c>
      <c r="D7" s="218">
        <f>IF(B7="","",1)</f>
        <v>1</v>
      </c>
      <c r="E7" s="223" t="e">
        <f>IF(B7="","",ROUND('VFD Compressor (&lt;=40HP)'!C16/'VFD Compressor (&lt;=40HP)'!C12,2))</f>
        <v>#DIV/0!</v>
      </c>
      <c r="F7" s="214"/>
      <c r="G7" s="223">
        <f>IF(B7="","",'VFD Compressor (&lt;=40HP)'!C16)</f>
        <v>0</v>
      </c>
      <c r="H7" s="218">
        <f>IF(B7="","",'VFD Compressor (&lt;=40HP)'!C8)</f>
        <v>0</v>
      </c>
      <c r="I7" s="218">
        <f>IF(B7="","",'VFD Compressor (&lt;=40HP)'!C9)</f>
        <v>0</v>
      </c>
      <c r="J7" s="214"/>
      <c r="K7" s="214"/>
      <c r="L7" s="218">
        <f>IF(B7="","",'VFD Compressor (&lt;=40HP)'!C7)</f>
        <v>0</v>
      </c>
      <c r="M7" s="214"/>
      <c r="N7" s="214"/>
      <c r="O7" s="214"/>
      <c r="P7" s="214"/>
      <c r="Q7" s="214"/>
      <c r="R7" s="218">
        <f>IF(B7="","",'VFD Compressor (&lt;=40HP)'!C15)</f>
        <v>0</v>
      </c>
      <c r="S7" s="218">
        <f>IF(B7="","",'VFD Compressor (&lt;=40HP)'!C12)</f>
        <v>0</v>
      </c>
      <c r="T7" s="218">
        <f>IF(B7="","",'VFD Compressor (&lt;=40HP)'!C5)</f>
        <v>0</v>
      </c>
      <c r="U7" s="214"/>
      <c r="V7" s="214"/>
      <c r="W7" s="214"/>
      <c r="X7" s="218" t="str">
        <f>IF($B7="","",Calculations!$M$103)</f>
        <v/>
      </c>
      <c r="Y7" s="218" t="str">
        <f>IF($B7="","",Calculations!$N$103)</f>
        <v/>
      </c>
      <c r="Z7" s="231" t="str">
        <f xml:space="preserve"> IF(B7="", "", IF(Summary!$C$6= "", "", Summary!$C$6))</f>
        <v/>
      </c>
    </row>
    <row r="8" spans="1:26" s="33" customFormat="1" ht="15" thickTop="1" thickBot="1" x14ac:dyDescent="0.35">
      <c r="A8" s="227" t="s">
        <v>131</v>
      </c>
      <c r="B8" s="214" t="str">
        <f>IF('Compressor Controller'!C16&lt;&gt;0,"Prescriptive","")</f>
        <v/>
      </c>
      <c r="C8" s="218" t="str">
        <f>IF(B8="","","CompControl")</f>
        <v/>
      </c>
      <c r="D8" s="218" t="str">
        <f>IF(B8="","",1)</f>
        <v/>
      </c>
      <c r="E8" s="223" t="str">
        <f>IF(B8="","",ROUND('Compressor Controller'!C16/'Compressor Controller'!C12,2))</f>
        <v/>
      </c>
      <c r="F8" s="214"/>
      <c r="G8" s="223" t="str">
        <f>IF(B8="","",'Compressor Controller'!C16)</f>
        <v/>
      </c>
      <c r="H8" s="218" t="str">
        <f>IF(B8="","",'Compressor Controller'!C8)</f>
        <v/>
      </c>
      <c r="I8" s="218" t="str">
        <f>IF(B8="","",'Compressor Controller'!C9)</f>
        <v/>
      </c>
      <c r="J8" s="214"/>
      <c r="K8" s="214"/>
      <c r="L8" s="218" t="str">
        <f>IF(B8="","",'Compressor Controller'!C7)</f>
        <v/>
      </c>
      <c r="M8" s="214"/>
      <c r="N8" s="214"/>
      <c r="O8" s="214"/>
      <c r="P8" s="214"/>
      <c r="Q8" s="214"/>
      <c r="R8" s="218" t="str">
        <f>IF(B8="","",'Compressor Controller'!C15)</f>
        <v/>
      </c>
      <c r="S8" s="218" t="str">
        <f>IF(B8="","",'Compressor Controller'!C12)</f>
        <v/>
      </c>
      <c r="T8" s="218" t="str">
        <f>IF(B8="","",'Compressor Controller'!C5)</f>
        <v/>
      </c>
      <c r="U8" s="214"/>
      <c r="V8" s="214"/>
      <c r="W8" s="214"/>
      <c r="X8" s="218" t="str">
        <f>IF($B8="","",Calculations!$L$106)</f>
        <v/>
      </c>
      <c r="Y8" s="218" t="str">
        <f>IF($B8="","",Calculations!$M$106)</f>
        <v/>
      </c>
      <c r="Z8" s="231" t="str">
        <f xml:space="preserve"> IF(B8="", "", IF(Summary!$C$6= "", "", Summary!$C$6))</f>
        <v/>
      </c>
    </row>
    <row r="9" spans="1:26" s="33" customFormat="1" ht="15" thickTop="1" thickBot="1" x14ac:dyDescent="0.35">
      <c r="A9" s="229" t="s">
        <v>132</v>
      </c>
      <c r="B9" s="216" t="str">
        <f>IF('Low Pressure Drop Filters'!C16&lt;&gt;0,"Prescriptive","")</f>
        <v/>
      </c>
      <c r="C9" s="220" t="str">
        <f>IF(B9="","","LowPresDropFilt")</f>
        <v/>
      </c>
      <c r="D9" s="220" t="str">
        <f>IF(B9="","",'Low Pressure Drop Filters'!C8)</f>
        <v/>
      </c>
      <c r="E9" s="225" t="str">
        <f>IF(B9="","",ROUND('Low Pressure Drop Filters'!C16/'Low Pressure Drop Filters'!C12,2))</f>
        <v/>
      </c>
      <c r="F9" s="216"/>
      <c r="G9" s="225" t="str">
        <f>IF(B9="","",'Low Pressure Drop Filters'!C16)</f>
        <v/>
      </c>
      <c r="H9" s="220" t="str">
        <f>IF(B9="","",'Low Pressure Drop Filters'!C9)</f>
        <v/>
      </c>
      <c r="I9" s="220" t="str">
        <f>IF(B9="","",'Low Pressure Drop Filters'!C10)</f>
        <v/>
      </c>
      <c r="J9" s="216"/>
      <c r="K9" s="216"/>
      <c r="L9" s="220" t="str">
        <f>IF(B9="","",'Low Pressure Drop Filters'!C7)</f>
        <v/>
      </c>
      <c r="M9" s="216"/>
      <c r="N9" s="216"/>
      <c r="O9" s="216"/>
      <c r="P9" s="216"/>
      <c r="Q9" s="216"/>
      <c r="R9" s="220" t="str">
        <f>IF(B9="","",'Low Pressure Drop Filters'!C15)</f>
        <v/>
      </c>
      <c r="S9" s="220" t="str">
        <f>IF(B9="","",'Low Pressure Drop Filters'!C12)</f>
        <v/>
      </c>
      <c r="T9" s="220" t="str">
        <f>IF(B9="","",'Low Pressure Drop Filters'!C5)</f>
        <v/>
      </c>
      <c r="U9" s="216"/>
      <c r="V9" s="216"/>
      <c r="W9" s="216"/>
      <c r="X9" s="220" t="str">
        <f>IF($B9="","",Calculations!$M$109)</f>
        <v/>
      </c>
      <c r="Y9" s="220" t="str">
        <f>IF($B9="","",Calculations!$N$109)</f>
        <v/>
      </c>
      <c r="Z9" s="231" t="str">
        <f xml:space="preserve"> IF(B9="", "", IF(Summary!$C$6= "", "", Summary!$C$6))</f>
        <v/>
      </c>
    </row>
    <row r="10" spans="1:26" s="33" customFormat="1" ht="15" thickTop="1" thickBot="1" x14ac:dyDescent="0.35">
      <c r="A10" s="227" t="s">
        <v>133</v>
      </c>
      <c r="B10" s="214" t="str">
        <f>IF('Mist Eliminators'!C17&lt;&gt;0,"Prescriptive","")</f>
        <v/>
      </c>
      <c r="C10" s="218" t="str">
        <f>IF(B10="","","MistElim")</f>
        <v/>
      </c>
      <c r="D10" s="218" t="str">
        <f>IF(B10="","",'Mist Eliminators'!C8)</f>
        <v/>
      </c>
      <c r="E10" s="223" t="str">
        <f>IF(B10="","",ROUND('Mist Eliminators'!C17/'Mist Eliminators'!C13,2))</f>
        <v/>
      </c>
      <c r="F10" s="214"/>
      <c r="G10" s="223" t="str">
        <f>IF(B10="","",'Mist Eliminators'!C17)</f>
        <v/>
      </c>
      <c r="H10" s="218" t="str">
        <f>IF(B10="","",'Mist Eliminators'!C9)</f>
        <v/>
      </c>
      <c r="I10" s="218" t="str">
        <f>IF(B10="","",'Mist Eliminators'!C10)</f>
        <v/>
      </c>
      <c r="J10" s="214"/>
      <c r="K10" s="214"/>
      <c r="L10" s="218" t="str">
        <f>IF(B10="","",'Mist Eliminators'!C7)</f>
        <v/>
      </c>
      <c r="M10" s="214"/>
      <c r="N10" s="214"/>
      <c r="O10" s="214"/>
      <c r="P10" s="214"/>
      <c r="Q10" s="214"/>
      <c r="R10" s="218" t="str">
        <f>IF(B10="","",'Mist Eliminators'!C16)</f>
        <v/>
      </c>
      <c r="S10" s="218" t="str">
        <f>IF(B10="","",'Mist Eliminators'!C13)</f>
        <v/>
      </c>
      <c r="T10" s="218" t="str">
        <f>IF(B10="","",'Mist Eliminators'!C5)</f>
        <v/>
      </c>
      <c r="U10" s="214"/>
      <c r="V10" s="214"/>
      <c r="W10" s="214"/>
      <c r="X10" s="218" t="str">
        <f>IF($B10="","",Calculations!$L$112)</f>
        <v/>
      </c>
      <c r="Y10" s="218" t="str">
        <f>IF($B10="","",Calculations!$M$112)</f>
        <v/>
      </c>
      <c r="Z10" s="231" t="str">
        <f xml:space="preserve"> IF(B10="", "", IF(Summary!$C$6= "", "", Summary!$C$6))</f>
        <v/>
      </c>
    </row>
    <row r="11" spans="1:26" ht="14.5" thickTop="1" x14ac:dyDescent="0.3"/>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tabColor theme="0" tint="-0.14999847407452621"/>
  </sheetPr>
  <dimension ref="A2:O25"/>
  <sheetViews>
    <sheetView workbookViewId="0">
      <selection activeCell="D9" sqref="D9"/>
    </sheetView>
  </sheetViews>
  <sheetFormatPr defaultColWidth="8.58203125" defaultRowHeight="14" x14ac:dyDescent="0.3"/>
  <cols>
    <col min="1" max="1" width="3.58203125" style="8" customWidth="1"/>
    <col min="2" max="2" width="8.83203125" style="8" customWidth="1"/>
    <col min="3" max="3" width="13.08203125" style="8" customWidth="1"/>
    <col min="4" max="4" width="48.75" style="8" bestFit="1" customWidth="1"/>
    <col min="5" max="5" width="52.58203125" style="11" customWidth="1"/>
    <col min="6" max="6" width="26.58203125" style="8" customWidth="1"/>
    <col min="7" max="8" width="8.58203125" style="1"/>
    <col min="9" max="9" width="15.58203125" style="1" customWidth="1"/>
    <col min="10" max="10" width="17.08203125" style="1" bestFit="1" customWidth="1"/>
    <col min="11" max="16384" width="8.58203125" style="1"/>
  </cols>
  <sheetData>
    <row r="2" spans="1:15" ht="20" x14ac:dyDescent="0.3">
      <c r="B2" s="405" t="s">
        <v>29</v>
      </c>
      <c r="C2" s="405"/>
      <c r="D2" s="405"/>
      <c r="E2" s="405"/>
      <c r="F2" s="405"/>
    </row>
    <row r="4" spans="1:15" x14ac:dyDescent="0.3">
      <c r="B4" s="26" t="s">
        <v>134</v>
      </c>
      <c r="D4" s="208" t="s">
        <v>135</v>
      </c>
      <c r="E4" s="27" t="s">
        <v>136</v>
      </c>
      <c r="F4" s="209" t="s">
        <v>137</v>
      </c>
    </row>
    <row r="5" spans="1:15" x14ac:dyDescent="0.3">
      <c r="E5" s="28" t="s">
        <v>138</v>
      </c>
      <c r="F5" s="209" t="s">
        <v>139</v>
      </c>
      <c r="I5" s="205" t="s">
        <v>140</v>
      </c>
      <c r="J5" s="206">
        <f>+B8</f>
        <v>5</v>
      </c>
    </row>
    <row r="6" spans="1:15" ht="25.5" customHeight="1" x14ac:dyDescent="0.3">
      <c r="I6" s="205" t="s">
        <v>141</v>
      </c>
      <c r="J6" s="207">
        <f>MAX(C8:C23)</f>
        <v>46220</v>
      </c>
    </row>
    <row r="7" spans="1:15" s="14" customFormat="1" x14ac:dyDescent="0.3">
      <c r="A7" s="13"/>
      <c r="B7" s="18" t="s">
        <v>142</v>
      </c>
      <c r="C7" s="19" t="s">
        <v>143</v>
      </c>
      <c r="D7" s="19" t="s">
        <v>144</v>
      </c>
      <c r="E7" s="20" t="s">
        <v>145</v>
      </c>
      <c r="F7" s="21" t="s">
        <v>146</v>
      </c>
    </row>
    <row r="8" spans="1:15" ht="28.5" customHeight="1" x14ac:dyDescent="0.3">
      <c r="B8" s="323">
        <v>5</v>
      </c>
      <c r="C8" s="22">
        <v>46174</v>
      </c>
      <c r="D8" s="22" t="s">
        <v>147</v>
      </c>
      <c r="E8" s="23" t="s">
        <v>148</v>
      </c>
      <c r="F8" s="24" t="s">
        <v>149</v>
      </c>
    </row>
    <row r="9" spans="1:15" ht="57.75" customHeight="1" x14ac:dyDescent="0.3">
      <c r="B9" s="323">
        <v>5.01</v>
      </c>
      <c r="C9" s="272">
        <v>46220</v>
      </c>
      <c r="D9" s="273" t="s">
        <v>150</v>
      </c>
      <c r="E9" s="274"/>
      <c r="F9" s="24" t="s">
        <v>149</v>
      </c>
      <c r="I9" s="14" t="s">
        <v>151</v>
      </c>
    </row>
    <row r="10" spans="1:15" ht="42" customHeight="1" x14ac:dyDescent="0.3">
      <c r="B10" s="323"/>
      <c r="C10" s="272"/>
      <c r="D10" s="273"/>
      <c r="E10" s="274"/>
      <c r="F10" s="275"/>
      <c r="I10" s="411" t="s">
        <v>152</v>
      </c>
      <c r="J10" s="411"/>
      <c r="K10" s="411"/>
      <c r="L10" s="411"/>
      <c r="M10" s="411"/>
      <c r="N10" s="411"/>
      <c r="O10" s="411"/>
    </row>
    <row r="11" spans="1:15" ht="28.5" customHeight="1" x14ac:dyDescent="0.3">
      <c r="B11" s="323"/>
      <c r="C11" s="272"/>
      <c r="D11" s="273"/>
      <c r="E11" s="274"/>
      <c r="F11" s="275"/>
      <c r="I11" s="411"/>
      <c r="J11" s="411"/>
      <c r="K11" s="411"/>
      <c r="L11" s="411"/>
      <c r="M11" s="411"/>
      <c r="N11" s="411"/>
      <c r="O11" s="411"/>
    </row>
    <row r="12" spans="1:15" x14ac:dyDescent="0.3">
      <c r="B12" s="323"/>
      <c r="C12" s="272"/>
      <c r="D12" s="273"/>
      <c r="E12" s="274"/>
      <c r="F12" s="275"/>
      <c r="I12" s="411"/>
      <c r="J12" s="411"/>
      <c r="K12" s="411"/>
      <c r="L12" s="411"/>
      <c r="M12" s="411"/>
      <c r="N12" s="411"/>
      <c r="O12" s="411"/>
    </row>
    <row r="13" spans="1:15" ht="28.5" customHeight="1" x14ac:dyDescent="0.3">
      <c r="B13" s="323"/>
      <c r="C13" s="272"/>
      <c r="D13" s="273"/>
      <c r="E13" s="274"/>
      <c r="F13" s="275"/>
      <c r="I13" s="411"/>
      <c r="J13" s="411"/>
      <c r="K13" s="411"/>
      <c r="L13" s="411"/>
      <c r="M13" s="411"/>
      <c r="N13" s="411"/>
      <c r="O13" s="411"/>
    </row>
    <row r="14" spans="1:15" ht="28.5" customHeight="1" x14ac:dyDescent="0.3">
      <c r="B14" s="323"/>
      <c r="C14" s="272"/>
      <c r="D14" s="273"/>
      <c r="E14" s="274"/>
      <c r="F14" s="275"/>
      <c r="I14" s="411"/>
      <c r="J14" s="411"/>
      <c r="K14" s="411"/>
      <c r="L14" s="411"/>
      <c r="M14" s="411"/>
      <c r="N14" s="411"/>
      <c r="O14" s="411"/>
    </row>
    <row r="15" spans="1:15" ht="28.5" customHeight="1" x14ac:dyDescent="0.3">
      <c r="B15" s="323"/>
      <c r="C15" s="22"/>
      <c r="D15" s="25"/>
      <c r="E15" s="23"/>
      <c r="F15" s="24"/>
      <c r="I15" s="411"/>
      <c r="J15" s="411"/>
      <c r="K15" s="411"/>
      <c r="L15" s="411"/>
      <c r="M15" s="411"/>
      <c r="N15" s="411"/>
      <c r="O15" s="411"/>
    </row>
    <row r="16" spans="1:15" ht="28.5" customHeight="1" x14ac:dyDescent="0.3">
      <c r="B16" s="323"/>
      <c r="C16" s="22"/>
      <c r="D16" s="25"/>
      <c r="E16" s="23"/>
      <c r="F16" s="24"/>
      <c r="I16" s="411"/>
      <c r="J16" s="411"/>
      <c r="K16" s="411"/>
      <c r="L16" s="411"/>
      <c r="M16" s="411"/>
      <c r="N16" s="411"/>
      <c r="O16" s="411"/>
    </row>
    <row r="17" spans="2:15" ht="28.5" customHeight="1" x14ac:dyDescent="0.3">
      <c r="B17" s="323"/>
      <c r="C17" s="22"/>
      <c r="D17" s="25"/>
      <c r="E17" s="23"/>
      <c r="F17" s="24"/>
      <c r="I17" s="411"/>
      <c r="J17" s="411"/>
      <c r="K17" s="411"/>
      <c r="L17" s="411"/>
      <c r="M17" s="411"/>
      <c r="N17" s="411"/>
      <c r="O17" s="411"/>
    </row>
    <row r="18" spans="2:15" ht="28.5" customHeight="1" x14ac:dyDescent="0.3">
      <c r="B18" s="323"/>
      <c r="C18" s="22"/>
      <c r="D18" s="25"/>
      <c r="E18" s="23"/>
      <c r="F18" s="24"/>
      <c r="I18" s="411"/>
      <c r="J18" s="411"/>
      <c r="K18" s="411"/>
      <c r="L18" s="411"/>
      <c r="M18" s="411"/>
      <c r="N18" s="411"/>
      <c r="O18" s="411"/>
    </row>
    <row r="19" spans="2:15" x14ac:dyDescent="0.3">
      <c r="B19" s="323"/>
      <c r="C19" s="22"/>
      <c r="D19" s="175"/>
      <c r="E19" s="176"/>
      <c r="F19" s="174"/>
      <c r="I19" s="11"/>
      <c r="J19" s="11"/>
      <c r="K19" s="11"/>
      <c r="L19" s="11"/>
      <c r="M19" s="11"/>
      <c r="N19" s="11"/>
      <c r="O19" s="11"/>
    </row>
    <row r="20" spans="2:15" ht="28.5" customHeight="1" x14ac:dyDescent="0.3">
      <c r="B20" s="323"/>
      <c r="C20" s="22"/>
      <c r="D20" s="25"/>
      <c r="E20" s="23"/>
      <c r="F20" s="24"/>
    </row>
    <row r="21" spans="2:15" ht="28.5" customHeight="1" x14ac:dyDescent="0.3">
      <c r="B21" s="323"/>
      <c r="C21" s="22"/>
      <c r="D21" s="25"/>
      <c r="E21" s="23"/>
      <c r="F21" s="24"/>
    </row>
    <row r="22" spans="2:15" ht="28.5" customHeight="1" x14ac:dyDescent="0.3">
      <c r="B22" s="323"/>
      <c r="C22" s="25"/>
      <c r="D22" s="25"/>
      <c r="E22" s="23"/>
      <c r="F22" s="24"/>
    </row>
    <row r="23" spans="2:15" ht="28.5" customHeight="1" x14ac:dyDescent="0.3">
      <c r="B23" s="323"/>
      <c r="C23" s="25"/>
      <c r="D23" s="25"/>
      <c r="E23" s="23"/>
      <c r="F23" s="24"/>
    </row>
    <row r="24" spans="2:15" ht="28.5" customHeight="1" x14ac:dyDescent="0.3">
      <c r="B24" s="305"/>
      <c r="C24" s="306"/>
      <c r="D24" s="306"/>
      <c r="E24" s="307"/>
      <c r="F24" s="308"/>
    </row>
    <row r="25" spans="2:15" x14ac:dyDescent="0.3">
      <c r="B25" s="9"/>
      <c r="C25" s="9"/>
      <c r="D25" s="9"/>
      <c r="E25" s="10"/>
      <c r="F25" s="9"/>
    </row>
  </sheetData>
  <mergeCells count="2">
    <mergeCell ref="B2:F2"/>
    <mergeCell ref="I10:O1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7"/>
  </sheetPr>
  <dimension ref="A1:AC198"/>
  <sheetViews>
    <sheetView showGridLines="0" zoomScale="85" zoomScaleNormal="85" workbookViewId="0">
      <selection activeCell="A2" sqref="A2"/>
    </sheetView>
  </sheetViews>
  <sheetFormatPr defaultColWidth="0" defaultRowHeight="0" customHeight="1" zeroHeight="1" x14ac:dyDescent="0.3"/>
  <cols>
    <col min="1" max="9" width="7.58203125" customWidth="1"/>
    <col min="10" max="10" width="1" customWidth="1"/>
    <col min="11" max="19" width="7.58203125" customWidth="1"/>
    <col min="20" max="20" width="1" customWidth="1"/>
    <col min="21" max="21" width="75.08203125" customWidth="1"/>
    <col min="22" max="16384" width="7.58203125" hidden="1"/>
  </cols>
  <sheetData>
    <row r="1" spans="1:21" ht="41.25" customHeight="1" x14ac:dyDescent="0.3">
      <c r="A1" s="46" t="s">
        <v>153</v>
      </c>
      <c r="B1" s="39"/>
      <c r="C1" s="39"/>
      <c r="D1" s="39"/>
      <c r="E1" s="39"/>
    </row>
    <row r="2" spans="1:21" ht="8.25" customHeight="1" x14ac:dyDescent="0.3">
      <c r="A2" s="33"/>
      <c r="B2" s="33"/>
      <c r="C2" s="33"/>
      <c r="D2" s="33"/>
      <c r="E2" s="33"/>
      <c r="F2" s="33"/>
      <c r="G2" s="33"/>
      <c r="H2" s="33"/>
      <c r="I2" s="33"/>
      <c r="K2" s="33"/>
      <c r="L2" s="33"/>
      <c r="M2" s="33"/>
      <c r="N2" s="33"/>
      <c r="O2" s="33"/>
      <c r="P2" s="33"/>
      <c r="Q2" s="33"/>
      <c r="R2" s="33"/>
      <c r="S2" s="33"/>
    </row>
    <row r="3" spans="1:21" s="36" customFormat="1" ht="18" customHeight="1" x14ac:dyDescent="0.3">
      <c r="A3" s="412" t="s">
        <v>126</v>
      </c>
      <c r="B3" s="412"/>
      <c r="C3" s="412"/>
      <c r="D3" s="412"/>
      <c r="E3" s="412"/>
      <c r="F3" s="412"/>
      <c r="G3" s="412"/>
      <c r="H3" s="412"/>
      <c r="I3" s="412"/>
      <c r="J3" s="34"/>
      <c r="K3" s="412" t="s">
        <v>127</v>
      </c>
      <c r="L3" s="412"/>
      <c r="M3" s="412"/>
      <c r="N3" s="412"/>
      <c r="O3" s="412"/>
      <c r="P3" s="412"/>
      <c r="Q3" s="412"/>
      <c r="R3" s="412"/>
      <c r="S3" s="412"/>
      <c r="T3" s="35"/>
      <c r="U3" s="40" t="s">
        <v>154</v>
      </c>
    </row>
    <row r="4" spans="1:21" ht="6" customHeight="1" x14ac:dyDescent="0.3">
      <c r="A4" s="33"/>
      <c r="B4" s="33"/>
      <c r="C4" s="33"/>
      <c r="D4" s="33"/>
      <c r="E4" s="33"/>
      <c r="F4" s="33"/>
      <c r="G4" s="33"/>
      <c r="H4" s="33"/>
      <c r="I4" s="33"/>
      <c r="J4" s="37"/>
      <c r="K4" s="33"/>
      <c r="L4" s="33"/>
      <c r="M4" s="33"/>
      <c r="N4" s="33"/>
      <c r="O4" s="33"/>
      <c r="P4" s="33"/>
      <c r="Q4" s="33"/>
      <c r="R4" s="33"/>
      <c r="S4" s="33"/>
      <c r="T4" s="37"/>
    </row>
    <row r="5" spans="1:21" ht="14.5" customHeight="1" x14ac:dyDescent="0.3">
      <c r="A5" s="413" t="s">
        <v>155</v>
      </c>
      <c r="B5" s="414"/>
      <c r="C5" s="414"/>
      <c r="D5" s="414"/>
      <c r="E5" s="414"/>
      <c r="F5" s="414"/>
      <c r="G5" s="414"/>
      <c r="H5" s="414"/>
      <c r="I5" s="414"/>
      <c r="J5" s="37"/>
      <c r="K5" s="415" t="s">
        <v>156</v>
      </c>
      <c r="L5" s="416"/>
      <c r="M5" s="416"/>
      <c r="N5" s="416"/>
      <c r="O5" s="416"/>
      <c r="P5" s="416"/>
      <c r="Q5" s="416"/>
      <c r="R5" s="416"/>
      <c r="S5" s="416"/>
      <c r="T5" s="37"/>
      <c r="U5" s="417" t="s">
        <v>157</v>
      </c>
    </row>
    <row r="6" spans="1:21" ht="14" x14ac:dyDescent="0.3">
      <c r="A6" s="414"/>
      <c r="B6" s="414"/>
      <c r="C6" s="414"/>
      <c r="D6" s="414"/>
      <c r="E6" s="414"/>
      <c r="F6" s="414"/>
      <c r="G6" s="414"/>
      <c r="H6" s="414"/>
      <c r="I6" s="414"/>
      <c r="J6" s="37"/>
      <c r="K6" s="416"/>
      <c r="L6" s="416"/>
      <c r="M6" s="416"/>
      <c r="N6" s="416"/>
      <c r="O6" s="416"/>
      <c r="P6" s="416"/>
      <c r="Q6" s="416"/>
      <c r="R6" s="416"/>
      <c r="S6" s="416"/>
      <c r="T6" s="37"/>
      <c r="U6" s="418"/>
    </row>
    <row r="7" spans="1:21" ht="14.5" customHeight="1" x14ac:dyDescent="0.3">
      <c r="A7" s="414"/>
      <c r="B7" s="414"/>
      <c r="C7" s="414"/>
      <c r="D7" s="414"/>
      <c r="E7" s="414"/>
      <c r="F7" s="414"/>
      <c r="G7" s="414"/>
      <c r="H7" s="414"/>
      <c r="I7" s="414"/>
      <c r="J7" s="37"/>
      <c r="K7" s="416"/>
      <c r="L7" s="416"/>
      <c r="M7" s="416"/>
      <c r="N7" s="416"/>
      <c r="O7" s="416"/>
      <c r="P7" s="416"/>
      <c r="Q7" s="416"/>
      <c r="R7" s="416"/>
      <c r="S7" s="416"/>
      <c r="T7" s="37"/>
      <c r="U7" s="418"/>
    </row>
    <row r="8" spans="1:21" ht="14.5" customHeight="1" x14ac:dyDescent="0.3">
      <c r="A8" s="414"/>
      <c r="B8" s="414"/>
      <c r="C8" s="414"/>
      <c r="D8" s="414"/>
      <c r="E8" s="414"/>
      <c r="F8" s="414"/>
      <c r="G8" s="414"/>
      <c r="H8" s="414"/>
      <c r="I8" s="414"/>
      <c r="J8" s="37"/>
      <c r="K8" s="416"/>
      <c r="L8" s="416"/>
      <c r="M8" s="416"/>
      <c r="N8" s="416"/>
      <c r="O8" s="416"/>
      <c r="P8" s="416"/>
      <c r="Q8" s="416"/>
      <c r="R8" s="416"/>
      <c r="S8" s="416"/>
      <c r="T8" s="37"/>
    </row>
    <row r="9" spans="1:21" ht="14.5" customHeight="1" x14ac:dyDescent="0.3">
      <c r="A9" s="414"/>
      <c r="B9" s="414"/>
      <c r="C9" s="414"/>
      <c r="D9" s="414"/>
      <c r="E9" s="414"/>
      <c r="F9" s="414"/>
      <c r="G9" s="414"/>
      <c r="H9" s="414"/>
      <c r="I9" s="414"/>
      <c r="J9" s="37"/>
      <c r="K9" s="416"/>
      <c r="L9" s="416"/>
      <c r="M9" s="416"/>
      <c r="N9" s="416"/>
      <c r="O9" s="416"/>
      <c r="P9" s="416"/>
      <c r="Q9" s="416"/>
      <c r="R9" s="416"/>
      <c r="S9" s="416"/>
      <c r="T9" s="37"/>
      <c r="U9" s="38" t="s">
        <v>158</v>
      </c>
    </row>
    <row r="10" spans="1:21" ht="14" x14ac:dyDescent="0.3">
      <c r="A10" s="414"/>
      <c r="B10" s="414"/>
      <c r="C10" s="414"/>
      <c r="D10" s="414"/>
      <c r="E10" s="414"/>
      <c r="F10" s="414"/>
      <c r="G10" s="414"/>
      <c r="H10" s="414"/>
      <c r="I10" s="414"/>
      <c r="J10" s="37"/>
      <c r="K10" s="416"/>
      <c r="L10" s="416"/>
      <c r="M10" s="416"/>
      <c r="N10" s="416"/>
      <c r="O10" s="416"/>
      <c r="P10" s="416"/>
      <c r="Q10" s="416"/>
      <c r="R10" s="416"/>
      <c r="S10" s="416"/>
      <c r="T10" s="37"/>
    </row>
    <row r="11" spans="1:21" ht="14" x14ac:dyDescent="0.3">
      <c r="A11" s="414"/>
      <c r="B11" s="414"/>
      <c r="C11" s="414"/>
      <c r="D11" s="414"/>
      <c r="E11" s="414"/>
      <c r="F11" s="414"/>
      <c r="G11" s="414"/>
      <c r="H11" s="414"/>
      <c r="I11" s="414"/>
      <c r="J11" s="37"/>
      <c r="K11" s="416"/>
      <c r="L11" s="416"/>
      <c r="M11" s="416"/>
      <c r="N11" s="416"/>
      <c r="O11" s="416"/>
      <c r="P11" s="416"/>
      <c r="Q11" s="416"/>
      <c r="R11" s="416"/>
      <c r="S11" s="416"/>
      <c r="T11" s="37"/>
    </row>
    <row r="12" spans="1:21" ht="14" x14ac:dyDescent="0.3">
      <c r="A12" s="414"/>
      <c r="B12" s="414"/>
      <c r="C12" s="414"/>
      <c r="D12" s="414"/>
      <c r="E12" s="414"/>
      <c r="F12" s="414"/>
      <c r="G12" s="414"/>
      <c r="H12" s="414"/>
      <c r="I12" s="414"/>
      <c r="J12" s="37"/>
      <c r="K12" s="416"/>
      <c r="L12" s="416"/>
      <c r="M12" s="416"/>
      <c r="N12" s="416"/>
      <c r="O12" s="416"/>
      <c r="P12" s="416"/>
      <c r="Q12" s="416"/>
      <c r="R12" s="416"/>
      <c r="S12" s="416"/>
      <c r="T12" s="37"/>
    </row>
    <row r="13" spans="1:21" ht="14" x14ac:dyDescent="0.3">
      <c r="A13" s="414"/>
      <c r="B13" s="414"/>
      <c r="C13" s="414"/>
      <c r="D13" s="414"/>
      <c r="E13" s="414"/>
      <c r="F13" s="414"/>
      <c r="G13" s="414"/>
      <c r="H13" s="414"/>
      <c r="I13" s="414"/>
      <c r="J13" s="37"/>
      <c r="K13" s="416"/>
      <c r="L13" s="416"/>
      <c r="M13" s="416"/>
      <c r="N13" s="416"/>
      <c r="O13" s="416"/>
      <c r="P13" s="416"/>
      <c r="Q13" s="416"/>
      <c r="R13" s="416"/>
      <c r="S13" s="416"/>
      <c r="T13" s="37"/>
    </row>
    <row r="14" spans="1:21" ht="14" x14ac:dyDescent="0.3">
      <c r="A14" s="414"/>
      <c r="B14" s="414"/>
      <c r="C14" s="414"/>
      <c r="D14" s="414"/>
      <c r="E14" s="414"/>
      <c r="F14" s="414"/>
      <c r="G14" s="414"/>
      <c r="H14" s="414"/>
      <c r="I14" s="414"/>
      <c r="J14" s="37"/>
      <c r="K14" s="416"/>
      <c r="L14" s="416"/>
      <c r="M14" s="416"/>
      <c r="N14" s="416"/>
      <c r="O14" s="416"/>
      <c r="P14" s="416"/>
      <c r="Q14" s="416"/>
      <c r="R14" s="416"/>
      <c r="S14" s="416"/>
      <c r="T14" s="37"/>
    </row>
    <row r="15" spans="1:21" ht="14" x14ac:dyDescent="0.3">
      <c r="A15" s="414"/>
      <c r="B15" s="414"/>
      <c r="C15" s="414"/>
      <c r="D15" s="414"/>
      <c r="E15" s="414"/>
      <c r="F15" s="414"/>
      <c r="G15" s="414"/>
      <c r="H15" s="414"/>
      <c r="I15" s="414"/>
      <c r="J15" s="37"/>
      <c r="K15" s="416"/>
      <c r="L15" s="416"/>
      <c r="M15" s="416"/>
      <c r="N15" s="416"/>
      <c r="O15" s="416"/>
      <c r="P15" s="416"/>
      <c r="Q15" s="416"/>
      <c r="R15" s="416"/>
      <c r="S15" s="416"/>
      <c r="T15" s="37"/>
    </row>
    <row r="16" spans="1:21" ht="14.5" customHeight="1" x14ac:dyDescent="0.3">
      <c r="A16" s="414"/>
      <c r="B16" s="414"/>
      <c r="C16" s="414"/>
      <c r="D16" s="414"/>
      <c r="E16" s="414"/>
      <c r="F16" s="414"/>
      <c r="G16" s="414"/>
      <c r="H16" s="414"/>
      <c r="I16" s="414"/>
      <c r="J16" s="37"/>
      <c r="K16" s="416"/>
      <c r="L16" s="416"/>
      <c r="M16" s="416"/>
      <c r="N16" s="416"/>
      <c r="O16" s="416"/>
      <c r="P16" s="416"/>
      <c r="Q16" s="416"/>
      <c r="R16" s="416"/>
      <c r="S16" s="416"/>
      <c r="T16" s="37"/>
    </row>
    <row r="17" spans="1:20" ht="14" x14ac:dyDescent="0.3">
      <c r="A17" s="414"/>
      <c r="B17" s="414"/>
      <c r="C17" s="414"/>
      <c r="D17" s="414"/>
      <c r="E17" s="414"/>
      <c r="F17" s="414"/>
      <c r="G17" s="414"/>
      <c r="H17" s="414"/>
      <c r="I17" s="414"/>
      <c r="J17" s="37"/>
      <c r="K17" s="416"/>
      <c r="L17" s="416"/>
      <c r="M17" s="416"/>
      <c r="N17" s="416"/>
      <c r="O17" s="416"/>
      <c r="P17" s="416"/>
      <c r="Q17" s="416"/>
      <c r="R17" s="416"/>
      <c r="S17" s="416"/>
      <c r="T17" s="37"/>
    </row>
    <row r="18" spans="1:20" ht="14.5" customHeight="1" x14ac:dyDescent="0.3">
      <c r="A18" s="414"/>
      <c r="B18" s="414"/>
      <c r="C18" s="414"/>
      <c r="D18" s="414"/>
      <c r="E18" s="414"/>
      <c r="F18" s="414"/>
      <c r="G18" s="414"/>
      <c r="H18" s="414"/>
      <c r="I18" s="414"/>
      <c r="J18" s="37"/>
      <c r="K18" s="416"/>
      <c r="L18" s="416"/>
      <c r="M18" s="416"/>
      <c r="N18" s="416"/>
      <c r="O18" s="416"/>
      <c r="P18" s="416"/>
      <c r="Q18" s="416"/>
      <c r="R18" s="416"/>
      <c r="S18" s="416"/>
      <c r="T18" s="37"/>
    </row>
    <row r="19" spans="1:20" ht="14" x14ac:dyDescent="0.3">
      <c r="A19" s="414"/>
      <c r="B19" s="414"/>
      <c r="C19" s="414"/>
      <c r="D19" s="414"/>
      <c r="E19" s="414"/>
      <c r="F19" s="414"/>
      <c r="G19" s="414"/>
      <c r="H19" s="414"/>
      <c r="I19" s="414"/>
      <c r="J19" s="37"/>
      <c r="K19" s="416"/>
      <c r="L19" s="416"/>
      <c r="M19" s="416"/>
      <c r="N19" s="416"/>
      <c r="O19" s="416"/>
      <c r="P19" s="416"/>
      <c r="Q19" s="416"/>
      <c r="R19" s="416"/>
      <c r="S19" s="416"/>
      <c r="T19" s="37"/>
    </row>
    <row r="20" spans="1:20" ht="14" x14ac:dyDescent="0.3">
      <c r="A20" s="414"/>
      <c r="B20" s="414"/>
      <c r="C20" s="414"/>
      <c r="D20" s="414"/>
      <c r="E20" s="414"/>
      <c r="F20" s="414"/>
      <c r="G20" s="414"/>
      <c r="H20" s="414"/>
      <c r="I20" s="414"/>
      <c r="J20" s="37"/>
      <c r="K20" s="416"/>
      <c r="L20" s="416"/>
      <c r="M20" s="416"/>
      <c r="N20" s="416"/>
      <c r="O20" s="416"/>
      <c r="P20" s="416"/>
      <c r="Q20" s="416"/>
      <c r="R20" s="416"/>
      <c r="S20" s="416"/>
      <c r="T20" s="37"/>
    </row>
    <row r="21" spans="1:20" ht="14" x14ac:dyDescent="0.3">
      <c r="A21" s="414"/>
      <c r="B21" s="414"/>
      <c r="C21" s="414"/>
      <c r="D21" s="414"/>
      <c r="E21" s="414"/>
      <c r="F21" s="414"/>
      <c r="G21" s="414"/>
      <c r="H21" s="414"/>
      <c r="I21" s="414"/>
      <c r="J21" s="37"/>
      <c r="K21" s="416"/>
      <c r="L21" s="416"/>
      <c r="M21" s="416"/>
      <c r="N21" s="416"/>
      <c r="O21" s="416"/>
      <c r="P21" s="416"/>
      <c r="Q21" s="416"/>
      <c r="R21" s="416"/>
      <c r="S21" s="416"/>
      <c r="T21" s="37"/>
    </row>
    <row r="22" spans="1:20" ht="14" x14ac:dyDescent="0.3">
      <c r="A22" s="414"/>
      <c r="B22" s="414"/>
      <c r="C22" s="414"/>
      <c r="D22" s="414"/>
      <c r="E22" s="414"/>
      <c r="F22" s="414"/>
      <c r="G22" s="414"/>
      <c r="H22" s="414"/>
      <c r="I22" s="414"/>
      <c r="J22" s="37"/>
      <c r="K22" s="416"/>
      <c r="L22" s="416"/>
      <c r="M22" s="416"/>
      <c r="N22" s="416"/>
      <c r="O22" s="416"/>
      <c r="P22" s="416"/>
      <c r="Q22" s="416"/>
      <c r="R22" s="416"/>
      <c r="S22" s="416"/>
      <c r="T22" s="37"/>
    </row>
    <row r="23" spans="1:20" ht="14" x14ac:dyDescent="0.3">
      <c r="A23" s="414"/>
      <c r="B23" s="414"/>
      <c r="C23" s="414"/>
      <c r="D23" s="414"/>
      <c r="E23" s="414"/>
      <c r="F23" s="414"/>
      <c r="G23" s="414"/>
      <c r="H23" s="414"/>
      <c r="I23" s="414"/>
      <c r="J23" s="37"/>
      <c r="K23" s="416"/>
      <c r="L23" s="416"/>
      <c r="M23" s="416"/>
      <c r="N23" s="416"/>
      <c r="O23" s="416"/>
      <c r="P23" s="416"/>
      <c r="Q23" s="416"/>
      <c r="R23" s="416"/>
      <c r="S23" s="416"/>
      <c r="T23" s="37"/>
    </row>
    <row r="24" spans="1:20" ht="14" x14ac:dyDescent="0.3">
      <c r="A24" s="414"/>
      <c r="B24" s="414"/>
      <c r="C24" s="414"/>
      <c r="D24" s="414"/>
      <c r="E24" s="414"/>
      <c r="F24" s="414"/>
      <c r="G24" s="414"/>
      <c r="H24" s="414"/>
      <c r="I24" s="414"/>
      <c r="J24" s="37"/>
      <c r="K24" s="416"/>
      <c r="L24" s="416"/>
      <c r="M24" s="416"/>
      <c r="N24" s="416"/>
      <c r="O24" s="416"/>
      <c r="P24" s="416"/>
      <c r="Q24" s="416"/>
      <c r="R24" s="416"/>
      <c r="S24" s="416"/>
      <c r="T24" s="37"/>
    </row>
    <row r="25" spans="1:20" ht="14" x14ac:dyDescent="0.3">
      <c r="A25" s="414"/>
      <c r="B25" s="414"/>
      <c r="C25" s="414"/>
      <c r="D25" s="414"/>
      <c r="E25" s="414"/>
      <c r="F25" s="414"/>
      <c r="G25" s="414"/>
      <c r="H25" s="414"/>
      <c r="I25" s="414"/>
      <c r="J25" s="37"/>
      <c r="K25" s="416"/>
      <c r="L25" s="416"/>
      <c r="M25" s="416"/>
      <c r="N25" s="416"/>
      <c r="O25" s="416"/>
      <c r="P25" s="416"/>
      <c r="Q25" s="416"/>
      <c r="R25" s="416"/>
      <c r="S25" s="416"/>
      <c r="T25" s="37"/>
    </row>
    <row r="26" spans="1:20" ht="14" x14ac:dyDescent="0.3">
      <c r="A26" s="414"/>
      <c r="B26" s="414"/>
      <c r="C26" s="414"/>
      <c r="D26" s="414"/>
      <c r="E26" s="414"/>
      <c r="F26" s="414"/>
      <c r="G26" s="414"/>
      <c r="H26" s="414"/>
      <c r="I26" s="414"/>
      <c r="J26" s="37"/>
      <c r="K26" s="416"/>
      <c r="L26" s="416"/>
      <c r="M26" s="416"/>
      <c r="N26" s="416"/>
      <c r="O26" s="416"/>
      <c r="P26" s="416"/>
      <c r="Q26" s="416"/>
      <c r="R26" s="416"/>
      <c r="S26" s="416"/>
      <c r="T26" s="37"/>
    </row>
    <row r="27" spans="1:20" ht="14" x14ac:dyDescent="0.3">
      <c r="A27" s="414"/>
      <c r="B27" s="414"/>
      <c r="C27" s="414"/>
      <c r="D27" s="414"/>
      <c r="E27" s="414"/>
      <c r="F27" s="414"/>
      <c r="G27" s="414"/>
      <c r="H27" s="414"/>
      <c r="I27" s="414"/>
      <c r="J27" s="37"/>
      <c r="K27" s="416"/>
      <c r="L27" s="416"/>
      <c r="M27" s="416"/>
      <c r="N27" s="416"/>
      <c r="O27" s="416"/>
      <c r="P27" s="416"/>
      <c r="Q27" s="416"/>
      <c r="R27" s="416"/>
      <c r="S27" s="416"/>
      <c r="T27" s="37"/>
    </row>
    <row r="28" spans="1:20" ht="14" x14ac:dyDescent="0.3">
      <c r="A28" s="414"/>
      <c r="B28" s="414"/>
      <c r="C28" s="414"/>
      <c r="D28" s="414"/>
      <c r="E28" s="414"/>
      <c r="F28" s="414"/>
      <c r="G28" s="414"/>
      <c r="H28" s="414"/>
      <c r="I28" s="414"/>
      <c r="J28" s="37"/>
      <c r="K28" s="416"/>
      <c r="L28" s="416"/>
      <c r="M28" s="416"/>
      <c r="N28" s="416"/>
      <c r="O28" s="416"/>
      <c r="P28" s="416"/>
      <c r="Q28" s="416"/>
      <c r="R28" s="416"/>
      <c r="S28" s="416"/>
      <c r="T28" s="37"/>
    </row>
    <row r="29" spans="1:20" ht="14" x14ac:dyDescent="0.3">
      <c r="A29" s="414"/>
      <c r="B29" s="414"/>
      <c r="C29" s="414"/>
      <c r="D29" s="414"/>
      <c r="E29" s="414"/>
      <c r="F29" s="414"/>
      <c r="G29" s="414"/>
      <c r="H29" s="414"/>
      <c r="I29" s="414"/>
      <c r="J29" s="37"/>
      <c r="K29" s="416"/>
      <c r="L29" s="416"/>
      <c r="M29" s="416"/>
      <c r="N29" s="416"/>
      <c r="O29" s="416"/>
      <c r="P29" s="416"/>
      <c r="Q29" s="416"/>
      <c r="R29" s="416"/>
      <c r="S29" s="416"/>
      <c r="T29" s="37"/>
    </row>
    <row r="30" spans="1:20" ht="14" x14ac:dyDescent="0.3">
      <c r="A30" s="414"/>
      <c r="B30" s="414"/>
      <c r="C30" s="414"/>
      <c r="D30" s="414"/>
      <c r="E30" s="414"/>
      <c r="F30" s="414"/>
      <c r="G30" s="414"/>
      <c r="H30" s="414"/>
      <c r="I30" s="414"/>
      <c r="J30" s="37"/>
      <c r="K30" s="416"/>
      <c r="L30" s="416"/>
      <c r="M30" s="416"/>
      <c r="N30" s="416"/>
      <c r="O30" s="416"/>
      <c r="P30" s="416"/>
      <c r="Q30" s="416"/>
      <c r="R30" s="416"/>
      <c r="S30" s="416"/>
      <c r="T30" s="37"/>
    </row>
    <row r="31" spans="1:20" ht="14" x14ac:dyDescent="0.3">
      <c r="A31" s="414"/>
      <c r="B31" s="414"/>
      <c r="C31" s="414"/>
      <c r="D31" s="414"/>
      <c r="E31" s="414"/>
      <c r="F31" s="414"/>
      <c r="G31" s="414"/>
      <c r="H31" s="414"/>
      <c r="I31" s="414"/>
      <c r="J31" s="37"/>
      <c r="K31" s="416"/>
      <c r="L31" s="416"/>
      <c r="M31" s="416"/>
      <c r="N31" s="416"/>
      <c r="O31" s="416"/>
      <c r="P31" s="416"/>
      <c r="Q31" s="416"/>
      <c r="R31" s="416"/>
      <c r="S31" s="416"/>
      <c r="T31" s="37"/>
    </row>
    <row r="32" spans="1:20" ht="14" x14ac:dyDescent="0.3">
      <c r="A32" s="414"/>
      <c r="B32" s="414"/>
      <c r="C32" s="414"/>
      <c r="D32" s="414"/>
      <c r="E32" s="414"/>
      <c r="F32" s="414"/>
      <c r="G32" s="414"/>
      <c r="H32" s="414"/>
      <c r="I32" s="414"/>
      <c r="J32" s="37"/>
      <c r="K32" s="416"/>
      <c r="L32" s="416"/>
      <c r="M32" s="416"/>
      <c r="N32" s="416"/>
      <c r="O32" s="416"/>
      <c r="P32" s="416"/>
      <c r="Q32" s="416"/>
      <c r="R32" s="416"/>
      <c r="S32" s="416"/>
      <c r="T32" s="37"/>
    </row>
    <row r="33" spans="1:20" ht="14" x14ac:dyDescent="0.3">
      <c r="A33" s="414"/>
      <c r="B33" s="414"/>
      <c r="C33" s="414"/>
      <c r="D33" s="414"/>
      <c r="E33" s="414"/>
      <c r="F33" s="414"/>
      <c r="G33" s="414"/>
      <c r="H33" s="414"/>
      <c r="I33" s="414"/>
      <c r="J33" s="37"/>
      <c r="K33" s="416"/>
      <c r="L33" s="416"/>
      <c r="M33" s="416"/>
      <c r="N33" s="416"/>
      <c r="O33" s="416"/>
      <c r="P33" s="416"/>
      <c r="Q33" s="416"/>
      <c r="R33" s="416"/>
      <c r="S33" s="416"/>
      <c r="T33" s="37"/>
    </row>
    <row r="34" spans="1:20" ht="14" x14ac:dyDescent="0.3">
      <c r="A34" s="414"/>
      <c r="B34" s="414"/>
      <c r="C34" s="414"/>
      <c r="D34" s="414"/>
      <c r="E34" s="414"/>
      <c r="F34" s="414"/>
      <c r="G34" s="414"/>
      <c r="H34" s="414"/>
      <c r="I34" s="414"/>
      <c r="J34" s="37"/>
      <c r="K34" s="416"/>
      <c r="L34" s="416"/>
      <c r="M34" s="416"/>
      <c r="N34" s="416"/>
      <c r="O34" s="416"/>
      <c r="P34" s="416"/>
      <c r="Q34" s="416"/>
      <c r="R34" s="416"/>
      <c r="S34" s="416"/>
      <c r="T34" s="37"/>
    </row>
    <row r="35" spans="1:20" ht="14" x14ac:dyDescent="0.3">
      <c r="A35" s="414"/>
      <c r="B35" s="414"/>
      <c r="C35" s="414"/>
      <c r="D35" s="414"/>
      <c r="E35" s="414"/>
      <c r="F35" s="414"/>
      <c r="G35" s="414"/>
      <c r="H35" s="414"/>
      <c r="I35" s="414"/>
      <c r="J35" s="37"/>
      <c r="K35" s="416"/>
      <c r="L35" s="416"/>
      <c r="M35" s="416"/>
      <c r="N35" s="416"/>
      <c r="O35" s="416"/>
      <c r="P35" s="416"/>
      <c r="Q35" s="416"/>
      <c r="R35" s="416"/>
      <c r="S35" s="416"/>
      <c r="T35" s="37"/>
    </row>
    <row r="36" spans="1:20" ht="14" x14ac:dyDescent="0.3">
      <c r="A36" s="414"/>
      <c r="B36" s="414"/>
      <c r="C36" s="414"/>
      <c r="D36" s="414"/>
      <c r="E36" s="414"/>
      <c r="F36" s="414"/>
      <c r="G36" s="414"/>
      <c r="H36" s="414"/>
      <c r="I36" s="414"/>
      <c r="J36" s="37"/>
      <c r="K36" s="416"/>
      <c r="L36" s="416"/>
      <c r="M36" s="416"/>
      <c r="N36" s="416"/>
      <c r="O36" s="416"/>
      <c r="P36" s="416"/>
      <c r="Q36" s="416"/>
      <c r="R36" s="416"/>
      <c r="S36" s="416"/>
      <c r="T36" s="37"/>
    </row>
    <row r="37" spans="1:20" ht="14" x14ac:dyDescent="0.3">
      <c r="A37" s="414"/>
      <c r="B37" s="414"/>
      <c r="C37" s="414"/>
      <c r="D37" s="414"/>
      <c r="E37" s="414"/>
      <c r="F37" s="414"/>
      <c r="G37" s="414"/>
      <c r="H37" s="414"/>
      <c r="I37" s="414"/>
      <c r="J37" s="37"/>
      <c r="K37" s="416"/>
      <c r="L37" s="416"/>
      <c r="M37" s="416"/>
      <c r="N37" s="416"/>
      <c r="O37" s="416"/>
      <c r="P37" s="416"/>
      <c r="Q37" s="416"/>
      <c r="R37" s="416"/>
      <c r="S37" s="416"/>
      <c r="T37" s="37"/>
    </row>
    <row r="38" spans="1:20" ht="14" x14ac:dyDescent="0.3">
      <c r="A38" s="414"/>
      <c r="B38" s="414"/>
      <c r="C38" s="414"/>
      <c r="D38" s="414"/>
      <c r="E38" s="414"/>
      <c r="F38" s="414"/>
      <c r="G38" s="414"/>
      <c r="H38" s="414"/>
      <c r="I38" s="414"/>
      <c r="J38" s="37"/>
      <c r="K38" s="416"/>
      <c r="L38" s="416"/>
      <c r="M38" s="416"/>
      <c r="N38" s="416"/>
      <c r="O38" s="416"/>
      <c r="P38" s="416"/>
      <c r="Q38" s="416"/>
      <c r="R38" s="416"/>
      <c r="S38" s="416"/>
      <c r="T38" s="37"/>
    </row>
    <row r="39" spans="1:20" ht="14" x14ac:dyDescent="0.3">
      <c r="A39" s="414"/>
      <c r="B39" s="414"/>
      <c r="C39" s="414"/>
      <c r="D39" s="414"/>
      <c r="E39" s="414"/>
      <c r="F39" s="414"/>
      <c r="G39" s="414"/>
      <c r="H39" s="414"/>
      <c r="I39" s="414"/>
      <c r="J39" s="37"/>
      <c r="K39" s="416"/>
      <c r="L39" s="416"/>
      <c r="M39" s="416"/>
      <c r="N39" s="416"/>
      <c r="O39" s="416"/>
      <c r="P39" s="416"/>
      <c r="Q39" s="416"/>
      <c r="R39" s="416"/>
      <c r="S39" s="416"/>
      <c r="T39" s="37"/>
    </row>
    <row r="40" spans="1:20" ht="14" x14ac:dyDescent="0.3">
      <c r="A40" s="414"/>
      <c r="B40" s="414"/>
      <c r="C40" s="414"/>
      <c r="D40" s="414"/>
      <c r="E40" s="414"/>
      <c r="F40" s="414"/>
      <c r="G40" s="414"/>
      <c r="H40" s="414"/>
      <c r="I40" s="414"/>
      <c r="J40" s="37"/>
      <c r="K40" s="416"/>
      <c r="L40" s="416"/>
      <c r="M40" s="416"/>
      <c r="N40" s="416"/>
      <c r="O40" s="416"/>
      <c r="P40" s="416"/>
      <c r="Q40" s="416"/>
      <c r="R40" s="416"/>
      <c r="S40" s="416"/>
      <c r="T40" s="37"/>
    </row>
    <row r="41" spans="1:20" ht="14" x14ac:dyDescent="0.3">
      <c r="A41" s="414"/>
      <c r="B41" s="414"/>
      <c r="C41" s="414"/>
      <c r="D41" s="414"/>
      <c r="E41" s="414"/>
      <c r="F41" s="414"/>
      <c r="G41" s="414"/>
      <c r="H41" s="414"/>
      <c r="I41" s="414"/>
      <c r="J41" s="37"/>
      <c r="K41" s="416"/>
      <c r="L41" s="416"/>
      <c r="M41" s="416"/>
      <c r="N41" s="416"/>
      <c r="O41" s="416"/>
      <c r="P41" s="416"/>
      <c r="Q41" s="416"/>
      <c r="R41" s="416"/>
      <c r="S41" s="416"/>
      <c r="T41" s="37"/>
    </row>
    <row r="42" spans="1:20" ht="14" x14ac:dyDescent="0.3">
      <c r="A42" s="414"/>
      <c r="B42" s="414"/>
      <c r="C42" s="414"/>
      <c r="D42" s="414"/>
      <c r="E42" s="414"/>
      <c r="F42" s="414"/>
      <c r="G42" s="414"/>
      <c r="H42" s="414"/>
      <c r="I42" s="414"/>
      <c r="J42" s="37"/>
      <c r="K42" s="416"/>
      <c r="L42" s="416"/>
      <c r="M42" s="416"/>
      <c r="N42" s="416"/>
      <c r="O42" s="416"/>
      <c r="P42" s="416"/>
      <c r="Q42" s="416"/>
      <c r="R42" s="416"/>
      <c r="S42" s="416"/>
      <c r="T42" s="37"/>
    </row>
    <row r="43" spans="1:20" ht="14" x14ac:dyDescent="0.3">
      <c r="A43" s="414"/>
      <c r="B43" s="414"/>
      <c r="C43" s="414"/>
      <c r="D43" s="414"/>
      <c r="E43" s="414"/>
      <c r="F43" s="414"/>
      <c r="G43" s="414"/>
      <c r="H43" s="414"/>
      <c r="I43" s="414"/>
      <c r="J43" s="37"/>
      <c r="K43" s="416"/>
      <c r="L43" s="416"/>
      <c r="M43" s="416"/>
      <c r="N43" s="416"/>
      <c r="O43" s="416"/>
      <c r="P43" s="416"/>
      <c r="Q43" s="416"/>
      <c r="R43" s="416"/>
      <c r="S43" s="416"/>
      <c r="T43" s="37"/>
    </row>
    <row r="44" spans="1:20" ht="14" x14ac:dyDescent="0.3">
      <c r="A44" s="414"/>
      <c r="B44" s="414"/>
      <c r="C44" s="414"/>
      <c r="D44" s="414"/>
      <c r="E44" s="414"/>
      <c r="F44" s="414"/>
      <c r="G44" s="414"/>
      <c r="H44" s="414"/>
      <c r="I44" s="414"/>
      <c r="J44" s="37"/>
      <c r="K44" s="416"/>
      <c r="L44" s="416"/>
      <c r="M44" s="416"/>
      <c r="N44" s="416"/>
      <c r="O44" s="416"/>
      <c r="P44" s="416"/>
      <c r="Q44" s="416"/>
      <c r="R44" s="416"/>
      <c r="S44" s="416"/>
      <c r="T44" s="37"/>
    </row>
    <row r="45" spans="1:20" ht="14" x14ac:dyDescent="0.3">
      <c r="A45" s="414"/>
      <c r="B45" s="414"/>
      <c r="C45" s="414"/>
      <c r="D45" s="414"/>
      <c r="E45" s="414"/>
      <c r="F45" s="414"/>
      <c r="G45" s="414"/>
      <c r="H45" s="414"/>
      <c r="I45" s="414"/>
      <c r="J45" s="37"/>
      <c r="K45" s="416"/>
      <c r="L45" s="416"/>
      <c r="M45" s="416"/>
      <c r="N45" s="416"/>
      <c r="O45" s="416"/>
      <c r="P45" s="416"/>
      <c r="Q45" s="416"/>
      <c r="R45" s="416"/>
      <c r="S45" s="416"/>
      <c r="T45" s="37"/>
    </row>
    <row r="46" spans="1:20" ht="14" x14ac:dyDescent="0.3">
      <c r="A46" s="414"/>
      <c r="B46" s="414"/>
      <c r="C46" s="414"/>
      <c r="D46" s="414"/>
      <c r="E46" s="414"/>
      <c r="F46" s="414"/>
      <c r="G46" s="414"/>
      <c r="H46" s="414"/>
      <c r="I46" s="414"/>
      <c r="J46" s="37"/>
      <c r="K46" s="416"/>
      <c r="L46" s="416"/>
      <c r="M46" s="416"/>
      <c r="N46" s="416"/>
      <c r="O46" s="416"/>
      <c r="P46" s="416"/>
      <c r="Q46" s="416"/>
      <c r="R46" s="416"/>
      <c r="S46" s="416"/>
      <c r="T46" s="37"/>
    </row>
    <row r="47" spans="1:20" ht="14" x14ac:dyDescent="0.3">
      <c r="A47" s="414"/>
      <c r="B47" s="414"/>
      <c r="C47" s="414"/>
      <c r="D47" s="414"/>
      <c r="E47" s="414"/>
      <c r="F47" s="414"/>
      <c r="G47" s="414"/>
      <c r="H47" s="414"/>
      <c r="I47" s="414"/>
      <c r="J47" s="37"/>
      <c r="K47" s="416"/>
      <c r="L47" s="416"/>
      <c r="M47" s="416"/>
      <c r="N47" s="416"/>
      <c r="O47" s="416"/>
      <c r="P47" s="416"/>
      <c r="Q47" s="416"/>
      <c r="R47" s="416"/>
      <c r="S47" s="416"/>
      <c r="T47" s="37"/>
    </row>
    <row r="48" spans="1:20" ht="14" x14ac:dyDescent="0.3">
      <c r="A48" s="414"/>
      <c r="B48" s="414"/>
      <c r="C48" s="414"/>
      <c r="D48" s="414"/>
      <c r="E48" s="414"/>
      <c r="F48" s="414"/>
      <c r="G48" s="414"/>
      <c r="H48" s="414"/>
      <c r="I48" s="414"/>
      <c r="J48" s="37"/>
      <c r="K48" s="416"/>
      <c r="L48" s="416"/>
      <c r="M48" s="416"/>
      <c r="N48" s="416"/>
      <c r="O48" s="416"/>
      <c r="P48" s="416"/>
      <c r="Q48" s="416"/>
      <c r="R48" s="416"/>
      <c r="S48" s="416"/>
      <c r="T48" s="37"/>
    </row>
    <row r="49" spans="1:29" ht="14" x14ac:dyDescent="0.3">
      <c r="A49" s="414"/>
      <c r="B49" s="414"/>
      <c r="C49" s="414"/>
      <c r="D49" s="414"/>
      <c r="E49" s="414"/>
      <c r="F49" s="414"/>
      <c r="G49" s="414"/>
      <c r="H49" s="414"/>
      <c r="I49" s="414"/>
      <c r="J49" s="37"/>
      <c r="K49" s="416"/>
      <c r="L49" s="416"/>
      <c r="M49" s="416"/>
      <c r="N49" s="416"/>
      <c r="O49" s="416"/>
      <c r="P49" s="416"/>
      <c r="Q49" s="416"/>
      <c r="R49" s="416"/>
      <c r="S49" s="416"/>
      <c r="T49" s="37"/>
    </row>
    <row r="50" spans="1:29" ht="14" x14ac:dyDescent="0.3">
      <c r="A50" s="414"/>
      <c r="B50" s="414"/>
      <c r="C50" s="414"/>
      <c r="D50" s="414"/>
      <c r="E50" s="414"/>
      <c r="F50" s="414"/>
      <c r="G50" s="414"/>
      <c r="H50" s="414"/>
      <c r="I50" s="414"/>
      <c r="J50" s="37"/>
      <c r="K50" s="416"/>
      <c r="L50" s="416"/>
      <c r="M50" s="416"/>
      <c r="N50" s="416"/>
      <c r="O50" s="416"/>
      <c r="P50" s="416"/>
      <c r="Q50" s="416"/>
      <c r="R50" s="416"/>
      <c r="S50" s="416"/>
      <c r="T50" s="37"/>
    </row>
    <row r="51" spans="1:29" ht="14" x14ac:dyDescent="0.3">
      <c r="A51" s="414"/>
      <c r="B51" s="414"/>
      <c r="C51" s="414"/>
      <c r="D51" s="414"/>
      <c r="E51" s="414"/>
      <c r="F51" s="414"/>
      <c r="G51" s="414"/>
      <c r="H51" s="414"/>
      <c r="I51" s="414"/>
      <c r="J51" s="37"/>
      <c r="K51" s="416"/>
      <c r="L51" s="416"/>
      <c r="M51" s="416"/>
      <c r="N51" s="416"/>
      <c r="O51" s="416"/>
      <c r="P51" s="416"/>
      <c r="Q51" s="416"/>
      <c r="R51" s="416"/>
      <c r="S51" s="416"/>
      <c r="T51" s="37"/>
    </row>
    <row r="52" spans="1:29" ht="14" x14ac:dyDescent="0.3">
      <c r="A52" s="414"/>
      <c r="B52" s="414"/>
      <c r="C52" s="414"/>
      <c r="D52" s="414"/>
      <c r="E52" s="414"/>
      <c r="F52" s="414"/>
      <c r="G52" s="414"/>
      <c r="H52" s="414"/>
      <c r="I52" s="414"/>
      <c r="J52" s="37"/>
      <c r="K52" s="416"/>
      <c r="L52" s="416"/>
      <c r="M52" s="416"/>
      <c r="N52" s="416"/>
      <c r="O52" s="416"/>
      <c r="P52" s="416"/>
      <c r="Q52" s="416"/>
      <c r="R52" s="416"/>
      <c r="S52" s="416"/>
      <c r="T52" s="37"/>
    </row>
    <row r="53" spans="1:29" ht="14.5" customHeight="1" x14ac:dyDescent="0.3">
      <c r="A53" s="414"/>
      <c r="B53" s="414"/>
      <c r="C53" s="414"/>
      <c r="D53" s="414"/>
      <c r="E53" s="414"/>
      <c r="F53" s="414"/>
      <c r="G53" s="414"/>
      <c r="H53" s="414"/>
      <c r="I53" s="414"/>
      <c r="J53" s="37"/>
      <c r="K53" s="416"/>
      <c r="L53" s="416"/>
      <c r="M53" s="416"/>
      <c r="N53" s="416"/>
      <c r="O53" s="416"/>
      <c r="P53" s="416"/>
      <c r="Q53" s="416"/>
      <c r="R53" s="416"/>
      <c r="S53" s="416"/>
      <c r="T53" s="37"/>
    </row>
    <row r="54" spans="1:29" ht="14" x14ac:dyDescent="0.3">
      <c r="A54" s="414"/>
      <c r="B54" s="414"/>
      <c r="C54" s="414"/>
      <c r="D54" s="414"/>
      <c r="E54" s="414"/>
      <c r="F54" s="414"/>
      <c r="G54" s="414"/>
      <c r="H54" s="414"/>
      <c r="I54" s="414"/>
      <c r="J54" s="37"/>
      <c r="K54" s="416"/>
      <c r="L54" s="416"/>
      <c r="M54" s="416"/>
      <c r="N54" s="416"/>
      <c r="O54" s="416"/>
      <c r="P54" s="416"/>
      <c r="Q54" s="416"/>
      <c r="R54" s="416"/>
      <c r="S54" s="416"/>
      <c r="T54" s="37"/>
    </row>
    <row r="55" spans="1:29" ht="14" x14ac:dyDescent="0.3">
      <c r="A55" s="414"/>
      <c r="B55" s="414"/>
      <c r="C55" s="414"/>
      <c r="D55" s="414"/>
      <c r="E55" s="414"/>
      <c r="F55" s="414"/>
      <c r="G55" s="414"/>
      <c r="H55" s="414"/>
      <c r="I55" s="414"/>
      <c r="J55" s="37"/>
      <c r="K55" s="416"/>
      <c r="L55" s="416"/>
      <c r="M55" s="416"/>
      <c r="N55" s="416"/>
      <c r="O55" s="416"/>
      <c r="P55" s="416"/>
      <c r="Q55" s="416"/>
      <c r="R55" s="416"/>
      <c r="S55" s="416"/>
      <c r="T55" s="37"/>
    </row>
    <row r="56" spans="1:29" ht="14" x14ac:dyDescent="0.3">
      <c r="A56" s="414"/>
      <c r="B56" s="414"/>
      <c r="C56" s="414"/>
      <c r="D56" s="414"/>
      <c r="E56" s="414"/>
      <c r="F56" s="414"/>
      <c r="G56" s="414"/>
      <c r="H56" s="414"/>
      <c r="I56" s="414"/>
      <c r="J56" s="37"/>
      <c r="K56" s="416"/>
      <c r="L56" s="416"/>
      <c r="M56" s="416"/>
      <c r="N56" s="416"/>
      <c r="O56" s="416"/>
      <c r="P56" s="416"/>
      <c r="Q56" s="416"/>
      <c r="R56" s="416"/>
      <c r="S56" s="416"/>
      <c r="T56" s="37"/>
    </row>
    <row r="57" spans="1:29" ht="6" customHeight="1" x14ac:dyDescent="0.3">
      <c r="A57" s="33"/>
      <c r="B57" s="33"/>
      <c r="C57" s="33"/>
      <c r="D57" s="33"/>
      <c r="E57" s="33"/>
      <c r="F57" s="33"/>
      <c r="G57" s="33"/>
      <c r="H57" s="33"/>
      <c r="I57" s="33"/>
      <c r="J57" s="37"/>
      <c r="T57" s="37"/>
    </row>
    <row r="58" spans="1:29" ht="25.4" customHeight="1" x14ac:dyDescent="0.3">
      <c r="A58" s="412" t="s">
        <v>128</v>
      </c>
      <c r="B58" s="412"/>
      <c r="C58" s="412"/>
      <c r="D58" s="412"/>
      <c r="E58" s="412"/>
      <c r="F58" s="412"/>
      <c r="G58" s="412"/>
      <c r="H58" s="412"/>
      <c r="I58" s="412"/>
      <c r="J58" s="34"/>
      <c r="K58" s="412" t="s">
        <v>129</v>
      </c>
      <c r="L58" s="412"/>
      <c r="M58" s="412"/>
      <c r="N58" s="412"/>
      <c r="O58" s="412"/>
      <c r="P58" s="412"/>
      <c r="Q58" s="412"/>
      <c r="R58" s="412"/>
      <c r="S58" s="412"/>
      <c r="T58" s="37"/>
      <c r="U58" s="412" t="s">
        <v>159</v>
      </c>
      <c r="V58" s="412"/>
      <c r="W58" s="412"/>
      <c r="X58" s="412"/>
      <c r="Y58" s="412"/>
      <c r="Z58" s="412"/>
      <c r="AA58" s="412"/>
      <c r="AB58" s="412"/>
      <c r="AC58" s="412"/>
    </row>
    <row r="59" spans="1:29" ht="6" customHeight="1" x14ac:dyDescent="0.3">
      <c r="A59" s="33"/>
      <c r="B59" s="33"/>
      <c r="C59" s="33"/>
      <c r="D59" s="33"/>
      <c r="E59" s="33"/>
      <c r="F59" s="33"/>
      <c r="G59" s="33"/>
      <c r="H59" s="33"/>
      <c r="I59" s="33"/>
      <c r="J59" s="37"/>
      <c r="T59" s="37"/>
    </row>
    <row r="60" spans="1:29" ht="14.15" customHeight="1" x14ac:dyDescent="0.3">
      <c r="A60" s="415" t="s">
        <v>160</v>
      </c>
      <c r="B60" s="415"/>
      <c r="C60" s="415"/>
      <c r="D60" s="415"/>
      <c r="E60" s="415"/>
      <c r="F60" s="415"/>
      <c r="G60" s="415"/>
      <c r="H60" s="415"/>
      <c r="I60" s="415"/>
      <c r="J60" s="37"/>
      <c r="K60" s="415" t="s">
        <v>161</v>
      </c>
      <c r="L60" s="415"/>
      <c r="M60" s="415"/>
      <c r="N60" s="415"/>
      <c r="O60" s="415"/>
      <c r="P60" s="415"/>
      <c r="Q60" s="415"/>
      <c r="R60" s="415"/>
      <c r="S60" s="415"/>
      <c r="T60" s="37"/>
      <c r="U60" s="415" t="s">
        <v>162</v>
      </c>
      <c r="V60" s="415"/>
      <c r="W60" s="415"/>
      <c r="X60" s="415"/>
      <c r="Y60" s="415"/>
      <c r="Z60" s="415"/>
      <c r="AA60" s="415"/>
      <c r="AB60" s="415"/>
      <c r="AC60" s="415"/>
    </row>
    <row r="61" spans="1:29" ht="14" x14ac:dyDescent="0.3">
      <c r="A61" s="415"/>
      <c r="B61" s="415"/>
      <c r="C61" s="415"/>
      <c r="D61" s="415"/>
      <c r="E61" s="415"/>
      <c r="F61" s="415"/>
      <c r="G61" s="415"/>
      <c r="H61" s="415"/>
      <c r="I61" s="415"/>
      <c r="J61" s="37"/>
      <c r="K61" s="415"/>
      <c r="L61" s="415"/>
      <c r="M61" s="415"/>
      <c r="N61" s="415"/>
      <c r="O61" s="415"/>
      <c r="P61" s="415"/>
      <c r="Q61" s="415"/>
      <c r="R61" s="415"/>
      <c r="S61" s="415"/>
      <c r="T61" s="37"/>
      <c r="U61" s="415"/>
      <c r="V61" s="415"/>
      <c r="W61" s="415"/>
      <c r="X61" s="415"/>
      <c r="Y61" s="415"/>
      <c r="Z61" s="415"/>
      <c r="AA61" s="415"/>
      <c r="AB61" s="415"/>
      <c r="AC61" s="415"/>
    </row>
    <row r="62" spans="1:29" ht="14" x14ac:dyDescent="0.3">
      <c r="A62" s="415"/>
      <c r="B62" s="415"/>
      <c r="C62" s="415"/>
      <c r="D62" s="415"/>
      <c r="E62" s="415"/>
      <c r="F62" s="415"/>
      <c r="G62" s="415"/>
      <c r="H62" s="415"/>
      <c r="I62" s="415"/>
      <c r="J62" s="37"/>
      <c r="K62" s="415"/>
      <c r="L62" s="415"/>
      <c r="M62" s="415"/>
      <c r="N62" s="415"/>
      <c r="O62" s="415"/>
      <c r="P62" s="415"/>
      <c r="Q62" s="415"/>
      <c r="R62" s="415"/>
      <c r="S62" s="415"/>
      <c r="T62" s="37"/>
      <c r="U62" s="415"/>
      <c r="V62" s="415"/>
      <c r="W62" s="415"/>
      <c r="X62" s="415"/>
      <c r="Y62" s="415"/>
      <c r="Z62" s="415"/>
      <c r="AA62" s="415"/>
      <c r="AB62" s="415"/>
      <c r="AC62" s="415"/>
    </row>
    <row r="63" spans="1:29" ht="14" x14ac:dyDescent="0.3">
      <c r="A63" s="415"/>
      <c r="B63" s="415"/>
      <c r="C63" s="415"/>
      <c r="D63" s="415"/>
      <c r="E63" s="415"/>
      <c r="F63" s="415"/>
      <c r="G63" s="415"/>
      <c r="H63" s="415"/>
      <c r="I63" s="415"/>
      <c r="J63" s="37"/>
      <c r="K63" s="415"/>
      <c r="L63" s="415"/>
      <c r="M63" s="415"/>
      <c r="N63" s="415"/>
      <c r="O63" s="415"/>
      <c r="P63" s="415"/>
      <c r="Q63" s="415"/>
      <c r="R63" s="415"/>
      <c r="S63" s="415"/>
      <c r="T63" s="37"/>
      <c r="U63" s="415"/>
      <c r="V63" s="415"/>
      <c r="W63" s="415"/>
      <c r="X63" s="415"/>
      <c r="Y63" s="415"/>
      <c r="Z63" s="415"/>
      <c r="AA63" s="415"/>
      <c r="AB63" s="415"/>
      <c r="AC63" s="415"/>
    </row>
    <row r="64" spans="1:29" ht="14" x14ac:dyDescent="0.3">
      <c r="A64" s="48"/>
      <c r="B64" s="48"/>
      <c r="C64" s="48"/>
      <c r="D64" s="48"/>
      <c r="E64" s="48"/>
      <c r="F64" s="48"/>
      <c r="G64" s="48"/>
      <c r="H64" s="48"/>
      <c r="I64" s="48"/>
      <c r="J64" s="37"/>
      <c r="K64" s="415"/>
      <c r="L64" s="415"/>
      <c r="M64" s="415"/>
      <c r="N64" s="415"/>
      <c r="O64" s="415"/>
      <c r="P64" s="415"/>
      <c r="Q64" s="415"/>
      <c r="R64" s="415"/>
      <c r="S64" s="415"/>
      <c r="T64" s="37"/>
      <c r="U64" s="415"/>
      <c r="V64" s="415"/>
      <c r="W64" s="415"/>
      <c r="X64" s="415"/>
      <c r="Y64" s="415"/>
      <c r="Z64" s="415"/>
      <c r="AA64" s="415"/>
      <c r="AB64" s="415"/>
      <c r="AC64" s="415"/>
    </row>
    <row r="65" spans="1:20" ht="14" x14ac:dyDescent="0.3">
      <c r="A65" s="48"/>
      <c r="B65" s="48"/>
      <c r="C65" s="48"/>
      <c r="D65" s="48"/>
      <c r="E65" s="48"/>
      <c r="F65" s="48"/>
      <c r="G65" s="48"/>
      <c r="H65" s="48"/>
      <c r="I65" s="48"/>
      <c r="J65" s="37"/>
      <c r="K65" s="49"/>
      <c r="L65" s="49"/>
      <c r="M65" s="49"/>
      <c r="N65" s="49"/>
      <c r="O65" s="49"/>
      <c r="P65" s="49"/>
      <c r="Q65" s="49"/>
      <c r="R65" s="49"/>
      <c r="S65" s="49"/>
      <c r="T65" s="37"/>
    </row>
    <row r="66" spans="1:20" ht="14" x14ac:dyDescent="0.3">
      <c r="A66" s="48"/>
      <c r="B66" s="48"/>
      <c r="C66" s="48"/>
      <c r="D66" s="48"/>
      <c r="E66" s="48"/>
      <c r="F66" s="48"/>
      <c r="G66" s="48"/>
      <c r="H66" s="48"/>
      <c r="I66" s="48"/>
      <c r="J66" s="37"/>
      <c r="K66" s="49"/>
      <c r="L66" s="49"/>
      <c r="M66" s="49"/>
      <c r="N66" s="49"/>
      <c r="O66" s="49"/>
      <c r="P66" s="49"/>
      <c r="Q66" s="49"/>
      <c r="R66" s="49"/>
      <c r="S66" s="49"/>
      <c r="T66" s="37"/>
    </row>
    <row r="67" spans="1:20" ht="14" x14ac:dyDescent="0.3">
      <c r="A67" s="48"/>
      <c r="B67" s="48"/>
      <c r="C67" s="48"/>
      <c r="D67" s="48"/>
      <c r="E67" s="48"/>
      <c r="F67" s="48"/>
      <c r="G67" s="48"/>
      <c r="H67" s="48"/>
      <c r="I67" s="48"/>
      <c r="J67" s="37"/>
      <c r="K67" s="49"/>
      <c r="L67" s="49"/>
      <c r="M67" s="49"/>
      <c r="N67" s="49"/>
      <c r="O67" s="49"/>
      <c r="P67" s="49"/>
      <c r="Q67" s="49"/>
      <c r="R67" s="49"/>
      <c r="S67" s="49"/>
      <c r="T67" s="37"/>
    </row>
    <row r="68" spans="1:20" ht="14" x14ac:dyDescent="0.3">
      <c r="A68" s="48"/>
      <c r="B68" s="48"/>
      <c r="C68" s="48"/>
      <c r="D68" s="48"/>
      <c r="E68" s="48"/>
      <c r="F68" s="48"/>
      <c r="G68" s="48"/>
      <c r="H68" s="48"/>
      <c r="I68" s="48"/>
      <c r="J68" s="37"/>
      <c r="K68" s="49"/>
      <c r="L68" s="49"/>
      <c r="M68" s="49"/>
      <c r="N68" s="49"/>
      <c r="O68" s="49"/>
      <c r="P68" s="49"/>
      <c r="Q68" s="49"/>
      <c r="R68" s="49"/>
      <c r="S68" s="49"/>
      <c r="T68" s="37"/>
    </row>
    <row r="69" spans="1:20" ht="14" x14ac:dyDescent="0.3">
      <c r="A69" s="48"/>
      <c r="B69" s="48"/>
      <c r="C69" s="48"/>
      <c r="D69" s="48"/>
      <c r="E69" s="48"/>
      <c r="F69" s="48"/>
      <c r="G69" s="48"/>
      <c r="H69" s="48"/>
      <c r="I69" s="48"/>
      <c r="J69" s="37"/>
      <c r="K69" s="49"/>
      <c r="L69" s="49"/>
      <c r="M69" s="49"/>
      <c r="N69" s="49"/>
      <c r="O69" s="49"/>
      <c r="P69" s="49"/>
      <c r="Q69" s="49"/>
      <c r="R69" s="49"/>
      <c r="S69" s="49"/>
      <c r="T69" s="37"/>
    </row>
    <row r="70" spans="1:20" ht="14" x14ac:dyDescent="0.3">
      <c r="A70" s="48"/>
      <c r="B70" s="48"/>
      <c r="C70" s="48"/>
      <c r="D70" s="48"/>
      <c r="E70" s="48"/>
      <c r="F70" s="48"/>
      <c r="G70" s="48"/>
      <c r="H70" s="48"/>
      <c r="I70" s="48"/>
      <c r="J70" s="37"/>
      <c r="K70" s="49"/>
      <c r="L70" s="49"/>
      <c r="M70" s="49"/>
      <c r="N70" s="49"/>
      <c r="O70" s="49"/>
      <c r="P70" s="49"/>
      <c r="Q70" s="49"/>
      <c r="R70" s="49"/>
      <c r="S70" s="49"/>
      <c r="T70" s="37"/>
    </row>
    <row r="71" spans="1:20" ht="14" x14ac:dyDescent="0.3">
      <c r="A71" s="48"/>
      <c r="B71" s="48"/>
      <c r="C71" s="48"/>
      <c r="D71" s="48"/>
      <c r="E71" s="48"/>
      <c r="F71" s="48"/>
      <c r="G71" s="48"/>
      <c r="H71" s="48"/>
      <c r="I71" s="48"/>
      <c r="J71" s="37"/>
      <c r="K71" s="49"/>
      <c r="L71" s="49"/>
      <c r="M71" s="49"/>
      <c r="N71" s="49"/>
      <c r="O71" s="49"/>
      <c r="P71" s="49"/>
      <c r="Q71" s="49"/>
      <c r="R71" s="49"/>
      <c r="S71" s="49"/>
      <c r="T71" s="37"/>
    </row>
    <row r="72" spans="1:20" ht="14" x14ac:dyDescent="0.3">
      <c r="A72" s="48"/>
      <c r="B72" s="48"/>
      <c r="C72" s="48"/>
      <c r="D72" s="48"/>
      <c r="E72" s="48"/>
      <c r="F72" s="48"/>
      <c r="G72" s="48"/>
      <c r="H72" s="48"/>
      <c r="I72" s="48"/>
      <c r="J72" s="37"/>
      <c r="K72" s="49"/>
      <c r="L72" s="49"/>
      <c r="M72" s="49"/>
      <c r="N72" s="49"/>
      <c r="O72" s="49"/>
      <c r="P72" s="49"/>
      <c r="Q72" s="49"/>
      <c r="R72" s="49"/>
      <c r="S72" s="49"/>
      <c r="T72" s="37"/>
    </row>
    <row r="73" spans="1:20" ht="14" x14ac:dyDescent="0.3">
      <c r="A73" s="48"/>
      <c r="B73" s="48"/>
      <c r="C73" s="48"/>
      <c r="D73" s="48"/>
      <c r="E73" s="48"/>
      <c r="F73" s="48"/>
      <c r="G73" s="48"/>
      <c r="H73" s="48"/>
      <c r="I73" s="48"/>
      <c r="J73" s="37"/>
      <c r="K73" s="49"/>
      <c r="L73" s="49"/>
      <c r="M73" s="49"/>
      <c r="N73" s="49"/>
      <c r="O73" s="49"/>
      <c r="P73" s="49"/>
      <c r="Q73" s="49"/>
      <c r="R73" s="49"/>
      <c r="S73" s="49"/>
      <c r="T73" s="37"/>
    </row>
    <row r="74" spans="1:20" ht="14" x14ac:dyDescent="0.3">
      <c r="A74" s="48"/>
      <c r="B74" s="48"/>
      <c r="C74" s="48"/>
      <c r="D74" s="48"/>
      <c r="E74" s="48"/>
      <c r="F74" s="48"/>
      <c r="G74" s="48"/>
      <c r="H74" s="48"/>
      <c r="I74" s="48"/>
      <c r="J74" s="37"/>
      <c r="K74" s="49"/>
      <c r="L74" s="49"/>
      <c r="M74" s="49"/>
      <c r="N74" s="49"/>
      <c r="O74" s="49"/>
      <c r="P74" s="49"/>
      <c r="Q74" s="49"/>
      <c r="R74" s="49"/>
      <c r="S74" s="49"/>
      <c r="T74" s="37"/>
    </row>
    <row r="75" spans="1:20" ht="14" x14ac:dyDescent="0.3">
      <c r="A75" s="48"/>
      <c r="B75" s="48"/>
      <c r="C75" s="48"/>
      <c r="D75" s="48"/>
      <c r="E75" s="48"/>
      <c r="F75" s="48"/>
      <c r="G75" s="48"/>
      <c r="H75" s="48"/>
      <c r="I75" s="48"/>
      <c r="J75" s="37"/>
      <c r="K75" s="49"/>
      <c r="L75" s="49"/>
      <c r="M75" s="49"/>
      <c r="N75" s="49"/>
      <c r="O75" s="49"/>
      <c r="P75" s="49"/>
      <c r="Q75" s="49"/>
      <c r="R75" s="49"/>
      <c r="S75" s="49"/>
      <c r="T75" s="37"/>
    </row>
    <row r="76" spans="1:20" ht="14" x14ac:dyDescent="0.3">
      <c r="A76" s="48"/>
      <c r="B76" s="48"/>
      <c r="C76" s="48"/>
      <c r="D76" s="48"/>
      <c r="E76" s="48"/>
      <c r="F76" s="48"/>
      <c r="G76" s="48"/>
      <c r="H76" s="48"/>
      <c r="I76" s="48"/>
      <c r="J76" s="37"/>
      <c r="K76" s="49"/>
      <c r="L76" s="49"/>
      <c r="M76" s="49"/>
      <c r="N76" s="49"/>
      <c r="O76" s="49"/>
      <c r="P76" s="49"/>
      <c r="Q76" s="49"/>
      <c r="R76" s="49"/>
      <c r="S76" s="49"/>
      <c r="T76" s="37"/>
    </row>
    <row r="77" spans="1:20" ht="14" x14ac:dyDescent="0.3">
      <c r="A77" s="48"/>
      <c r="B77" s="48"/>
      <c r="C77" s="48"/>
      <c r="D77" s="48"/>
      <c r="E77" s="48"/>
      <c r="F77" s="48"/>
      <c r="G77" s="48"/>
      <c r="H77" s="48"/>
      <c r="I77" s="48"/>
      <c r="J77" s="37"/>
      <c r="K77" s="49"/>
      <c r="L77" s="49"/>
      <c r="M77" s="49"/>
      <c r="N77" s="49"/>
      <c r="O77" s="49"/>
      <c r="P77" s="49"/>
      <c r="Q77" s="49"/>
      <c r="R77" s="49"/>
      <c r="S77" s="49"/>
      <c r="T77" s="37"/>
    </row>
    <row r="78" spans="1:20" ht="14" x14ac:dyDescent="0.3">
      <c r="A78" s="48"/>
      <c r="B78" s="48"/>
      <c r="C78" s="48"/>
      <c r="D78" s="48"/>
      <c r="E78" s="48"/>
      <c r="F78" s="48"/>
      <c r="G78" s="48"/>
      <c r="H78" s="48"/>
      <c r="I78" s="48"/>
      <c r="J78" s="37"/>
      <c r="K78" s="49"/>
      <c r="L78" s="49"/>
      <c r="M78" s="49"/>
      <c r="N78" s="49"/>
      <c r="O78" s="49"/>
      <c r="P78" s="49"/>
      <c r="Q78" s="49"/>
      <c r="R78" s="49"/>
      <c r="S78" s="49"/>
      <c r="T78" s="37"/>
    </row>
    <row r="79" spans="1:20" ht="14" x14ac:dyDescent="0.3">
      <c r="A79" s="48"/>
      <c r="B79" s="48"/>
      <c r="C79" s="48"/>
      <c r="D79" s="48"/>
      <c r="E79" s="48"/>
      <c r="F79" s="48"/>
      <c r="G79" s="48"/>
      <c r="H79" s="48"/>
      <c r="I79" s="48"/>
      <c r="J79" s="37"/>
      <c r="K79" s="49"/>
      <c r="L79" s="49"/>
      <c r="M79" s="49"/>
      <c r="N79" s="49"/>
      <c r="O79" s="49"/>
      <c r="P79" s="49"/>
      <c r="Q79" s="49"/>
      <c r="R79" s="49"/>
      <c r="S79" s="49"/>
      <c r="T79" s="37"/>
    </row>
    <row r="80" spans="1:20" ht="14" x14ac:dyDescent="0.3">
      <c r="A80" s="48"/>
      <c r="B80" s="48"/>
      <c r="C80" s="48"/>
      <c r="D80" s="48"/>
      <c r="E80" s="48"/>
      <c r="F80" s="48"/>
      <c r="G80" s="48"/>
      <c r="H80" s="48"/>
      <c r="I80" s="48"/>
      <c r="J80" s="37"/>
      <c r="K80" s="49"/>
      <c r="L80" s="49"/>
      <c r="M80" s="49"/>
      <c r="N80" s="49"/>
      <c r="O80" s="49"/>
      <c r="P80" s="49"/>
      <c r="Q80" s="49"/>
      <c r="R80" s="49"/>
      <c r="S80" s="49"/>
      <c r="T80" s="37"/>
    </row>
    <row r="81" spans="1:20" ht="14" x14ac:dyDescent="0.3">
      <c r="A81" s="48"/>
      <c r="B81" s="48"/>
      <c r="C81" s="48"/>
      <c r="D81" s="48"/>
      <c r="E81" s="48"/>
      <c r="F81" s="48"/>
      <c r="G81" s="48"/>
      <c r="H81" s="48"/>
      <c r="I81" s="48"/>
      <c r="J81" s="37"/>
      <c r="K81" s="49"/>
      <c r="L81" s="49"/>
      <c r="M81" s="49"/>
      <c r="N81" s="49"/>
      <c r="O81" s="49"/>
      <c r="P81" s="49"/>
      <c r="Q81" s="49"/>
      <c r="R81" s="49"/>
      <c r="S81" s="49"/>
      <c r="T81" s="37"/>
    </row>
    <row r="82" spans="1:20" ht="14" x14ac:dyDescent="0.3">
      <c r="A82" s="48"/>
      <c r="B82" s="48"/>
      <c r="C82" s="48"/>
      <c r="D82" s="48"/>
      <c r="E82" s="48"/>
      <c r="F82" s="48"/>
      <c r="G82" s="48"/>
      <c r="H82" s="48"/>
      <c r="I82" s="48"/>
      <c r="J82" s="37"/>
      <c r="K82" s="49"/>
      <c r="L82" s="49"/>
      <c r="M82" s="49"/>
      <c r="N82" s="49"/>
      <c r="O82" s="49"/>
      <c r="P82" s="49"/>
      <c r="Q82" s="49"/>
      <c r="R82" s="49"/>
      <c r="S82" s="49"/>
      <c r="T82" s="37"/>
    </row>
    <row r="83" spans="1:20" ht="5.5" customHeight="1" x14ac:dyDescent="0.3">
      <c r="A83" s="48"/>
      <c r="B83" s="48"/>
      <c r="C83" s="48"/>
      <c r="D83" s="48"/>
      <c r="E83" s="48"/>
      <c r="F83" s="48"/>
      <c r="G83" s="48"/>
      <c r="H83" s="48"/>
      <c r="I83" s="48"/>
      <c r="J83" s="37"/>
      <c r="K83" s="49"/>
      <c r="L83" s="49"/>
      <c r="M83" s="49"/>
      <c r="N83" s="49"/>
      <c r="O83" s="49"/>
      <c r="P83" s="49"/>
      <c r="Q83" s="49"/>
      <c r="R83" s="49"/>
      <c r="S83" s="49"/>
      <c r="T83" s="37"/>
    </row>
    <row r="84" spans="1:20" ht="14.5" customHeight="1" x14ac:dyDescent="0.3">
      <c r="A84" s="48"/>
      <c r="B84" s="48"/>
      <c r="C84" s="48"/>
      <c r="D84" s="48"/>
      <c r="E84" s="48"/>
      <c r="F84" s="48"/>
      <c r="G84" s="48"/>
      <c r="H84" s="48"/>
      <c r="I84" s="48"/>
      <c r="J84" s="37"/>
      <c r="K84" s="49"/>
      <c r="L84" s="49"/>
      <c r="M84" s="49"/>
      <c r="N84" s="49"/>
      <c r="O84" s="49"/>
      <c r="P84" s="49"/>
      <c r="Q84" s="49"/>
      <c r="R84" s="49"/>
      <c r="S84" s="49"/>
      <c r="T84" s="37"/>
    </row>
    <row r="85" spans="1:20" ht="6" customHeight="1" x14ac:dyDescent="0.3">
      <c r="A85" s="48"/>
      <c r="B85" s="48"/>
      <c r="C85" s="48"/>
      <c r="D85" s="48"/>
      <c r="E85" s="48"/>
      <c r="F85" s="48"/>
      <c r="G85" s="48"/>
      <c r="H85" s="48"/>
      <c r="I85" s="48"/>
      <c r="J85" s="37"/>
      <c r="K85" s="49"/>
      <c r="L85" s="49"/>
      <c r="M85" s="49"/>
      <c r="N85" s="49"/>
      <c r="O85" s="49"/>
      <c r="P85" s="49"/>
      <c r="Q85" s="49"/>
      <c r="R85" s="49"/>
      <c r="S85" s="49"/>
      <c r="T85" s="37"/>
    </row>
    <row r="86" spans="1:20" ht="14.5" customHeight="1" x14ac:dyDescent="0.3">
      <c r="A86" s="48"/>
      <c r="B86" s="48"/>
      <c r="C86" s="48"/>
      <c r="D86" s="48"/>
      <c r="E86" s="48"/>
      <c r="F86" s="48"/>
      <c r="G86" s="48"/>
      <c r="H86" s="48"/>
      <c r="I86" s="48"/>
      <c r="J86" s="37"/>
      <c r="K86" s="49"/>
      <c r="L86" s="49"/>
      <c r="M86" s="49"/>
      <c r="N86" s="49"/>
      <c r="O86" s="49"/>
      <c r="P86" s="49"/>
      <c r="Q86" s="49"/>
      <c r="R86" s="49"/>
      <c r="S86" s="49"/>
      <c r="T86" s="37"/>
    </row>
    <row r="87" spans="1:20" ht="14" x14ac:dyDescent="0.3">
      <c r="A87" s="48"/>
      <c r="B87" s="48"/>
      <c r="C87" s="48"/>
      <c r="D87" s="48"/>
      <c r="E87" s="48"/>
      <c r="F87" s="48"/>
      <c r="G87" s="48"/>
      <c r="H87" s="48"/>
      <c r="I87" s="48"/>
      <c r="J87" s="37"/>
      <c r="K87" s="49"/>
      <c r="L87" s="49"/>
      <c r="M87" s="49"/>
      <c r="N87" s="49"/>
      <c r="O87" s="49"/>
      <c r="P87" s="49"/>
      <c r="Q87" s="49"/>
      <c r="R87" s="49"/>
      <c r="S87" s="49"/>
      <c r="T87" s="37"/>
    </row>
    <row r="88" spans="1:20" ht="14" x14ac:dyDescent="0.3">
      <c r="A88" s="48"/>
      <c r="B88" s="48"/>
      <c r="C88" s="48"/>
      <c r="D88" s="48"/>
      <c r="E88" s="48"/>
      <c r="F88" s="48"/>
      <c r="G88" s="48"/>
      <c r="H88" s="48"/>
      <c r="I88" s="48"/>
      <c r="J88" s="37"/>
      <c r="K88" s="49"/>
      <c r="L88" s="49"/>
      <c r="M88" s="49"/>
      <c r="N88" s="49"/>
      <c r="O88" s="49"/>
      <c r="P88" s="49"/>
      <c r="Q88" s="49"/>
      <c r="R88" s="49"/>
      <c r="S88" s="49"/>
      <c r="T88" s="37"/>
    </row>
    <row r="89" spans="1:20" ht="14" x14ac:dyDescent="0.3">
      <c r="A89" s="48"/>
      <c r="B89" s="48"/>
      <c r="C89" s="48"/>
      <c r="D89" s="48"/>
      <c r="E89" s="48"/>
      <c r="F89" s="48"/>
      <c r="G89" s="48"/>
      <c r="H89" s="48"/>
      <c r="I89" s="48"/>
      <c r="J89" s="37"/>
      <c r="K89" s="49"/>
      <c r="L89" s="49"/>
      <c r="M89" s="49"/>
      <c r="N89" s="49"/>
      <c r="O89" s="49"/>
      <c r="P89" s="49"/>
      <c r="Q89" s="49"/>
      <c r="R89" s="49"/>
      <c r="S89" s="49"/>
      <c r="T89" s="37"/>
    </row>
    <row r="90" spans="1:20" ht="14" x14ac:dyDescent="0.3">
      <c r="A90" s="48"/>
      <c r="B90" s="48"/>
      <c r="C90" s="48"/>
      <c r="D90" s="48"/>
      <c r="E90" s="48"/>
      <c r="F90" s="48"/>
      <c r="G90" s="48"/>
      <c r="H90" s="48"/>
      <c r="I90" s="48"/>
      <c r="J90" s="37"/>
      <c r="K90" s="49"/>
      <c r="L90" s="49"/>
      <c r="M90" s="49"/>
      <c r="N90" s="49"/>
      <c r="O90" s="49"/>
      <c r="P90" s="49"/>
      <c r="Q90" s="49"/>
      <c r="R90" s="49"/>
      <c r="S90" s="49"/>
      <c r="T90" s="37"/>
    </row>
    <row r="91" spans="1:20" ht="14" x14ac:dyDescent="0.3">
      <c r="A91" s="48"/>
      <c r="B91" s="48"/>
      <c r="C91" s="48"/>
      <c r="D91" s="48"/>
      <c r="E91" s="48"/>
      <c r="F91" s="48"/>
      <c r="G91" s="48"/>
      <c r="H91" s="48"/>
      <c r="I91" s="48"/>
      <c r="J91" s="37"/>
      <c r="K91" s="49"/>
      <c r="L91" s="49"/>
      <c r="M91" s="49"/>
      <c r="N91" s="49"/>
      <c r="O91" s="49"/>
      <c r="P91" s="49"/>
      <c r="Q91" s="49"/>
      <c r="R91" s="49"/>
      <c r="S91" s="49"/>
      <c r="T91" s="37"/>
    </row>
    <row r="92" spans="1:20" ht="14" x14ac:dyDescent="0.3">
      <c r="A92" s="48"/>
      <c r="B92" s="48"/>
      <c r="C92" s="48"/>
      <c r="D92" s="48"/>
      <c r="E92" s="48"/>
      <c r="F92" s="48"/>
      <c r="G92" s="48"/>
      <c r="H92" s="48"/>
      <c r="I92" s="48"/>
      <c r="J92" s="37"/>
      <c r="K92" s="49"/>
      <c r="L92" s="49"/>
      <c r="M92" s="49"/>
      <c r="N92" s="49"/>
      <c r="O92" s="49"/>
      <c r="P92" s="49"/>
      <c r="Q92" s="49"/>
      <c r="R92" s="49"/>
      <c r="S92" s="49"/>
      <c r="T92" s="37"/>
    </row>
    <row r="93" spans="1:20" ht="14" x14ac:dyDescent="0.3">
      <c r="A93" s="48"/>
      <c r="B93" s="48"/>
      <c r="C93" s="48"/>
      <c r="D93" s="48"/>
      <c r="E93" s="48"/>
      <c r="F93" s="48"/>
      <c r="G93" s="48"/>
      <c r="H93" s="48"/>
      <c r="I93" s="48"/>
      <c r="J93" s="37"/>
      <c r="K93" s="49"/>
      <c r="L93" s="49"/>
      <c r="M93" s="49"/>
      <c r="N93" s="49"/>
      <c r="O93" s="49"/>
      <c r="P93" s="49"/>
      <c r="Q93" s="49"/>
      <c r="R93" s="49"/>
      <c r="S93" s="49"/>
      <c r="T93" s="37"/>
    </row>
    <row r="94" spans="1:20" ht="14" x14ac:dyDescent="0.3">
      <c r="A94" s="48"/>
      <c r="B94" s="48"/>
      <c r="C94" s="48"/>
      <c r="D94" s="48"/>
      <c r="E94" s="48"/>
      <c r="F94" s="48"/>
      <c r="G94" s="48"/>
      <c r="H94" s="48"/>
      <c r="I94" s="48"/>
      <c r="J94" s="37"/>
      <c r="K94" s="49"/>
      <c r="L94" s="49"/>
      <c r="M94" s="49"/>
      <c r="N94" s="49"/>
      <c r="O94" s="49"/>
      <c r="P94" s="49"/>
      <c r="Q94" s="49"/>
      <c r="R94" s="49"/>
      <c r="S94" s="49"/>
      <c r="T94" s="37"/>
    </row>
    <row r="95" spans="1:20" ht="14" x14ac:dyDescent="0.3">
      <c r="A95" s="48"/>
      <c r="B95" s="48"/>
      <c r="C95" s="48"/>
      <c r="D95" s="48"/>
      <c r="E95" s="48"/>
      <c r="F95" s="48"/>
      <c r="G95" s="48"/>
      <c r="H95" s="48"/>
      <c r="I95" s="48"/>
      <c r="J95" s="37"/>
      <c r="K95" s="49"/>
      <c r="L95" s="49"/>
      <c r="M95" s="49"/>
      <c r="N95" s="49"/>
      <c r="O95" s="49"/>
      <c r="P95" s="49"/>
      <c r="Q95" s="49"/>
      <c r="R95" s="49"/>
      <c r="S95" s="49"/>
      <c r="T95" s="37"/>
    </row>
    <row r="96" spans="1:20" ht="14" x14ac:dyDescent="0.3">
      <c r="A96" s="48"/>
      <c r="B96" s="48"/>
      <c r="C96" s="48"/>
      <c r="D96" s="48"/>
      <c r="E96" s="48"/>
      <c r="F96" s="48"/>
      <c r="G96" s="48"/>
      <c r="H96" s="48"/>
      <c r="I96" s="48"/>
      <c r="J96" s="37"/>
      <c r="K96" s="49"/>
      <c r="L96" s="49"/>
      <c r="M96" s="49"/>
      <c r="N96" s="49"/>
      <c r="O96" s="49"/>
      <c r="P96" s="49"/>
      <c r="Q96" s="49"/>
      <c r="R96" s="49"/>
      <c r="S96" s="49"/>
      <c r="T96" s="37"/>
    </row>
    <row r="97" spans="1:20" ht="14" x14ac:dyDescent="0.3">
      <c r="A97" s="48"/>
      <c r="B97" s="48"/>
      <c r="C97" s="48"/>
      <c r="D97" s="48"/>
      <c r="E97" s="48"/>
      <c r="F97" s="48"/>
      <c r="G97" s="48"/>
      <c r="H97" s="48"/>
      <c r="I97" s="48"/>
      <c r="J97" s="37"/>
      <c r="K97" s="49"/>
      <c r="L97" s="49"/>
      <c r="M97" s="49"/>
      <c r="N97" s="49"/>
      <c r="O97" s="49"/>
      <c r="P97" s="49"/>
      <c r="Q97" s="49"/>
      <c r="R97" s="49"/>
      <c r="S97" s="49"/>
      <c r="T97" s="37"/>
    </row>
    <row r="98" spans="1:20" ht="14" x14ac:dyDescent="0.3">
      <c r="A98" s="48"/>
      <c r="B98" s="48"/>
      <c r="C98" s="48"/>
      <c r="D98" s="48"/>
      <c r="E98" s="48"/>
      <c r="F98" s="48"/>
      <c r="G98" s="48"/>
      <c r="H98" s="48"/>
      <c r="I98" s="48"/>
      <c r="J98" s="37"/>
      <c r="K98" s="49"/>
      <c r="L98" s="49"/>
      <c r="M98" s="49"/>
      <c r="N98" s="49"/>
      <c r="O98" s="49"/>
      <c r="P98" s="49"/>
      <c r="Q98" s="49"/>
      <c r="R98" s="49"/>
      <c r="S98" s="49"/>
      <c r="T98" s="37"/>
    </row>
    <row r="99" spans="1:20" ht="14" x14ac:dyDescent="0.3">
      <c r="A99" s="48"/>
      <c r="B99" s="48"/>
      <c r="C99" s="48"/>
      <c r="D99" s="48"/>
      <c r="E99" s="48"/>
      <c r="F99" s="48"/>
      <c r="G99" s="48"/>
      <c r="H99" s="48"/>
      <c r="I99" s="48"/>
      <c r="J99" s="37"/>
      <c r="K99" s="49"/>
      <c r="L99" s="49"/>
      <c r="M99" s="49"/>
      <c r="N99" s="49"/>
      <c r="O99" s="49"/>
      <c r="P99" s="49"/>
      <c r="Q99" s="49"/>
      <c r="R99" s="49"/>
      <c r="S99" s="49"/>
      <c r="T99" s="37"/>
    </row>
    <row r="100" spans="1:20" ht="14" x14ac:dyDescent="0.3">
      <c r="A100" s="48"/>
      <c r="B100" s="48"/>
      <c r="C100" s="48"/>
      <c r="D100" s="48"/>
      <c r="E100" s="48"/>
      <c r="F100" s="48"/>
      <c r="G100" s="48"/>
      <c r="H100" s="48"/>
      <c r="I100" s="48"/>
      <c r="J100" s="37"/>
      <c r="K100" s="49"/>
      <c r="L100" s="49"/>
      <c r="M100" s="49"/>
      <c r="N100" s="49"/>
      <c r="O100" s="49"/>
      <c r="P100" s="49"/>
      <c r="Q100" s="49"/>
      <c r="R100" s="49"/>
      <c r="S100" s="49"/>
      <c r="T100" s="37"/>
    </row>
    <row r="101" spans="1:20" ht="14" x14ac:dyDescent="0.3">
      <c r="A101" s="48"/>
      <c r="B101" s="48"/>
      <c r="C101" s="48"/>
      <c r="D101" s="48"/>
      <c r="E101" s="48"/>
      <c r="F101" s="48"/>
      <c r="G101" s="48"/>
      <c r="H101" s="48"/>
      <c r="I101" s="48"/>
      <c r="J101" s="37"/>
      <c r="K101" s="49"/>
      <c r="L101" s="49"/>
      <c r="M101" s="49"/>
      <c r="N101" s="49"/>
      <c r="O101" s="49"/>
      <c r="P101" s="49"/>
      <c r="Q101" s="49"/>
      <c r="R101" s="49"/>
      <c r="S101" s="49"/>
      <c r="T101" s="37"/>
    </row>
    <row r="102" spans="1:20" ht="14" x14ac:dyDescent="0.3">
      <c r="A102" s="48"/>
      <c r="B102" s="48"/>
      <c r="C102" s="48"/>
      <c r="D102" s="48"/>
      <c r="E102" s="48"/>
      <c r="F102" s="48"/>
      <c r="G102" s="48"/>
      <c r="H102" s="48"/>
      <c r="I102" s="48"/>
      <c r="J102" s="37"/>
      <c r="K102" s="49"/>
      <c r="L102" s="49"/>
      <c r="M102" s="49"/>
      <c r="N102" s="49"/>
      <c r="O102" s="49"/>
      <c r="P102" s="49"/>
      <c r="Q102" s="49"/>
      <c r="R102" s="49"/>
      <c r="S102" s="49"/>
      <c r="T102" s="37"/>
    </row>
    <row r="103" spans="1:20" ht="14" x14ac:dyDescent="0.3">
      <c r="A103" s="48"/>
      <c r="B103" s="48"/>
      <c r="C103" s="48"/>
      <c r="D103" s="48"/>
      <c r="E103" s="48"/>
      <c r="F103" s="48"/>
      <c r="G103" s="48"/>
      <c r="H103" s="48"/>
      <c r="I103" s="48"/>
      <c r="J103" s="37"/>
      <c r="K103" s="49"/>
      <c r="L103" s="49"/>
      <c r="M103" s="49"/>
      <c r="N103" s="49"/>
      <c r="O103" s="49"/>
      <c r="P103" s="49"/>
      <c r="Q103" s="49"/>
      <c r="R103" s="49"/>
      <c r="S103" s="49"/>
      <c r="T103" s="37"/>
    </row>
    <row r="104" spans="1:20" ht="14" x14ac:dyDescent="0.3">
      <c r="A104" s="48"/>
      <c r="B104" s="48"/>
      <c r="C104" s="48"/>
      <c r="D104" s="48"/>
      <c r="E104" s="48"/>
      <c r="F104" s="48"/>
      <c r="G104" s="48"/>
      <c r="H104" s="48"/>
      <c r="I104" s="48"/>
      <c r="J104" s="37"/>
      <c r="K104" s="49"/>
      <c r="L104" s="49"/>
      <c r="M104" s="49"/>
      <c r="N104" s="49"/>
      <c r="O104" s="49"/>
      <c r="P104" s="49"/>
      <c r="Q104" s="49"/>
      <c r="R104" s="49"/>
      <c r="S104" s="49"/>
      <c r="T104" s="37"/>
    </row>
    <row r="105" spans="1:20" ht="14" x14ac:dyDescent="0.3">
      <c r="A105" s="48"/>
      <c r="B105" s="48"/>
      <c r="C105" s="48"/>
      <c r="D105" s="48"/>
      <c r="E105" s="48"/>
      <c r="F105" s="48"/>
      <c r="G105" s="48"/>
      <c r="H105" s="48"/>
      <c r="I105" s="48"/>
      <c r="J105" s="37"/>
      <c r="K105" s="49"/>
      <c r="L105" s="49"/>
      <c r="M105" s="49"/>
      <c r="N105" s="49"/>
      <c r="O105" s="49"/>
      <c r="P105" s="49"/>
      <c r="Q105" s="49"/>
      <c r="R105" s="49"/>
      <c r="S105" s="49"/>
      <c r="T105" s="37"/>
    </row>
    <row r="106" spans="1:20" ht="14" x14ac:dyDescent="0.3">
      <c r="A106" s="48"/>
      <c r="B106" s="48"/>
      <c r="C106" s="48"/>
      <c r="D106" s="48"/>
      <c r="E106" s="48"/>
      <c r="F106" s="48"/>
      <c r="G106" s="48"/>
      <c r="H106" s="48"/>
      <c r="I106" s="48"/>
      <c r="J106" s="37"/>
      <c r="K106" s="49"/>
      <c r="L106" s="49"/>
      <c r="M106" s="49"/>
      <c r="N106" s="49"/>
      <c r="O106" s="49"/>
      <c r="P106" s="49"/>
      <c r="Q106" s="49"/>
      <c r="R106" s="49"/>
      <c r="S106" s="49"/>
      <c r="T106" s="37"/>
    </row>
    <row r="107" spans="1:20" ht="14" x14ac:dyDescent="0.3">
      <c r="A107" s="48"/>
      <c r="B107" s="48"/>
      <c r="C107" s="48"/>
      <c r="D107" s="48"/>
      <c r="E107" s="48"/>
      <c r="F107" s="48"/>
      <c r="G107" s="48"/>
      <c r="H107" s="48"/>
      <c r="I107" s="48"/>
      <c r="J107" s="37"/>
      <c r="K107" s="49"/>
      <c r="L107" s="49"/>
      <c r="M107" s="49"/>
      <c r="N107" s="49"/>
      <c r="O107" s="49"/>
      <c r="P107" s="49"/>
      <c r="Q107" s="49"/>
      <c r="R107" s="49"/>
      <c r="S107" s="49"/>
      <c r="T107" s="37"/>
    </row>
    <row r="108" spans="1:20" ht="14" x14ac:dyDescent="0.3">
      <c r="A108" s="48"/>
      <c r="B108" s="48"/>
      <c r="C108" s="48"/>
      <c r="D108" s="48"/>
      <c r="E108" s="48"/>
      <c r="F108" s="48"/>
      <c r="G108" s="48"/>
      <c r="H108" s="48"/>
      <c r="I108" s="48"/>
      <c r="J108" s="37"/>
      <c r="K108" s="49"/>
      <c r="L108" s="49"/>
      <c r="M108" s="49"/>
      <c r="N108" s="49"/>
      <c r="O108" s="49"/>
      <c r="P108" s="49"/>
      <c r="Q108" s="49"/>
      <c r="R108" s="49"/>
      <c r="S108" s="49"/>
      <c r="T108" s="37"/>
    </row>
    <row r="109" spans="1:20" ht="14" x14ac:dyDescent="0.3">
      <c r="A109" s="48"/>
      <c r="B109" s="48"/>
      <c r="C109" s="48"/>
      <c r="D109" s="48"/>
      <c r="E109" s="48"/>
      <c r="F109" s="48"/>
      <c r="G109" s="48"/>
      <c r="H109" s="48"/>
      <c r="I109" s="48"/>
      <c r="J109" s="37"/>
      <c r="K109" s="49"/>
      <c r="L109" s="49"/>
      <c r="M109" s="49"/>
      <c r="N109" s="49"/>
      <c r="O109" s="49"/>
      <c r="P109" s="49"/>
      <c r="Q109" s="49"/>
      <c r="R109" s="49"/>
      <c r="S109" s="49"/>
      <c r="T109" s="37"/>
    </row>
    <row r="110" spans="1:20" ht="14" x14ac:dyDescent="0.3">
      <c r="A110" s="48"/>
      <c r="B110" s="48"/>
      <c r="C110" s="48"/>
      <c r="D110" s="48"/>
      <c r="E110" s="48"/>
      <c r="F110" s="48"/>
      <c r="G110" s="48"/>
      <c r="H110" s="48"/>
      <c r="I110" s="48"/>
      <c r="J110" s="37"/>
      <c r="K110" s="49"/>
      <c r="L110" s="49"/>
      <c r="M110" s="49"/>
      <c r="N110" s="49"/>
      <c r="O110" s="49"/>
      <c r="P110" s="49"/>
      <c r="Q110" s="49"/>
      <c r="R110" s="49"/>
      <c r="S110" s="49"/>
      <c r="T110" s="37"/>
    </row>
    <row r="111" spans="1:20" ht="14" x14ac:dyDescent="0.3">
      <c r="A111" s="48"/>
      <c r="B111" s="48"/>
      <c r="C111" s="48"/>
      <c r="D111" s="48"/>
      <c r="E111" s="48"/>
      <c r="F111" s="48"/>
      <c r="G111" s="48"/>
      <c r="H111" s="48"/>
      <c r="I111" s="48"/>
      <c r="J111" s="37"/>
      <c r="K111" s="49"/>
      <c r="L111" s="49"/>
      <c r="M111" s="49"/>
      <c r="N111" s="49"/>
      <c r="O111" s="49"/>
      <c r="P111" s="49"/>
      <c r="Q111" s="49"/>
      <c r="R111" s="49"/>
      <c r="S111" s="49"/>
      <c r="T111" s="37"/>
    </row>
    <row r="112" spans="1:20" ht="14" x14ac:dyDescent="0.3">
      <c r="A112" s="48"/>
      <c r="B112" s="48"/>
      <c r="C112" s="48"/>
      <c r="D112" s="48"/>
      <c r="E112" s="48"/>
      <c r="F112" s="48"/>
      <c r="G112" s="48"/>
      <c r="H112" s="48"/>
      <c r="I112" s="48"/>
      <c r="J112" s="37"/>
      <c r="K112" s="49"/>
      <c r="L112" s="49"/>
      <c r="M112" s="49"/>
      <c r="N112" s="49"/>
      <c r="O112" s="49"/>
      <c r="P112" s="49"/>
      <c r="Q112" s="49"/>
      <c r="R112" s="49"/>
      <c r="S112" s="49"/>
      <c r="T112" s="37"/>
    </row>
    <row r="113" spans="1:20" ht="14" x14ac:dyDescent="0.3">
      <c r="A113" s="48"/>
      <c r="B113" s="48"/>
      <c r="C113" s="48"/>
      <c r="D113" s="48"/>
      <c r="E113" s="48"/>
      <c r="F113" s="48"/>
      <c r="G113" s="48"/>
      <c r="H113" s="48"/>
      <c r="I113" s="48"/>
      <c r="J113" s="37"/>
      <c r="K113" s="49"/>
      <c r="L113" s="49"/>
      <c r="M113" s="49"/>
      <c r="N113" s="49"/>
      <c r="O113" s="49"/>
      <c r="P113" s="49"/>
      <c r="Q113" s="49"/>
      <c r="R113" s="49"/>
      <c r="S113" s="49"/>
      <c r="T113" s="37"/>
    </row>
    <row r="114" spans="1:20" ht="14" x14ac:dyDescent="0.3">
      <c r="A114" s="48"/>
      <c r="B114" s="48"/>
      <c r="C114" s="48"/>
      <c r="D114" s="48"/>
      <c r="E114" s="48"/>
      <c r="F114" s="48"/>
      <c r="G114" s="48"/>
      <c r="H114" s="48"/>
      <c r="I114" s="48"/>
      <c r="J114" s="37"/>
      <c r="K114" s="49"/>
      <c r="L114" s="49"/>
      <c r="M114" s="49"/>
      <c r="N114" s="49"/>
      <c r="O114" s="49"/>
      <c r="P114" s="49"/>
      <c r="Q114" s="49"/>
      <c r="R114" s="49"/>
      <c r="S114" s="49"/>
      <c r="T114" s="37"/>
    </row>
    <row r="115" spans="1:20" ht="14" x14ac:dyDescent="0.3">
      <c r="A115" s="48"/>
      <c r="B115" s="48"/>
      <c r="C115" s="48"/>
      <c r="D115" s="48"/>
      <c r="E115" s="48"/>
      <c r="F115" s="48"/>
      <c r="G115" s="48"/>
      <c r="H115" s="48"/>
      <c r="I115" s="48"/>
      <c r="J115" s="37"/>
      <c r="K115" s="49"/>
      <c r="L115" s="49"/>
      <c r="M115" s="49"/>
      <c r="N115" s="49"/>
      <c r="O115" s="49"/>
      <c r="P115" s="49"/>
      <c r="Q115" s="49"/>
      <c r="R115" s="49"/>
      <c r="S115" s="49"/>
      <c r="T115" s="37"/>
    </row>
    <row r="116" spans="1:20" ht="14" x14ac:dyDescent="0.3">
      <c r="A116" s="48"/>
      <c r="B116" s="48"/>
      <c r="C116" s="48"/>
      <c r="D116" s="48"/>
      <c r="E116" s="48"/>
      <c r="F116" s="48"/>
      <c r="G116" s="48"/>
      <c r="H116" s="48"/>
      <c r="I116" s="48"/>
      <c r="J116" s="37"/>
      <c r="K116" s="49"/>
      <c r="L116" s="49"/>
      <c r="M116" s="49"/>
      <c r="N116" s="49"/>
      <c r="O116" s="49"/>
      <c r="P116" s="49"/>
      <c r="Q116" s="49"/>
      <c r="R116" s="49"/>
      <c r="S116" s="49"/>
      <c r="T116" s="37"/>
    </row>
    <row r="117" spans="1:20" ht="14" x14ac:dyDescent="0.3">
      <c r="A117" s="48"/>
      <c r="B117" s="48"/>
      <c r="C117" s="48"/>
      <c r="D117" s="48"/>
      <c r="E117" s="48"/>
      <c r="F117" s="48"/>
      <c r="G117" s="48"/>
      <c r="H117" s="48"/>
      <c r="I117" s="48"/>
      <c r="J117" s="37"/>
      <c r="K117" s="49"/>
      <c r="L117" s="49"/>
      <c r="M117" s="49"/>
      <c r="N117" s="49"/>
      <c r="O117" s="49"/>
      <c r="P117" s="49"/>
      <c r="Q117" s="49"/>
      <c r="R117" s="49"/>
      <c r="S117" s="49"/>
      <c r="T117" s="37"/>
    </row>
    <row r="118" spans="1:20" ht="14" x14ac:dyDescent="0.3">
      <c r="A118" s="48"/>
      <c r="B118" s="48"/>
      <c r="C118" s="48"/>
      <c r="D118" s="48"/>
      <c r="E118" s="48"/>
      <c r="F118" s="48"/>
      <c r="G118" s="48"/>
      <c r="H118" s="48"/>
      <c r="I118" s="48"/>
      <c r="J118" s="37"/>
      <c r="K118" s="49"/>
      <c r="L118" s="49"/>
      <c r="M118" s="49"/>
      <c r="N118" s="49"/>
      <c r="O118" s="49"/>
      <c r="P118" s="49"/>
      <c r="Q118" s="49"/>
      <c r="R118" s="49"/>
      <c r="S118" s="49"/>
      <c r="T118" s="37"/>
    </row>
    <row r="119" spans="1:20" ht="14" x14ac:dyDescent="0.3">
      <c r="A119" s="48"/>
      <c r="B119" s="48"/>
      <c r="C119" s="48"/>
      <c r="D119" s="48"/>
      <c r="E119" s="48"/>
      <c r="F119" s="48"/>
      <c r="G119" s="48"/>
      <c r="H119" s="48"/>
      <c r="I119" s="48"/>
      <c r="J119" s="37"/>
      <c r="K119" s="49"/>
      <c r="L119" s="49"/>
      <c r="M119" s="49"/>
      <c r="N119" s="49"/>
      <c r="O119" s="49"/>
      <c r="P119" s="49"/>
      <c r="Q119" s="49"/>
      <c r="R119" s="49"/>
      <c r="S119" s="49"/>
      <c r="T119" s="37"/>
    </row>
    <row r="120" spans="1:20" ht="14" x14ac:dyDescent="0.3">
      <c r="A120" s="48"/>
      <c r="B120" s="48"/>
      <c r="C120" s="48"/>
      <c r="D120" s="48"/>
      <c r="E120" s="48"/>
      <c r="F120" s="48"/>
      <c r="G120" s="48"/>
      <c r="H120" s="48"/>
      <c r="I120" s="48"/>
      <c r="J120" s="37"/>
      <c r="K120" s="49"/>
      <c r="L120" s="49"/>
      <c r="M120" s="49"/>
      <c r="N120" s="49"/>
      <c r="O120" s="49"/>
      <c r="P120" s="49"/>
      <c r="Q120" s="49"/>
      <c r="R120" s="49"/>
      <c r="S120" s="49"/>
      <c r="T120" s="37"/>
    </row>
    <row r="121" spans="1:20" ht="14" x14ac:dyDescent="0.3">
      <c r="A121" s="48"/>
      <c r="B121" s="48"/>
      <c r="C121" s="48"/>
      <c r="D121" s="48"/>
      <c r="E121" s="48"/>
      <c r="F121" s="48"/>
      <c r="G121" s="48"/>
      <c r="H121" s="48"/>
      <c r="I121" s="48"/>
      <c r="J121" s="37"/>
      <c r="K121" s="49"/>
      <c r="L121" s="49"/>
      <c r="M121" s="49"/>
      <c r="N121" s="49"/>
      <c r="O121" s="49"/>
      <c r="P121" s="49"/>
      <c r="Q121" s="49"/>
      <c r="R121" s="49"/>
      <c r="S121" s="49"/>
      <c r="T121" s="37"/>
    </row>
    <row r="122" spans="1:20" ht="14" x14ac:dyDescent="0.3">
      <c r="A122" s="48"/>
      <c r="B122" s="48"/>
      <c r="C122" s="48"/>
      <c r="D122" s="48"/>
      <c r="E122" s="48"/>
      <c r="F122" s="48"/>
      <c r="G122" s="48"/>
      <c r="H122" s="48"/>
      <c r="I122" s="48"/>
      <c r="J122" s="37"/>
      <c r="K122" s="49"/>
      <c r="L122" s="49"/>
      <c r="M122" s="49"/>
      <c r="N122" s="49"/>
      <c r="O122" s="49"/>
      <c r="P122" s="49"/>
      <c r="Q122" s="49"/>
      <c r="R122" s="49"/>
      <c r="S122" s="49"/>
      <c r="T122" s="37"/>
    </row>
    <row r="123" spans="1:20" ht="14" x14ac:dyDescent="0.3">
      <c r="A123" s="48"/>
      <c r="B123" s="48"/>
      <c r="C123" s="48"/>
      <c r="D123" s="48"/>
      <c r="E123" s="48"/>
      <c r="F123" s="48"/>
      <c r="G123" s="48"/>
      <c r="H123" s="48"/>
      <c r="I123" s="48"/>
      <c r="J123" s="37"/>
      <c r="K123" s="49"/>
      <c r="L123" s="49"/>
      <c r="M123" s="49"/>
      <c r="N123" s="49"/>
      <c r="O123" s="49"/>
      <c r="P123" s="49"/>
      <c r="Q123" s="49"/>
      <c r="R123" s="49"/>
      <c r="S123" s="49"/>
      <c r="T123" s="37"/>
    </row>
    <row r="124" spans="1:20" ht="14" x14ac:dyDescent="0.3">
      <c r="A124" s="48"/>
      <c r="B124" s="48"/>
      <c r="C124" s="48"/>
      <c r="D124" s="48"/>
      <c r="E124" s="48"/>
      <c r="F124" s="48"/>
      <c r="G124" s="48"/>
      <c r="H124" s="48"/>
      <c r="I124" s="48"/>
      <c r="J124" s="37"/>
      <c r="K124" s="49"/>
      <c r="L124" s="49"/>
      <c r="M124" s="49"/>
      <c r="N124" s="49"/>
      <c r="O124" s="49"/>
      <c r="P124" s="49"/>
      <c r="Q124" s="49"/>
      <c r="R124" s="49"/>
      <c r="S124" s="49"/>
      <c r="T124" s="37"/>
    </row>
    <row r="125" spans="1:20" ht="14" x14ac:dyDescent="0.3">
      <c r="A125" s="48"/>
      <c r="B125" s="48"/>
      <c r="C125" s="48"/>
      <c r="D125" s="48"/>
      <c r="E125" s="48"/>
      <c r="F125" s="48"/>
      <c r="G125" s="48"/>
      <c r="H125" s="48"/>
      <c r="I125" s="48"/>
      <c r="J125" s="37"/>
      <c r="K125" s="49"/>
      <c r="L125" s="49"/>
      <c r="M125" s="49"/>
      <c r="N125" s="49"/>
      <c r="O125" s="49"/>
      <c r="P125" s="49"/>
      <c r="Q125" s="49"/>
      <c r="R125" s="49"/>
      <c r="S125" s="49"/>
      <c r="T125" s="37"/>
    </row>
    <row r="126" spans="1:20" ht="14" x14ac:dyDescent="0.3">
      <c r="A126" s="48"/>
      <c r="B126" s="48"/>
      <c r="C126" s="48"/>
      <c r="D126" s="48"/>
      <c r="E126" s="48"/>
      <c r="F126" s="48"/>
      <c r="G126" s="48"/>
      <c r="H126" s="48"/>
      <c r="I126" s="48"/>
      <c r="J126" s="37"/>
      <c r="K126" s="49"/>
      <c r="L126" s="49"/>
      <c r="M126" s="49"/>
      <c r="N126" s="49"/>
      <c r="O126" s="49"/>
      <c r="P126" s="49"/>
      <c r="Q126" s="49"/>
      <c r="R126" s="49"/>
      <c r="S126" s="49"/>
      <c r="T126" s="37"/>
    </row>
    <row r="127" spans="1:20" ht="14" x14ac:dyDescent="0.3">
      <c r="A127" s="48"/>
      <c r="B127" s="48"/>
      <c r="C127" s="48"/>
      <c r="D127" s="48"/>
      <c r="E127" s="48"/>
      <c r="F127" s="48"/>
      <c r="G127" s="48"/>
      <c r="H127" s="48"/>
      <c r="I127" s="48"/>
      <c r="J127" s="37"/>
      <c r="K127" s="49"/>
      <c r="L127" s="49"/>
      <c r="M127" s="49"/>
      <c r="N127" s="49"/>
      <c r="O127" s="49"/>
      <c r="P127" s="49"/>
      <c r="Q127" s="49"/>
      <c r="R127" s="49"/>
      <c r="S127" s="49"/>
      <c r="T127" s="37"/>
    </row>
    <row r="128" spans="1:20" ht="14" x14ac:dyDescent="0.3">
      <c r="A128" s="48"/>
      <c r="B128" s="48"/>
      <c r="C128" s="48"/>
      <c r="D128" s="48"/>
      <c r="E128" s="48"/>
      <c r="F128" s="48"/>
      <c r="G128" s="48"/>
      <c r="H128" s="48"/>
      <c r="I128" s="48"/>
      <c r="J128" s="37"/>
      <c r="K128" s="49"/>
      <c r="L128" s="49"/>
      <c r="M128" s="49"/>
      <c r="N128" s="49"/>
      <c r="O128" s="49"/>
      <c r="P128" s="49"/>
      <c r="Q128" s="49"/>
      <c r="R128" s="49"/>
      <c r="S128" s="49"/>
      <c r="T128" s="37"/>
    </row>
    <row r="129" spans="1:29" ht="14" x14ac:dyDescent="0.3">
      <c r="A129" s="48"/>
      <c r="B129" s="48"/>
      <c r="C129" s="48"/>
      <c r="D129" s="48"/>
      <c r="E129" s="48"/>
      <c r="F129" s="48"/>
      <c r="G129" s="48"/>
      <c r="H129" s="48"/>
      <c r="I129" s="48"/>
      <c r="J129" s="37"/>
      <c r="K129" s="49"/>
      <c r="L129" s="49"/>
      <c r="M129" s="49"/>
      <c r="N129" s="49"/>
      <c r="O129" s="49"/>
      <c r="P129" s="49"/>
      <c r="Q129" s="49"/>
      <c r="R129" s="49"/>
      <c r="S129" s="49"/>
      <c r="T129" s="37"/>
    </row>
    <row r="130" spans="1:29" ht="14" x14ac:dyDescent="0.3">
      <c r="A130" s="48"/>
      <c r="B130" s="48"/>
      <c r="C130" s="48"/>
      <c r="D130" s="48"/>
      <c r="E130" s="48"/>
      <c r="F130" s="48"/>
      <c r="G130" s="48"/>
      <c r="H130" s="48"/>
      <c r="I130" s="48"/>
      <c r="J130" s="37"/>
      <c r="K130" s="49"/>
      <c r="L130" s="49"/>
      <c r="M130" s="49"/>
      <c r="N130" s="49"/>
      <c r="O130" s="49"/>
      <c r="P130" s="49"/>
      <c r="Q130" s="49"/>
      <c r="R130" s="49"/>
      <c r="S130" s="49"/>
      <c r="T130" s="37"/>
    </row>
    <row r="131" spans="1:29" ht="14" x14ac:dyDescent="0.3">
      <c r="A131" s="48"/>
      <c r="B131" s="48"/>
      <c r="C131" s="48"/>
      <c r="D131" s="48"/>
      <c r="E131" s="48"/>
      <c r="F131" s="48"/>
      <c r="G131" s="48"/>
      <c r="H131" s="48"/>
      <c r="I131" s="48"/>
      <c r="J131" s="37"/>
      <c r="K131" s="49"/>
      <c r="L131" s="49"/>
      <c r="M131" s="49"/>
      <c r="N131" s="49"/>
      <c r="O131" s="49"/>
      <c r="P131" s="49"/>
      <c r="Q131" s="49"/>
      <c r="R131" s="49"/>
      <c r="S131" s="49"/>
      <c r="T131" s="37"/>
    </row>
    <row r="132" spans="1:29" ht="14" x14ac:dyDescent="0.3">
      <c r="A132" s="48"/>
      <c r="B132" s="48"/>
      <c r="C132" s="48"/>
      <c r="D132" s="48"/>
      <c r="E132" s="48"/>
      <c r="F132" s="48"/>
      <c r="G132" s="48"/>
      <c r="H132" s="48"/>
      <c r="I132" s="48"/>
      <c r="J132" s="37"/>
      <c r="K132" s="49"/>
      <c r="L132" s="49"/>
      <c r="M132" s="49"/>
      <c r="N132" s="49"/>
      <c r="O132" s="49"/>
      <c r="P132" s="49"/>
      <c r="Q132" s="49"/>
      <c r="R132" s="49"/>
      <c r="S132" s="49"/>
      <c r="T132" s="37"/>
    </row>
    <row r="133" spans="1:29" ht="14" x14ac:dyDescent="0.3">
      <c r="A133" s="48"/>
      <c r="B133" s="48"/>
      <c r="C133" s="48"/>
      <c r="D133" s="48"/>
      <c r="E133" s="48"/>
      <c r="F133" s="48"/>
      <c r="G133" s="48"/>
      <c r="H133" s="48"/>
      <c r="I133" s="48"/>
      <c r="J133" s="37"/>
      <c r="K133" s="49"/>
      <c r="L133" s="49"/>
      <c r="M133" s="49"/>
      <c r="N133" s="49"/>
      <c r="O133" s="49"/>
      <c r="P133" s="49"/>
      <c r="Q133" s="49"/>
      <c r="R133" s="49"/>
      <c r="S133" s="49"/>
      <c r="T133" s="37"/>
    </row>
    <row r="134" spans="1:29" ht="14" x14ac:dyDescent="0.3">
      <c r="A134" s="48"/>
      <c r="B134" s="48"/>
      <c r="C134" s="48"/>
      <c r="D134" s="48"/>
      <c r="E134" s="48"/>
      <c r="F134" s="48"/>
      <c r="G134" s="48"/>
      <c r="H134" s="48"/>
      <c r="I134" s="48"/>
      <c r="J134" s="37"/>
      <c r="K134" s="49"/>
      <c r="L134" s="49"/>
      <c r="M134" s="49"/>
      <c r="N134" s="49"/>
      <c r="O134" s="49"/>
      <c r="P134" s="49"/>
      <c r="Q134" s="49"/>
      <c r="R134" s="49"/>
      <c r="S134" s="49"/>
      <c r="T134" s="37"/>
    </row>
    <row r="135" spans="1:29" ht="14" x14ac:dyDescent="0.3">
      <c r="A135" s="48"/>
      <c r="B135" s="48"/>
      <c r="C135" s="48"/>
      <c r="D135" s="48"/>
      <c r="E135" s="48"/>
      <c r="F135" s="48"/>
      <c r="G135" s="48"/>
      <c r="H135" s="48"/>
      <c r="I135" s="48"/>
      <c r="J135" s="37"/>
      <c r="K135" s="49"/>
      <c r="L135" s="49"/>
      <c r="M135" s="49"/>
      <c r="N135" s="49"/>
      <c r="O135" s="49"/>
      <c r="P135" s="49"/>
      <c r="Q135" s="49"/>
      <c r="R135" s="49"/>
      <c r="S135" s="49"/>
      <c r="T135" s="37"/>
    </row>
    <row r="136" spans="1:29" ht="14" x14ac:dyDescent="0.3">
      <c r="A136" s="48"/>
      <c r="B136" s="48"/>
      <c r="C136" s="48"/>
      <c r="D136" s="48"/>
      <c r="E136" s="48"/>
      <c r="F136" s="48"/>
      <c r="G136" s="48"/>
      <c r="H136" s="48"/>
      <c r="I136" s="48"/>
      <c r="J136" s="37"/>
      <c r="K136" s="49"/>
      <c r="L136" s="49"/>
      <c r="M136" s="49"/>
      <c r="N136" s="49"/>
      <c r="O136" s="49"/>
      <c r="P136" s="49"/>
      <c r="Q136" s="49"/>
      <c r="R136" s="49"/>
      <c r="S136" s="49"/>
      <c r="T136" s="37"/>
    </row>
    <row r="137" spans="1:29" ht="14" x14ac:dyDescent="0.3">
      <c r="A137" s="48"/>
      <c r="B137" s="48"/>
      <c r="C137" s="48"/>
      <c r="D137" s="48"/>
      <c r="E137" s="48"/>
      <c r="F137" s="48"/>
      <c r="G137" s="48"/>
      <c r="H137" s="48"/>
      <c r="I137" s="48"/>
      <c r="J137" s="37"/>
      <c r="K137" s="49"/>
      <c r="L137" s="49"/>
      <c r="M137" s="49"/>
      <c r="N137" s="49"/>
      <c r="O137" s="49"/>
      <c r="P137" s="49"/>
      <c r="Q137" s="49"/>
      <c r="R137" s="49"/>
      <c r="S137" s="49"/>
      <c r="T137" s="37"/>
    </row>
    <row r="138" spans="1:29" ht="14" x14ac:dyDescent="0.3">
      <c r="A138" s="48"/>
      <c r="B138" s="48"/>
      <c r="C138" s="48"/>
      <c r="D138" s="48"/>
      <c r="E138" s="48"/>
      <c r="F138" s="48"/>
      <c r="G138" s="48"/>
      <c r="H138" s="48"/>
      <c r="I138" s="48"/>
      <c r="J138" s="37"/>
      <c r="K138" s="49"/>
      <c r="L138" s="49"/>
      <c r="M138" s="49"/>
      <c r="N138" s="49"/>
      <c r="O138" s="49"/>
      <c r="P138" s="49"/>
      <c r="Q138" s="49"/>
      <c r="R138" s="49"/>
      <c r="S138" s="49"/>
      <c r="T138" s="37"/>
    </row>
    <row r="139" spans="1:29" ht="14" x14ac:dyDescent="0.3">
      <c r="A139" s="48"/>
      <c r="B139" s="48"/>
      <c r="C139" s="48"/>
      <c r="D139" s="48"/>
      <c r="E139" s="48"/>
      <c r="F139" s="48"/>
      <c r="G139" s="48"/>
      <c r="H139" s="48"/>
      <c r="I139" s="48"/>
      <c r="J139" s="37"/>
      <c r="K139" s="49"/>
      <c r="L139" s="49"/>
      <c r="M139" s="49"/>
      <c r="N139" s="49"/>
      <c r="O139" s="49"/>
      <c r="P139" s="49"/>
      <c r="Q139" s="49"/>
      <c r="R139" s="49"/>
      <c r="S139" s="49"/>
      <c r="T139" s="37"/>
    </row>
    <row r="140" spans="1:29" ht="14" x14ac:dyDescent="0.3">
      <c r="A140" s="48"/>
      <c r="B140" s="48"/>
      <c r="C140" s="48"/>
      <c r="D140" s="48"/>
      <c r="E140" s="48"/>
      <c r="F140" s="48"/>
      <c r="G140" s="48"/>
      <c r="H140" s="48"/>
      <c r="I140" s="48"/>
      <c r="J140" s="37"/>
      <c r="K140" s="49"/>
      <c r="L140" s="49"/>
      <c r="M140" s="49"/>
      <c r="N140" s="49"/>
      <c r="O140" s="49"/>
      <c r="P140" s="49"/>
      <c r="Q140" s="49"/>
      <c r="R140" s="49"/>
      <c r="S140" s="49"/>
      <c r="T140" s="37"/>
    </row>
    <row r="141" spans="1:29" ht="14" x14ac:dyDescent="0.3">
      <c r="A141" s="48"/>
      <c r="B141" s="48"/>
      <c r="C141" s="48"/>
      <c r="D141" s="48"/>
      <c r="E141" s="48"/>
      <c r="F141" s="48"/>
      <c r="G141" s="48"/>
      <c r="H141" s="48"/>
      <c r="I141" s="48"/>
      <c r="J141" s="37"/>
      <c r="K141" s="49"/>
      <c r="L141" s="49"/>
      <c r="M141" s="49"/>
      <c r="N141" s="49"/>
      <c r="O141" s="49"/>
      <c r="P141" s="49"/>
      <c r="Q141" s="49"/>
      <c r="R141" s="49"/>
      <c r="S141" s="49"/>
      <c r="T141" s="37"/>
    </row>
    <row r="142" spans="1:29" ht="14" x14ac:dyDescent="0.3">
      <c r="A142" s="48"/>
      <c r="B142" s="48"/>
      <c r="C142" s="48"/>
      <c r="D142" s="48"/>
      <c r="E142" s="48"/>
      <c r="F142" s="48"/>
      <c r="G142" s="48"/>
      <c r="H142" s="48"/>
      <c r="I142" s="48"/>
      <c r="J142" s="37"/>
      <c r="K142" s="49"/>
      <c r="L142" s="49"/>
      <c r="M142" s="49"/>
      <c r="N142" s="49"/>
      <c r="O142" s="49"/>
      <c r="P142" s="49"/>
      <c r="Q142" s="49"/>
      <c r="R142" s="49"/>
      <c r="S142" s="49"/>
      <c r="T142" s="37"/>
    </row>
    <row r="143" spans="1:29" ht="15.5" x14ac:dyDescent="0.3">
      <c r="A143" s="412" t="s">
        <v>163</v>
      </c>
      <c r="B143" s="412"/>
      <c r="C143" s="412"/>
      <c r="D143" s="412"/>
      <c r="E143" s="412"/>
      <c r="F143" s="412"/>
      <c r="G143" s="412"/>
      <c r="H143" s="412"/>
      <c r="I143" s="412"/>
      <c r="J143" s="37"/>
      <c r="K143" s="412" t="s">
        <v>164</v>
      </c>
      <c r="L143" s="412"/>
      <c r="M143" s="412"/>
      <c r="N143" s="412"/>
      <c r="O143" s="412"/>
      <c r="P143" s="412"/>
      <c r="Q143" s="412"/>
      <c r="R143" s="412"/>
      <c r="S143" s="412"/>
      <c r="T143" s="37"/>
      <c r="U143" s="412"/>
      <c r="V143" s="412"/>
      <c r="W143" s="412"/>
      <c r="X143" s="412"/>
      <c r="Y143" s="412"/>
      <c r="Z143" s="412"/>
      <c r="AA143" s="412"/>
      <c r="AB143" s="412"/>
      <c r="AC143" s="412"/>
    </row>
    <row r="144" spans="1:29" ht="14" x14ac:dyDescent="0.3">
      <c r="A144" s="48"/>
      <c r="B144" s="48"/>
      <c r="C144" s="48"/>
      <c r="D144" s="48"/>
      <c r="E144" s="48"/>
      <c r="F144" s="48"/>
      <c r="G144" s="48"/>
      <c r="H144" s="48"/>
      <c r="I144" s="48"/>
      <c r="J144" s="37"/>
      <c r="K144" s="49"/>
      <c r="L144" s="49"/>
      <c r="M144" s="49"/>
      <c r="N144" s="49"/>
      <c r="O144" s="49"/>
      <c r="P144" s="49"/>
      <c r="Q144" s="49"/>
      <c r="R144" s="49"/>
      <c r="S144" s="49"/>
      <c r="T144" s="37"/>
    </row>
    <row r="145" spans="1:20" ht="14" x14ac:dyDescent="0.3">
      <c r="A145" s="415" t="s">
        <v>165</v>
      </c>
      <c r="B145" s="415"/>
      <c r="C145" s="415"/>
      <c r="D145" s="415"/>
      <c r="E145" s="415"/>
      <c r="F145" s="415"/>
      <c r="G145" s="415"/>
      <c r="H145" s="415"/>
      <c r="I145" s="415"/>
      <c r="J145" s="37"/>
      <c r="K145" s="415" t="s">
        <v>166</v>
      </c>
      <c r="L145" s="415"/>
      <c r="M145" s="415"/>
      <c r="N145" s="415"/>
      <c r="O145" s="415"/>
      <c r="P145" s="415"/>
      <c r="Q145" s="415"/>
      <c r="R145" s="415"/>
      <c r="S145" s="415"/>
      <c r="T145" s="37"/>
    </row>
    <row r="146" spans="1:20" ht="14" x14ac:dyDescent="0.3">
      <c r="A146" s="415"/>
      <c r="B146" s="415"/>
      <c r="C146" s="415"/>
      <c r="D146" s="415"/>
      <c r="E146" s="415"/>
      <c r="F146" s="415"/>
      <c r="G146" s="415"/>
      <c r="H146" s="415"/>
      <c r="I146" s="415"/>
      <c r="J146" s="37"/>
      <c r="K146" s="415"/>
      <c r="L146" s="415"/>
      <c r="M146" s="415"/>
      <c r="N146" s="415"/>
      <c r="O146" s="415"/>
      <c r="P146" s="415"/>
      <c r="Q146" s="415"/>
      <c r="R146" s="415"/>
      <c r="S146" s="415"/>
      <c r="T146" s="37"/>
    </row>
    <row r="147" spans="1:20" ht="14" x14ac:dyDescent="0.3">
      <c r="A147" s="415"/>
      <c r="B147" s="415"/>
      <c r="C147" s="415"/>
      <c r="D147" s="415"/>
      <c r="E147" s="415"/>
      <c r="F147" s="415"/>
      <c r="G147" s="415"/>
      <c r="H147" s="415"/>
      <c r="I147" s="415"/>
      <c r="J147" s="37"/>
      <c r="K147" s="415"/>
      <c r="L147" s="415"/>
      <c r="M147" s="415"/>
      <c r="N147" s="415"/>
      <c r="O147" s="415"/>
      <c r="P147" s="415"/>
      <c r="Q147" s="415"/>
      <c r="R147" s="415"/>
      <c r="S147" s="415"/>
      <c r="T147" s="37"/>
    </row>
    <row r="148" spans="1:20" ht="14" x14ac:dyDescent="0.3">
      <c r="A148" s="415"/>
      <c r="B148" s="415"/>
      <c r="C148" s="415"/>
      <c r="D148" s="415"/>
      <c r="E148" s="415"/>
      <c r="F148" s="415"/>
      <c r="G148" s="415"/>
      <c r="H148" s="415"/>
      <c r="I148" s="415"/>
      <c r="J148" s="37"/>
      <c r="K148" s="415"/>
      <c r="L148" s="415"/>
      <c r="M148" s="415"/>
      <c r="N148" s="415"/>
      <c r="O148" s="415"/>
      <c r="P148" s="415"/>
      <c r="Q148" s="415"/>
      <c r="R148" s="415"/>
      <c r="S148" s="415"/>
      <c r="T148" s="37"/>
    </row>
    <row r="149" spans="1:20" ht="14" x14ac:dyDescent="0.3">
      <c r="A149" s="48"/>
      <c r="B149" s="48"/>
      <c r="C149" s="48"/>
      <c r="D149" s="48"/>
      <c r="E149" s="48"/>
      <c r="F149" s="48"/>
      <c r="G149" s="48"/>
      <c r="H149" s="48"/>
      <c r="I149" s="48"/>
      <c r="J149" s="37"/>
      <c r="K149" s="49"/>
      <c r="L149" s="49"/>
      <c r="M149" s="49"/>
      <c r="N149" s="49"/>
      <c r="O149" s="49"/>
      <c r="P149" s="49"/>
      <c r="Q149" s="49"/>
      <c r="R149" s="49"/>
      <c r="S149" s="49"/>
      <c r="T149" s="37"/>
    </row>
    <row r="150" spans="1:20" ht="14" x14ac:dyDescent="0.3">
      <c r="A150" s="48"/>
      <c r="B150" s="48"/>
      <c r="C150" s="48"/>
      <c r="D150" s="48"/>
      <c r="E150" s="48"/>
      <c r="F150" s="48"/>
      <c r="G150" s="48"/>
      <c r="H150" s="48"/>
      <c r="I150" s="48"/>
      <c r="J150" s="37"/>
      <c r="K150" s="49"/>
      <c r="L150" s="49"/>
      <c r="M150" s="49"/>
      <c r="N150" s="49"/>
      <c r="O150" s="49"/>
      <c r="P150" s="49"/>
      <c r="Q150" s="49"/>
      <c r="R150" s="49"/>
      <c r="S150" s="49"/>
      <c r="T150" s="37"/>
    </row>
    <row r="151" spans="1:20" ht="14" x14ac:dyDescent="0.3">
      <c r="A151" s="48"/>
      <c r="B151" s="48"/>
      <c r="C151" s="48"/>
      <c r="D151" s="48"/>
      <c r="E151" s="48"/>
      <c r="F151" s="48"/>
      <c r="G151" s="48"/>
      <c r="H151" s="48"/>
      <c r="I151" s="48"/>
      <c r="J151" s="37"/>
      <c r="K151" s="49"/>
      <c r="L151" s="49"/>
      <c r="M151" s="49"/>
      <c r="N151" s="49"/>
      <c r="O151" s="49"/>
      <c r="P151" s="49"/>
      <c r="Q151" s="49"/>
      <c r="R151" s="49"/>
      <c r="S151" s="49"/>
      <c r="T151" s="37"/>
    </row>
    <row r="152" spans="1:20" ht="14" x14ac:dyDescent="0.3">
      <c r="A152" s="48"/>
      <c r="B152" s="48"/>
      <c r="C152" s="48"/>
      <c r="D152" s="48"/>
      <c r="E152" s="48"/>
      <c r="F152" s="48"/>
      <c r="G152" s="48"/>
      <c r="H152" s="48"/>
      <c r="I152" s="48"/>
      <c r="J152" s="37"/>
      <c r="K152" s="49"/>
      <c r="L152" s="49"/>
      <c r="M152" s="49"/>
      <c r="N152" s="49"/>
      <c r="O152" s="49"/>
      <c r="P152" s="49"/>
      <c r="Q152" s="49"/>
      <c r="R152" s="49"/>
      <c r="S152" s="49"/>
      <c r="T152" s="37"/>
    </row>
    <row r="153" spans="1:20" ht="14" x14ac:dyDescent="0.3">
      <c r="A153" s="48"/>
      <c r="B153" s="48"/>
      <c r="C153" s="48"/>
      <c r="D153" s="48"/>
      <c r="E153" s="48"/>
      <c r="F153" s="48"/>
      <c r="G153" s="48"/>
      <c r="H153" s="48"/>
      <c r="I153" s="48"/>
      <c r="J153" s="37"/>
      <c r="K153" s="49"/>
      <c r="L153" s="49"/>
      <c r="M153" s="49"/>
      <c r="N153" s="49"/>
      <c r="O153" s="49"/>
      <c r="P153" s="49"/>
      <c r="Q153" s="49"/>
      <c r="R153" s="49"/>
      <c r="S153" s="49"/>
      <c r="T153" s="37"/>
    </row>
    <row r="154" spans="1:20" ht="14" x14ac:dyDescent="0.3">
      <c r="A154" s="48"/>
      <c r="B154" s="48"/>
      <c r="C154" s="48"/>
      <c r="D154" s="48"/>
      <c r="E154" s="48"/>
      <c r="F154" s="48"/>
      <c r="G154" s="48"/>
      <c r="H154" s="48"/>
      <c r="I154" s="48"/>
      <c r="J154" s="37"/>
      <c r="K154" s="49"/>
      <c r="L154" s="49"/>
      <c r="M154" s="49"/>
      <c r="N154" s="49"/>
      <c r="O154" s="49"/>
      <c r="P154" s="49"/>
      <c r="Q154" s="49"/>
      <c r="R154" s="49"/>
      <c r="S154" s="49"/>
      <c r="T154" s="37"/>
    </row>
    <row r="155" spans="1:20" ht="14" x14ac:dyDescent="0.3">
      <c r="A155" s="48"/>
      <c r="B155" s="48"/>
      <c r="C155" s="48"/>
      <c r="D155" s="48"/>
      <c r="E155" s="48"/>
      <c r="F155" s="48"/>
      <c r="G155" s="48"/>
      <c r="H155" s="48"/>
      <c r="I155" s="48"/>
      <c r="J155" s="37"/>
      <c r="K155" s="49"/>
      <c r="L155" s="49"/>
      <c r="M155" s="49"/>
      <c r="N155" s="49"/>
      <c r="O155" s="49"/>
      <c r="P155" s="49"/>
      <c r="Q155" s="49"/>
      <c r="R155" s="49"/>
      <c r="S155" s="49"/>
      <c r="T155" s="37"/>
    </row>
    <row r="156" spans="1:20" ht="14" x14ac:dyDescent="0.3">
      <c r="A156" s="48"/>
      <c r="B156" s="48"/>
      <c r="C156" s="48"/>
      <c r="D156" s="48"/>
      <c r="E156" s="48"/>
      <c r="F156" s="48"/>
      <c r="G156" s="48"/>
      <c r="H156" s="48"/>
      <c r="I156" s="48"/>
      <c r="J156" s="37"/>
      <c r="K156" s="49"/>
      <c r="L156" s="49"/>
      <c r="M156" s="49"/>
      <c r="N156" s="49"/>
      <c r="O156" s="49"/>
      <c r="P156" s="49"/>
      <c r="Q156" s="49"/>
      <c r="R156" s="49"/>
      <c r="S156" s="49"/>
      <c r="T156" s="37"/>
    </row>
    <row r="157" spans="1:20" ht="14" x14ac:dyDescent="0.3">
      <c r="A157" s="48"/>
      <c r="B157" s="48"/>
      <c r="C157" s="48"/>
      <c r="D157" s="48"/>
      <c r="E157" s="48"/>
      <c r="F157" s="48"/>
      <c r="G157" s="48"/>
      <c r="H157" s="48"/>
      <c r="I157" s="48"/>
      <c r="J157" s="37"/>
      <c r="K157" s="49"/>
      <c r="L157" s="49"/>
      <c r="M157" s="49"/>
      <c r="N157" s="49"/>
      <c r="O157" s="49"/>
      <c r="P157" s="49"/>
      <c r="Q157" s="49"/>
      <c r="R157" s="49"/>
      <c r="S157" s="49"/>
      <c r="T157" s="37"/>
    </row>
    <row r="158" spans="1:20" ht="14" x14ac:dyDescent="0.3">
      <c r="A158" s="48"/>
      <c r="B158" s="48"/>
      <c r="C158" s="48"/>
      <c r="D158" s="48"/>
      <c r="E158" s="48"/>
      <c r="F158" s="48"/>
      <c r="G158" s="48"/>
      <c r="H158" s="48"/>
      <c r="I158" s="48"/>
      <c r="J158" s="37"/>
      <c r="K158" s="49"/>
      <c r="L158" s="49"/>
      <c r="M158" s="49"/>
      <c r="N158" s="49"/>
      <c r="O158" s="49"/>
      <c r="P158" s="49"/>
      <c r="Q158" s="49"/>
      <c r="R158" s="49"/>
      <c r="S158" s="49"/>
      <c r="T158" s="37"/>
    </row>
    <row r="159" spans="1:20" ht="14" x14ac:dyDescent="0.3">
      <c r="A159" s="48"/>
      <c r="B159" s="48"/>
      <c r="C159" s="48"/>
      <c r="D159" s="48"/>
      <c r="E159" s="48"/>
      <c r="F159" s="48"/>
      <c r="G159" s="48"/>
      <c r="H159" s="48"/>
      <c r="I159" s="48"/>
      <c r="J159" s="37"/>
      <c r="K159" s="49"/>
      <c r="L159" s="49"/>
      <c r="M159" s="49"/>
      <c r="N159" s="49"/>
      <c r="O159" s="49"/>
      <c r="P159" s="49"/>
      <c r="Q159" s="49"/>
      <c r="R159" s="49"/>
      <c r="S159" s="49"/>
      <c r="T159" s="37"/>
    </row>
    <row r="160" spans="1:20" ht="14" x14ac:dyDescent="0.3">
      <c r="A160" s="48"/>
      <c r="B160" s="48"/>
      <c r="C160" s="48"/>
      <c r="D160" s="48"/>
      <c r="E160" s="48"/>
      <c r="F160" s="48"/>
      <c r="G160" s="48"/>
      <c r="H160" s="48"/>
      <c r="I160" s="48"/>
      <c r="J160" s="37"/>
      <c r="K160" s="49"/>
      <c r="L160" s="49"/>
      <c r="M160" s="49"/>
      <c r="N160" s="49"/>
      <c r="O160" s="49"/>
      <c r="P160" s="49"/>
      <c r="Q160" s="49"/>
      <c r="R160" s="49"/>
      <c r="S160" s="49"/>
      <c r="T160" s="37"/>
    </row>
    <row r="161" spans="1:20" ht="14" x14ac:dyDescent="0.3">
      <c r="A161" s="48"/>
      <c r="B161" s="48"/>
      <c r="C161" s="48"/>
      <c r="D161" s="48"/>
      <c r="E161" s="48"/>
      <c r="F161" s="48"/>
      <c r="G161" s="48"/>
      <c r="H161" s="48"/>
      <c r="I161" s="48"/>
      <c r="J161" s="37"/>
      <c r="K161" s="49"/>
      <c r="L161" s="49"/>
      <c r="M161" s="49"/>
      <c r="N161" s="49"/>
      <c r="O161" s="49"/>
      <c r="P161" s="49"/>
      <c r="Q161" s="49"/>
      <c r="R161" s="49"/>
      <c r="S161" s="49"/>
      <c r="T161" s="37"/>
    </row>
    <row r="162" spans="1:20" ht="14" x14ac:dyDescent="0.3">
      <c r="A162" s="48"/>
      <c r="B162" s="48"/>
      <c r="C162" s="48"/>
      <c r="D162" s="48"/>
      <c r="E162" s="48"/>
      <c r="F162" s="48"/>
      <c r="G162" s="48"/>
      <c r="H162" s="48"/>
      <c r="I162" s="48"/>
      <c r="J162" s="37"/>
      <c r="K162" s="49"/>
      <c r="L162" s="49"/>
      <c r="M162" s="49"/>
      <c r="N162" s="49"/>
      <c r="O162" s="49"/>
      <c r="P162" s="49"/>
      <c r="Q162" s="49"/>
      <c r="R162" s="49"/>
      <c r="S162" s="49"/>
      <c r="T162" s="37"/>
    </row>
    <row r="163" spans="1:20" ht="14" x14ac:dyDescent="0.3">
      <c r="A163" s="48"/>
      <c r="B163" s="48"/>
      <c r="C163" s="48"/>
      <c r="D163" s="48"/>
      <c r="E163" s="48"/>
      <c r="F163" s="48"/>
      <c r="G163" s="48"/>
      <c r="H163" s="48"/>
      <c r="I163" s="48"/>
      <c r="J163" s="37"/>
      <c r="K163" s="49"/>
      <c r="L163" s="49"/>
      <c r="M163" s="49"/>
      <c r="N163" s="49"/>
      <c r="O163" s="49"/>
      <c r="P163" s="49"/>
      <c r="Q163" s="49"/>
      <c r="R163" s="49"/>
      <c r="S163" s="49"/>
      <c r="T163" s="37"/>
    </row>
    <row r="164" spans="1:20" ht="14" x14ac:dyDescent="0.3">
      <c r="A164" s="48"/>
      <c r="B164" s="48"/>
      <c r="C164" s="48"/>
      <c r="D164" s="48"/>
      <c r="E164" s="48"/>
      <c r="F164" s="48"/>
      <c r="G164" s="48"/>
      <c r="H164" s="48"/>
      <c r="I164" s="48"/>
      <c r="J164" s="37"/>
      <c r="K164" s="49"/>
      <c r="L164" s="49"/>
      <c r="M164" s="49"/>
      <c r="N164" s="49"/>
      <c r="O164" s="49"/>
      <c r="P164" s="49"/>
      <c r="Q164" s="49"/>
      <c r="R164" s="49"/>
      <c r="S164" s="49"/>
      <c r="T164" s="37"/>
    </row>
    <row r="165" spans="1:20" ht="14" x14ac:dyDescent="0.3">
      <c r="A165" s="48"/>
      <c r="B165" s="48"/>
      <c r="C165" s="48"/>
      <c r="D165" s="48"/>
      <c r="E165" s="48"/>
      <c r="F165" s="48"/>
      <c r="G165" s="48"/>
      <c r="H165" s="48"/>
      <c r="I165" s="48"/>
      <c r="J165" s="37"/>
      <c r="K165" s="49"/>
      <c r="L165" s="49"/>
      <c r="M165" s="49"/>
      <c r="N165" s="49"/>
      <c r="O165" s="49"/>
      <c r="P165" s="49"/>
      <c r="Q165" s="49"/>
      <c r="R165" s="49"/>
      <c r="S165" s="49"/>
      <c r="T165" s="37"/>
    </row>
    <row r="166" spans="1:20" ht="14" x14ac:dyDescent="0.3">
      <c r="A166" s="48"/>
      <c r="B166" s="48"/>
      <c r="C166" s="48"/>
      <c r="D166" s="48"/>
      <c r="E166" s="48"/>
      <c r="F166" s="48"/>
      <c r="G166" s="48"/>
      <c r="H166" s="48"/>
      <c r="I166" s="48"/>
      <c r="J166" s="37"/>
      <c r="K166" s="49"/>
      <c r="L166" s="49"/>
      <c r="M166" s="49"/>
      <c r="N166" s="49"/>
      <c r="O166" s="49"/>
      <c r="P166" s="49"/>
      <c r="Q166" s="49"/>
      <c r="R166" s="49"/>
      <c r="S166" s="49"/>
      <c r="T166" s="37"/>
    </row>
    <row r="167" spans="1:20" ht="14" x14ac:dyDescent="0.3">
      <c r="A167" s="48"/>
      <c r="B167" s="48"/>
      <c r="C167" s="48"/>
      <c r="D167" s="48"/>
      <c r="E167" s="48"/>
      <c r="F167" s="48"/>
      <c r="G167" s="48"/>
      <c r="H167" s="48"/>
      <c r="I167" s="48"/>
      <c r="J167" s="37"/>
      <c r="K167" s="49"/>
      <c r="L167" s="49"/>
      <c r="M167" s="49"/>
      <c r="N167" s="49"/>
      <c r="O167" s="49"/>
      <c r="P167" s="49"/>
      <c r="Q167" s="49"/>
      <c r="R167" s="49"/>
      <c r="S167" s="49"/>
      <c r="T167" s="37"/>
    </row>
    <row r="168" spans="1:20" ht="14" x14ac:dyDescent="0.3">
      <c r="A168" s="48"/>
      <c r="B168" s="48"/>
      <c r="C168" s="48"/>
      <c r="D168" s="48"/>
      <c r="E168" s="48"/>
      <c r="F168" s="48"/>
      <c r="G168" s="48"/>
      <c r="H168" s="48"/>
      <c r="I168" s="48"/>
      <c r="J168" s="37"/>
      <c r="K168" s="49"/>
      <c r="L168" s="49"/>
      <c r="M168" s="49"/>
      <c r="N168" s="49"/>
      <c r="O168" s="49"/>
      <c r="P168" s="49"/>
      <c r="Q168" s="49"/>
      <c r="R168" s="49"/>
      <c r="S168" s="49"/>
      <c r="T168" s="37"/>
    </row>
    <row r="169" spans="1:20" ht="14" x14ac:dyDescent="0.3">
      <c r="A169" s="48"/>
      <c r="B169" s="48"/>
      <c r="C169" s="48"/>
      <c r="D169" s="48"/>
      <c r="E169" s="48"/>
      <c r="F169" s="48"/>
      <c r="G169" s="48"/>
      <c r="H169" s="48"/>
      <c r="I169" s="48"/>
      <c r="J169" s="37"/>
      <c r="K169" s="49"/>
      <c r="L169" s="49"/>
      <c r="M169" s="49"/>
      <c r="N169" s="49"/>
      <c r="O169" s="49"/>
      <c r="P169" s="49"/>
      <c r="Q169" s="49"/>
      <c r="R169" s="49"/>
      <c r="S169" s="49"/>
      <c r="T169" s="37"/>
    </row>
    <row r="170" spans="1:20" ht="14" x14ac:dyDescent="0.3">
      <c r="A170" s="48"/>
      <c r="B170" s="48"/>
      <c r="C170" s="48"/>
      <c r="D170" s="48"/>
      <c r="E170" s="48"/>
      <c r="F170" s="48"/>
      <c r="G170" s="48"/>
      <c r="H170" s="48"/>
      <c r="I170" s="48"/>
      <c r="J170" s="37"/>
      <c r="K170" s="49"/>
      <c r="L170" s="49"/>
      <c r="M170" s="49"/>
      <c r="N170" s="49"/>
      <c r="O170" s="49"/>
      <c r="P170" s="49"/>
      <c r="Q170" s="49"/>
      <c r="R170" s="49"/>
      <c r="S170" s="49"/>
      <c r="T170" s="37"/>
    </row>
    <row r="171" spans="1:20" ht="14" x14ac:dyDescent="0.3">
      <c r="A171" s="48"/>
      <c r="B171" s="48"/>
      <c r="C171" s="48"/>
      <c r="D171" s="48"/>
      <c r="E171" s="48"/>
      <c r="F171" s="48"/>
      <c r="G171" s="48"/>
      <c r="H171" s="48"/>
      <c r="I171" s="48"/>
      <c r="J171" s="37"/>
      <c r="K171" s="49"/>
      <c r="L171" s="49"/>
      <c r="M171" s="49"/>
      <c r="N171" s="49"/>
      <c r="O171" s="49"/>
      <c r="P171" s="49"/>
      <c r="Q171" s="49"/>
      <c r="R171" s="49"/>
      <c r="S171" s="49"/>
      <c r="T171" s="37"/>
    </row>
    <row r="172" spans="1:20" ht="14" x14ac:dyDescent="0.3">
      <c r="A172" s="48"/>
      <c r="B172" s="48"/>
      <c r="C172" s="48"/>
      <c r="D172" s="48"/>
      <c r="E172" s="48"/>
      <c r="F172" s="48"/>
      <c r="G172" s="48"/>
      <c r="H172" s="48"/>
      <c r="I172" s="48"/>
      <c r="J172" s="37"/>
      <c r="K172" s="49"/>
      <c r="L172" s="49"/>
      <c r="M172" s="49"/>
      <c r="N172" s="49"/>
      <c r="O172" s="49"/>
      <c r="P172" s="49"/>
      <c r="Q172" s="49"/>
      <c r="R172" s="49"/>
      <c r="S172" s="49"/>
      <c r="T172" s="37"/>
    </row>
    <row r="173" spans="1:20" ht="14" x14ac:dyDescent="0.3">
      <c r="A173" s="48"/>
      <c r="B173" s="48"/>
      <c r="C173" s="48"/>
      <c r="D173" s="48"/>
      <c r="E173" s="48"/>
      <c r="F173" s="48"/>
      <c r="G173" s="48"/>
      <c r="H173" s="48"/>
      <c r="I173" s="48"/>
      <c r="J173" s="37"/>
      <c r="K173" s="49"/>
      <c r="L173" s="49"/>
      <c r="M173" s="49"/>
      <c r="N173" s="49"/>
      <c r="O173" s="49"/>
      <c r="P173" s="49"/>
      <c r="Q173" s="49"/>
      <c r="R173" s="49"/>
      <c r="S173" s="49"/>
      <c r="T173" s="37"/>
    </row>
    <row r="174" spans="1:20" ht="14" x14ac:dyDescent="0.3">
      <c r="A174" s="48"/>
      <c r="B174" s="48"/>
      <c r="C174" s="48"/>
      <c r="D174" s="48"/>
      <c r="E174" s="48"/>
      <c r="F174" s="48"/>
      <c r="G174" s="48"/>
      <c r="H174" s="48"/>
      <c r="I174" s="48"/>
      <c r="J174" s="37"/>
      <c r="K174" s="49"/>
      <c r="L174" s="49"/>
      <c r="M174" s="49"/>
      <c r="N174" s="49"/>
      <c r="O174" s="49"/>
      <c r="P174" s="49"/>
      <c r="Q174" s="49"/>
      <c r="R174" s="49"/>
      <c r="S174" s="49"/>
      <c r="T174" s="37"/>
    </row>
    <row r="175" spans="1:20" ht="14" x14ac:dyDescent="0.3">
      <c r="A175" s="48"/>
      <c r="B175" s="48"/>
      <c r="C175" s="48"/>
      <c r="D175" s="48"/>
      <c r="E175" s="48"/>
      <c r="F175" s="48"/>
      <c r="G175" s="48"/>
      <c r="H175" s="48"/>
      <c r="I175" s="48"/>
      <c r="J175" s="37"/>
      <c r="K175" s="49"/>
      <c r="L175" s="49"/>
      <c r="M175" s="49"/>
      <c r="N175" s="49"/>
      <c r="O175" s="49"/>
      <c r="P175" s="49"/>
      <c r="Q175" s="49"/>
      <c r="R175" s="49"/>
      <c r="S175" s="49"/>
      <c r="T175" s="37"/>
    </row>
    <row r="176" spans="1:20" ht="14" x14ac:dyDescent="0.3">
      <c r="A176" s="48"/>
      <c r="B176" s="48"/>
      <c r="C176" s="48"/>
      <c r="D176" s="48"/>
      <c r="E176" s="48"/>
      <c r="F176" s="48"/>
      <c r="G176" s="48"/>
      <c r="H176" s="48"/>
      <c r="I176" s="48"/>
      <c r="J176" s="37"/>
      <c r="K176" s="49"/>
      <c r="L176" s="49"/>
      <c r="M176" s="49"/>
      <c r="N176" s="49"/>
      <c r="O176" s="49"/>
      <c r="P176" s="49"/>
      <c r="Q176" s="49"/>
      <c r="R176" s="49"/>
      <c r="S176" s="49"/>
      <c r="T176" s="37"/>
    </row>
    <row r="177" spans="1:20" ht="14" x14ac:dyDescent="0.3">
      <c r="A177" s="48"/>
      <c r="B177" s="48"/>
      <c r="C177" s="48"/>
      <c r="D177" s="48"/>
      <c r="E177" s="48"/>
      <c r="F177" s="48"/>
      <c r="G177" s="48"/>
      <c r="H177" s="48"/>
      <c r="I177" s="48"/>
      <c r="J177" s="37"/>
      <c r="K177" s="49"/>
      <c r="L177" s="49"/>
      <c r="M177" s="49"/>
      <c r="N177" s="49"/>
      <c r="O177" s="49"/>
      <c r="P177" s="49"/>
      <c r="Q177" s="49"/>
      <c r="R177" s="49"/>
      <c r="S177" s="49"/>
      <c r="T177" s="37"/>
    </row>
    <row r="178" spans="1:20" ht="14" x14ac:dyDescent="0.3">
      <c r="A178" s="48"/>
      <c r="B178" s="48"/>
      <c r="C178" s="48"/>
      <c r="D178" s="48"/>
      <c r="E178" s="48"/>
      <c r="F178" s="48"/>
      <c r="G178" s="48"/>
      <c r="H178" s="48"/>
      <c r="I178" s="48"/>
      <c r="J178" s="37"/>
      <c r="K178" s="49"/>
      <c r="L178" s="49"/>
      <c r="M178" s="49"/>
      <c r="N178" s="49"/>
      <c r="O178" s="49"/>
      <c r="P178" s="49"/>
      <c r="Q178" s="49"/>
      <c r="R178" s="49"/>
      <c r="S178" s="49"/>
      <c r="T178" s="37"/>
    </row>
    <row r="179" spans="1:20" ht="14" x14ac:dyDescent="0.3">
      <c r="A179" s="48"/>
      <c r="B179" s="48"/>
      <c r="C179" s="48"/>
      <c r="D179" s="48"/>
      <c r="E179" s="48"/>
      <c r="F179" s="48"/>
      <c r="G179" s="48"/>
      <c r="H179" s="48"/>
      <c r="I179" s="48"/>
      <c r="J179" s="37"/>
      <c r="K179" s="49"/>
      <c r="L179" s="49"/>
      <c r="M179" s="49"/>
      <c r="N179" s="49"/>
      <c r="O179" s="49"/>
      <c r="P179" s="49"/>
      <c r="Q179" s="49"/>
      <c r="R179" s="49"/>
      <c r="S179" s="49"/>
      <c r="T179" s="37"/>
    </row>
    <row r="180" spans="1:20" ht="14" x14ac:dyDescent="0.3">
      <c r="A180" s="48"/>
      <c r="B180" s="48"/>
      <c r="C180" s="48"/>
      <c r="D180" s="48"/>
      <c r="E180" s="48"/>
      <c r="F180" s="48"/>
      <c r="G180" s="48"/>
      <c r="H180" s="48"/>
      <c r="I180" s="48"/>
      <c r="J180" s="37"/>
      <c r="K180" s="49"/>
      <c r="L180" s="49"/>
      <c r="M180" s="49"/>
      <c r="N180" s="49"/>
      <c r="O180" s="49"/>
      <c r="P180" s="49"/>
      <c r="Q180" s="49"/>
      <c r="R180" s="49"/>
      <c r="S180" s="49"/>
      <c r="T180" s="37"/>
    </row>
    <row r="181" spans="1:20" ht="14" x14ac:dyDescent="0.3">
      <c r="A181" s="48"/>
      <c r="B181" s="48"/>
      <c r="C181" s="48"/>
      <c r="D181" s="48"/>
      <c r="E181" s="48"/>
      <c r="F181" s="48"/>
      <c r="G181" s="48"/>
      <c r="H181" s="48"/>
      <c r="I181" s="48"/>
      <c r="J181" s="37"/>
      <c r="K181" s="49"/>
      <c r="L181" s="49"/>
      <c r="M181" s="49"/>
      <c r="N181" s="49"/>
      <c r="O181" s="49"/>
      <c r="P181" s="49"/>
      <c r="Q181" s="49"/>
      <c r="R181" s="49"/>
      <c r="S181" s="49"/>
      <c r="T181" s="37"/>
    </row>
    <row r="182" spans="1:20" ht="14" x14ac:dyDescent="0.3">
      <c r="A182" s="48"/>
      <c r="B182" s="48"/>
      <c r="C182" s="48"/>
      <c r="D182" s="48"/>
      <c r="E182" s="48"/>
      <c r="F182" s="48"/>
      <c r="G182" s="48"/>
      <c r="H182" s="48"/>
      <c r="I182" s="48"/>
      <c r="J182" s="37"/>
      <c r="K182" s="49"/>
      <c r="L182" s="49"/>
      <c r="M182" s="49"/>
      <c r="N182" s="49"/>
      <c r="O182" s="49"/>
      <c r="P182" s="49"/>
      <c r="Q182" s="49"/>
      <c r="R182" s="49"/>
      <c r="S182" s="49"/>
      <c r="T182" s="37"/>
    </row>
    <row r="183" spans="1:20" ht="14" x14ac:dyDescent="0.3">
      <c r="A183" s="48"/>
      <c r="B183" s="48"/>
      <c r="C183" s="48"/>
      <c r="D183" s="48"/>
      <c r="E183" s="48"/>
      <c r="F183" s="48"/>
      <c r="G183" s="48"/>
      <c r="H183" s="48"/>
      <c r="I183" s="48"/>
      <c r="J183" s="37"/>
      <c r="K183" s="49"/>
      <c r="L183" s="49"/>
      <c r="M183" s="49"/>
      <c r="N183" s="49"/>
      <c r="O183" s="49"/>
      <c r="P183" s="49"/>
      <c r="Q183" s="49"/>
      <c r="R183" s="49"/>
      <c r="S183" s="49"/>
      <c r="T183" s="37"/>
    </row>
    <row r="184" spans="1:20" ht="14" x14ac:dyDescent="0.3">
      <c r="A184" s="48"/>
      <c r="B184" s="48"/>
      <c r="C184" s="48"/>
      <c r="D184" s="48"/>
      <c r="E184" s="48"/>
      <c r="F184" s="48"/>
      <c r="G184" s="48"/>
      <c r="H184" s="48"/>
      <c r="I184" s="48"/>
      <c r="J184" s="37"/>
      <c r="K184" s="49"/>
      <c r="L184" s="49"/>
      <c r="M184" s="49"/>
      <c r="N184" s="49"/>
      <c r="O184" s="49"/>
      <c r="P184" s="49"/>
      <c r="Q184" s="49"/>
      <c r="R184" s="49"/>
      <c r="S184" s="49"/>
      <c r="T184" s="37"/>
    </row>
    <row r="185" spans="1:20" ht="14" x14ac:dyDescent="0.3">
      <c r="A185" s="48"/>
      <c r="B185" s="48"/>
      <c r="C185" s="48"/>
      <c r="D185" s="48"/>
      <c r="E185" s="48"/>
      <c r="F185" s="48"/>
      <c r="G185" s="48"/>
      <c r="H185" s="48"/>
      <c r="I185" s="48"/>
      <c r="J185" s="37"/>
      <c r="K185" s="49"/>
      <c r="L185" s="49"/>
      <c r="M185" s="49"/>
      <c r="N185" s="49"/>
      <c r="O185" s="49"/>
      <c r="P185" s="49"/>
      <c r="Q185" s="49"/>
      <c r="R185" s="49"/>
      <c r="S185" s="49"/>
      <c r="T185" s="37"/>
    </row>
    <row r="186" spans="1:20" ht="14" x14ac:dyDescent="0.3">
      <c r="A186" s="48"/>
      <c r="B186" s="48"/>
      <c r="C186" s="48"/>
      <c r="D186" s="48"/>
      <c r="E186" s="48"/>
      <c r="F186" s="48"/>
      <c r="G186" s="48"/>
      <c r="H186" s="48"/>
      <c r="I186" s="48"/>
      <c r="J186" s="37"/>
      <c r="K186" s="49"/>
      <c r="L186" s="49"/>
      <c r="M186" s="49"/>
      <c r="N186" s="49"/>
      <c r="O186" s="49"/>
      <c r="P186" s="49"/>
      <c r="Q186" s="49"/>
      <c r="R186" s="49"/>
      <c r="S186" s="49"/>
      <c r="T186" s="37"/>
    </row>
    <row r="187" spans="1:20" ht="14" x14ac:dyDescent="0.3">
      <c r="A187" s="48"/>
      <c r="B187" s="48"/>
      <c r="C187" s="48"/>
      <c r="D187" s="48"/>
      <c r="E187" s="48"/>
      <c r="F187" s="48"/>
      <c r="G187" s="48"/>
      <c r="H187" s="48"/>
      <c r="I187" s="48"/>
      <c r="J187" s="37"/>
      <c r="K187" s="49"/>
      <c r="L187" s="49"/>
      <c r="M187" s="49"/>
      <c r="N187" s="49"/>
      <c r="O187" s="49"/>
      <c r="P187" s="49"/>
      <c r="Q187" s="49"/>
      <c r="R187" s="49"/>
      <c r="S187" s="49"/>
      <c r="T187" s="37"/>
    </row>
    <row r="188" spans="1:20" ht="14" x14ac:dyDescent="0.3">
      <c r="A188" s="48"/>
      <c r="B188" s="48"/>
      <c r="C188" s="48"/>
      <c r="D188" s="48"/>
      <c r="E188" s="48"/>
      <c r="F188" s="48"/>
      <c r="G188" s="48"/>
      <c r="H188" s="48"/>
      <c r="I188" s="48"/>
      <c r="J188" s="37"/>
      <c r="K188" s="49"/>
      <c r="L188" s="49"/>
      <c r="M188" s="49"/>
      <c r="N188" s="49"/>
      <c r="O188" s="49"/>
      <c r="P188" s="49"/>
      <c r="Q188" s="49"/>
      <c r="R188" s="49"/>
      <c r="S188" s="49"/>
      <c r="T188" s="37"/>
    </row>
    <row r="189" spans="1:20" ht="14" x14ac:dyDescent="0.3">
      <c r="A189" s="48"/>
      <c r="B189" s="48"/>
      <c r="C189" s="48"/>
      <c r="D189" s="48"/>
      <c r="E189" s="48"/>
      <c r="F189" s="48"/>
      <c r="G189" s="48"/>
      <c r="H189" s="48"/>
      <c r="I189" s="48"/>
      <c r="J189" s="37"/>
      <c r="K189" s="49"/>
      <c r="L189" s="49"/>
      <c r="M189" s="49"/>
      <c r="N189" s="49"/>
      <c r="O189" s="49"/>
      <c r="P189" s="49"/>
      <c r="Q189" s="49"/>
      <c r="R189" s="49"/>
      <c r="S189" s="49"/>
      <c r="T189" s="37"/>
    </row>
    <row r="190" spans="1:20" ht="14" x14ac:dyDescent="0.3">
      <c r="A190" s="48"/>
      <c r="B190" s="48"/>
      <c r="C190" s="48"/>
      <c r="D190" s="48"/>
      <c r="E190" s="48"/>
      <c r="F190" s="48"/>
      <c r="G190" s="48"/>
      <c r="H190" s="48"/>
      <c r="I190" s="48"/>
      <c r="J190" s="37"/>
      <c r="K190" s="49"/>
      <c r="L190" s="49"/>
      <c r="M190" s="49"/>
      <c r="N190" s="49"/>
      <c r="O190" s="49"/>
      <c r="P190" s="49"/>
      <c r="Q190" s="49"/>
      <c r="R190" s="49"/>
      <c r="S190" s="49"/>
      <c r="T190" s="37"/>
    </row>
    <row r="191" spans="1:20" ht="14" x14ac:dyDescent="0.3">
      <c r="A191" s="48"/>
      <c r="B191" s="48"/>
      <c r="C191" s="48"/>
      <c r="D191" s="48"/>
      <c r="E191" s="48"/>
      <c r="F191" s="48"/>
      <c r="G191" s="48"/>
      <c r="H191" s="48"/>
      <c r="I191" s="48"/>
      <c r="J191" s="37"/>
      <c r="K191" s="49"/>
      <c r="L191" s="49"/>
      <c r="M191" s="49"/>
      <c r="N191" s="49"/>
      <c r="O191" s="49"/>
      <c r="P191" s="49"/>
      <c r="Q191" s="49"/>
      <c r="R191" s="49"/>
      <c r="S191" s="49"/>
      <c r="T191" s="37"/>
    </row>
    <row r="192" spans="1:20" ht="14" x14ac:dyDescent="0.3">
      <c r="A192" s="48"/>
      <c r="B192" s="48"/>
      <c r="C192" s="48"/>
      <c r="D192" s="48"/>
      <c r="E192" s="48"/>
      <c r="F192" s="48"/>
      <c r="G192" s="48"/>
      <c r="H192" s="48"/>
      <c r="I192" s="48"/>
      <c r="J192" s="37"/>
      <c r="K192" s="49"/>
      <c r="L192" s="49"/>
      <c r="M192" s="49"/>
      <c r="N192" s="49"/>
      <c r="O192" s="49"/>
      <c r="P192" s="49"/>
      <c r="Q192" s="49"/>
      <c r="R192" s="49"/>
      <c r="S192" s="49"/>
      <c r="T192" s="37"/>
    </row>
    <row r="193" spans="1:20" ht="14" x14ac:dyDescent="0.3">
      <c r="A193" s="48"/>
      <c r="B193" s="48"/>
      <c r="C193" s="48"/>
      <c r="D193" s="48"/>
      <c r="E193" s="48"/>
      <c r="F193" s="48"/>
      <c r="G193" s="48"/>
      <c r="H193" s="48"/>
      <c r="I193" s="48"/>
      <c r="J193" s="37"/>
      <c r="K193" s="49"/>
      <c r="L193" s="49"/>
      <c r="M193" s="49"/>
      <c r="N193" s="49"/>
      <c r="O193" s="49"/>
      <c r="P193" s="49"/>
      <c r="Q193" s="49"/>
      <c r="R193" s="49"/>
      <c r="S193" s="49"/>
      <c r="T193" s="37"/>
    </row>
    <row r="194" spans="1:20" ht="14" x14ac:dyDescent="0.3">
      <c r="A194" s="48"/>
      <c r="B194" s="48"/>
      <c r="C194" s="48"/>
      <c r="D194" s="48"/>
      <c r="E194" s="48"/>
      <c r="F194" s="48"/>
      <c r="G194" s="48"/>
      <c r="H194" s="48"/>
      <c r="I194" s="48"/>
      <c r="J194" s="37"/>
      <c r="K194" s="49"/>
      <c r="L194" s="49"/>
      <c r="M194" s="49"/>
      <c r="N194" s="49"/>
      <c r="O194" s="49"/>
      <c r="P194" s="49"/>
      <c r="Q194" s="49"/>
      <c r="R194" s="49"/>
      <c r="S194" s="49"/>
      <c r="T194" s="37"/>
    </row>
    <row r="195" spans="1:20" ht="14" x14ac:dyDescent="0.3">
      <c r="A195" s="48"/>
      <c r="B195" s="48"/>
      <c r="C195" s="48"/>
      <c r="D195" s="48"/>
      <c r="E195" s="48"/>
      <c r="F195" s="48"/>
      <c r="G195" s="48"/>
      <c r="H195" s="48"/>
      <c r="I195" s="48"/>
      <c r="J195" s="37"/>
      <c r="K195" s="49"/>
      <c r="L195" s="49"/>
      <c r="M195" s="49"/>
      <c r="N195" s="49"/>
      <c r="O195" s="49"/>
      <c r="P195" s="49"/>
      <c r="Q195" s="49"/>
      <c r="R195" s="49"/>
      <c r="S195" s="49"/>
      <c r="T195" s="37"/>
    </row>
    <row r="196" spans="1:20" ht="14" x14ac:dyDescent="0.3">
      <c r="A196" s="48"/>
      <c r="B196" s="48"/>
      <c r="C196" s="48"/>
      <c r="D196" s="48"/>
      <c r="E196" s="48"/>
      <c r="F196" s="48"/>
      <c r="G196" s="48"/>
      <c r="H196" s="48"/>
      <c r="I196" s="48"/>
      <c r="J196" s="37"/>
      <c r="K196" s="49"/>
      <c r="L196" s="49"/>
      <c r="M196" s="49"/>
      <c r="N196" s="49"/>
      <c r="O196" s="49"/>
      <c r="P196" s="49"/>
      <c r="Q196" s="49"/>
      <c r="R196" s="49"/>
      <c r="S196" s="49"/>
      <c r="T196" s="37"/>
    </row>
    <row r="197" spans="1:20" ht="14" x14ac:dyDescent="0.3">
      <c r="A197" s="48"/>
      <c r="B197" s="48"/>
      <c r="C197" s="48"/>
      <c r="D197" s="48"/>
      <c r="E197" s="48"/>
      <c r="F197" s="48"/>
      <c r="G197" s="48"/>
      <c r="H197" s="48"/>
      <c r="I197" s="48"/>
      <c r="J197" s="37"/>
      <c r="K197" s="49"/>
      <c r="L197" s="49"/>
      <c r="M197" s="49"/>
      <c r="N197" s="49"/>
      <c r="O197" s="49"/>
      <c r="P197" s="49"/>
      <c r="Q197" s="49"/>
      <c r="R197" s="49"/>
      <c r="S197" s="49"/>
      <c r="T197" s="37"/>
    </row>
    <row r="198" spans="1:20" ht="6" customHeight="1" x14ac:dyDescent="0.3">
      <c r="A198" s="33"/>
      <c r="B198" s="33"/>
      <c r="C198" s="33"/>
      <c r="D198" s="33"/>
      <c r="E198" s="33"/>
      <c r="F198" s="33"/>
      <c r="G198" s="33"/>
      <c r="H198" s="33"/>
      <c r="I198" s="33"/>
    </row>
  </sheetData>
  <mergeCells count="16">
    <mergeCell ref="U60:AC64"/>
    <mergeCell ref="K60:S64"/>
    <mergeCell ref="A60:I63"/>
    <mergeCell ref="K145:S148"/>
    <mergeCell ref="K143:S143"/>
    <mergeCell ref="U143:AC143"/>
    <mergeCell ref="A145:I148"/>
    <mergeCell ref="A143:I143"/>
    <mergeCell ref="A3:I3"/>
    <mergeCell ref="K3:S3"/>
    <mergeCell ref="A5:I56"/>
    <mergeCell ref="K5:S56"/>
    <mergeCell ref="U58:AC58"/>
    <mergeCell ref="U5:U7"/>
    <mergeCell ref="A58:I58"/>
    <mergeCell ref="K58:S58"/>
  </mergeCells>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0" tint="-0.14999847407452621"/>
  </sheetPr>
  <dimension ref="B1:AJ112"/>
  <sheetViews>
    <sheetView topLeftCell="G99" zoomScale="70" zoomScaleNormal="70" workbookViewId="0">
      <selection activeCell="M109" sqref="M109"/>
    </sheetView>
  </sheetViews>
  <sheetFormatPr defaultColWidth="8.58203125" defaultRowHeight="14" x14ac:dyDescent="0.3"/>
  <cols>
    <col min="1" max="1" width="3.58203125" style="5" customWidth="1"/>
    <col min="2" max="2" width="54.83203125" style="1" customWidth="1"/>
    <col min="3" max="3" width="31" style="1" customWidth="1"/>
    <col min="4" max="4" width="16.08203125" style="1" customWidth="1"/>
    <col min="5" max="5" width="27.5" style="1" customWidth="1"/>
    <col min="6" max="6" width="24.83203125" style="1" bestFit="1" customWidth="1"/>
    <col min="7" max="7" width="24.08203125" style="1" bestFit="1" customWidth="1"/>
    <col min="8" max="8" width="27.58203125" style="1" bestFit="1" customWidth="1"/>
    <col min="9" max="9" width="14.08203125" style="1" customWidth="1"/>
    <col min="10" max="10" width="24.08203125" style="1" bestFit="1" customWidth="1"/>
    <col min="11" max="11" width="28.58203125" style="1" bestFit="1" customWidth="1"/>
    <col min="12" max="12" width="25.08203125" style="1" bestFit="1" customWidth="1"/>
    <col min="13" max="13" width="27.58203125" style="1" bestFit="1" customWidth="1"/>
    <col min="14" max="14" width="53.83203125" style="1" bestFit="1" customWidth="1"/>
    <col min="15" max="15" width="17.08203125" style="1" bestFit="1" customWidth="1"/>
    <col min="16" max="16" width="27.58203125" style="1" customWidth="1"/>
    <col min="17" max="17" width="19.83203125" style="1" customWidth="1"/>
    <col min="18" max="18" width="12.08203125" style="1" customWidth="1"/>
    <col min="19" max="19" width="11" style="1" customWidth="1"/>
    <col min="20" max="21" width="8.58203125" style="1"/>
    <col min="22" max="22" width="11.08203125" style="1" customWidth="1"/>
    <col min="23" max="23" width="10.58203125" style="1" customWidth="1"/>
    <col min="24" max="24" width="12.08203125" style="1" customWidth="1"/>
    <col min="25" max="25" width="13.33203125" style="1" customWidth="1"/>
    <col min="26" max="26" width="13.83203125" style="5" customWidth="1"/>
    <col min="27" max="16384" width="8.58203125" style="5"/>
  </cols>
  <sheetData>
    <row r="1" spans="2:26" ht="18.649999999999999" customHeight="1" x14ac:dyDescent="0.3"/>
    <row r="2" spans="2:26" ht="17.5" x14ac:dyDescent="0.35">
      <c r="B2" s="6" t="s">
        <v>167</v>
      </c>
      <c r="C2" s="4"/>
      <c r="D2" s="6"/>
      <c r="Y2" s="5"/>
    </row>
    <row r="3" spans="2:26" x14ac:dyDescent="0.3">
      <c r="B3" s="12" t="s">
        <v>168</v>
      </c>
      <c r="C3" s="12">
        <f>'Cycling Dryer'!C9</f>
        <v>0</v>
      </c>
      <c r="D3" s="12" t="s">
        <v>169</v>
      </c>
      <c r="F3" s="147" t="s">
        <v>170</v>
      </c>
      <c r="G3" s="148" t="s">
        <v>171</v>
      </c>
      <c r="H3" s="148" t="s">
        <v>172</v>
      </c>
      <c r="K3" s="4" t="s">
        <v>172</v>
      </c>
      <c r="L3" s="1" t="s">
        <v>173</v>
      </c>
      <c r="M3" s="1" t="s">
        <v>174</v>
      </c>
      <c r="N3" s="1" t="s">
        <v>175</v>
      </c>
      <c r="O3" s="1" t="s">
        <v>176</v>
      </c>
      <c r="P3" s="1" t="s">
        <v>171</v>
      </c>
      <c r="Q3" s="1" t="s">
        <v>177</v>
      </c>
      <c r="Y3" s="5"/>
      <c r="Z3" s="1"/>
    </row>
    <row r="4" spans="2:26" x14ac:dyDescent="0.3">
      <c r="B4" s="12" t="s">
        <v>178</v>
      </c>
      <c r="C4" s="12">
        <f>'Cycling Dryer'!C7</f>
        <v>0</v>
      </c>
      <c r="D4" s="12" t="s">
        <v>169</v>
      </c>
      <c r="E4" s="5"/>
      <c r="F4" s="147" t="s">
        <v>7</v>
      </c>
      <c r="G4" s="271">
        <f>INDEX(L4:Q4,MATCH(G3,L3:Q3,0))</f>
        <v>0.1</v>
      </c>
      <c r="H4" s="150">
        <f>INDEX(K4:P4,MATCH(H3,K3:P3,0))</f>
        <v>0.1</v>
      </c>
      <c r="J4" s="149" t="s">
        <v>7</v>
      </c>
      <c r="K4" s="147">
        <v>0.1</v>
      </c>
      <c r="L4" s="147">
        <v>0.05</v>
      </c>
      <c r="M4" s="147">
        <v>7.4999999999999997E-2</v>
      </c>
      <c r="N4" s="147">
        <v>0.15</v>
      </c>
      <c r="O4" s="147">
        <v>0.16</v>
      </c>
      <c r="P4" s="147">
        <v>0.1</v>
      </c>
      <c r="Q4" s="147">
        <v>0.2</v>
      </c>
      <c r="Y4" s="5"/>
      <c r="Z4" s="1"/>
    </row>
    <row r="5" spans="2:26" x14ac:dyDescent="0.3">
      <c r="B5" s="12" t="s">
        <v>179</v>
      </c>
      <c r="C5" s="12">
        <f>'Cycling Dryer'!C12</f>
        <v>0</v>
      </c>
      <c r="D5" s="12" t="s">
        <v>180</v>
      </c>
      <c r="F5" s="147" t="s">
        <v>8</v>
      </c>
      <c r="G5" s="150">
        <f>INDEX(L5:Q5,MATCH(G3,L3:Q3,0))</f>
        <v>0</v>
      </c>
      <c r="H5" s="150">
        <f>INDEX(K5:P5,MATCH(H3,K3:P3,0))</f>
        <v>0</v>
      </c>
      <c r="J5" s="149" t="s">
        <v>8</v>
      </c>
      <c r="K5" s="147">
        <v>0</v>
      </c>
      <c r="L5" s="147">
        <v>0</v>
      </c>
      <c r="M5" s="147">
        <v>215</v>
      </c>
      <c r="N5" s="147">
        <v>215</v>
      </c>
      <c r="O5" s="147">
        <v>250</v>
      </c>
      <c r="P5" s="147">
        <v>0</v>
      </c>
      <c r="Q5" s="147">
        <v>0</v>
      </c>
      <c r="Y5" s="5"/>
      <c r="Z5" s="1"/>
    </row>
    <row r="6" spans="2:26" ht="15.5" x14ac:dyDescent="0.3">
      <c r="B6" s="41" t="s">
        <v>181</v>
      </c>
      <c r="C6" s="31">
        <f>'Air Nozzle'!C9</f>
        <v>0</v>
      </c>
      <c r="D6" s="12" t="s">
        <v>182</v>
      </c>
      <c r="F6" s="147" t="s">
        <v>183</v>
      </c>
      <c r="G6" s="150">
        <f>INDEX(L6:Q6,MATCH(G3,L3:Q3,0))</f>
        <v>0.5</v>
      </c>
      <c r="H6" s="150">
        <f>INDEX(K6:P6,MATCH(H3,K3:P3,0))</f>
        <v>0.5</v>
      </c>
      <c r="J6" s="149" t="s">
        <v>183</v>
      </c>
      <c r="K6" s="147">
        <v>0.5</v>
      </c>
      <c r="L6" s="147">
        <v>0.5</v>
      </c>
      <c r="M6" s="147">
        <v>0.5</v>
      </c>
      <c r="N6" s="147">
        <v>0.8</v>
      </c>
      <c r="O6" s="147">
        <v>0.8</v>
      </c>
      <c r="P6" s="147">
        <v>0.5</v>
      </c>
      <c r="Q6" s="147">
        <v>0.8</v>
      </c>
      <c r="Y6" s="5"/>
    </row>
    <row r="7" spans="2:26" x14ac:dyDescent="0.3">
      <c r="B7" s="12" t="s">
        <v>184</v>
      </c>
      <c r="C7" s="12">
        <f>'Air Nozzle'!C8:F8</f>
        <v>0</v>
      </c>
      <c r="D7" s="12"/>
    </row>
    <row r="8" spans="2:26" ht="15.5" x14ac:dyDescent="0.3">
      <c r="B8" s="41" t="s">
        <v>185</v>
      </c>
      <c r="C8" s="12">
        <f>'Air Nozzle'!C10</f>
        <v>0</v>
      </c>
      <c r="D8" s="12" t="s">
        <v>169</v>
      </c>
      <c r="Y8" s="5"/>
    </row>
    <row r="9" spans="2:26" ht="15.5" x14ac:dyDescent="0.3">
      <c r="B9" s="41" t="s">
        <v>186</v>
      </c>
      <c r="C9" s="12">
        <f>'Air Nozzle'!C13</f>
        <v>0</v>
      </c>
      <c r="D9" s="12" t="s">
        <v>180</v>
      </c>
      <c r="F9" s="424" t="s">
        <v>187</v>
      </c>
    </row>
    <row r="10" spans="2:26" ht="18" customHeight="1" x14ac:dyDescent="0.3">
      <c r="B10" s="41" t="s">
        <v>188</v>
      </c>
      <c r="C10" s="43">
        <f>'Condensate Drains'!C13:F13</f>
        <v>0</v>
      </c>
      <c r="D10" s="12" t="s">
        <v>182</v>
      </c>
      <c r="F10" s="424"/>
    </row>
    <row r="11" spans="2:26" ht="15.5" x14ac:dyDescent="0.3">
      <c r="B11" s="41" t="s">
        <v>189</v>
      </c>
      <c r="C11" s="31">
        <f>'Condensate Drains'!C14</f>
        <v>0</v>
      </c>
      <c r="D11" s="12" t="s">
        <v>190</v>
      </c>
      <c r="F11" s="166" t="s">
        <v>191</v>
      </c>
    </row>
    <row r="12" spans="2:26" ht="15.5" x14ac:dyDescent="0.3">
      <c r="B12" s="41" t="s">
        <v>192</v>
      </c>
      <c r="C12" s="43">
        <f>'Condensate Drains'!C8:F8</f>
        <v>0</v>
      </c>
      <c r="D12" s="12"/>
      <c r="F12" s="166" t="s">
        <v>193</v>
      </c>
      <c r="Y12" s="5"/>
      <c r="Z12" s="1"/>
    </row>
    <row r="13" spans="2:26" ht="15.5" x14ac:dyDescent="0.3">
      <c r="B13" s="41" t="s">
        <v>194</v>
      </c>
      <c r="C13" s="12">
        <f>'Condensate Drains'!C9</f>
        <v>0</v>
      </c>
      <c r="D13" s="12" t="s">
        <v>169</v>
      </c>
      <c r="F13" s="1" t="s">
        <v>195</v>
      </c>
      <c r="Y13" s="5"/>
    </row>
    <row r="14" spans="2:26" ht="15" customHeight="1" x14ac:dyDescent="0.3">
      <c r="B14" s="41" t="s">
        <v>196</v>
      </c>
      <c r="C14" s="12">
        <v>275</v>
      </c>
      <c r="D14" s="12" t="s">
        <v>180</v>
      </c>
      <c r="Y14" s="5"/>
    </row>
    <row r="15" spans="2:26" ht="15" customHeight="1" x14ac:dyDescent="0.3">
      <c r="B15" s="41" t="s">
        <v>197</v>
      </c>
      <c r="C15" s="31">
        <f>'Air Tanks'!C7</f>
        <v>0</v>
      </c>
      <c r="D15" s="12" t="s">
        <v>198</v>
      </c>
      <c r="Y15" s="5"/>
    </row>
    <row r="16" spans="2:26" ht="15" customHeight="1" x14ac:dyDescent="0.3">
      <c r="B16" s="41" t="s">
        <v>199</v>
      </c>
      <c r="C16" s="12">
        <f>'Air Tanks'!C10</f>
        <v>0</v>
      </c>
      <c r="D16" s="12" t="s">
        <v>180</v>
      </c>
      <c r="Y16" s="5"/>
    </row>
    <row r="17" spans="2:25" ht="15" customHeight="1" x14ac:dyDescent="0.3">
      <c r="B17" s="41" t="s">
        <v>200</v>
      </c>
      <c r="C17" s="154" cm="1">
        <f t="array" ref="C17">IF(ISBLANK('VFD Compressor (&lt;=40HP)'!C6:C6),'VFD Compressor (&lt;=40HP)'!C5:C5,'VFD Compressor (&lt;=40HP)'!C6:C6)</f>
        <v>0</v>
      </c>
      <c r="D17" s="12"/>
      <c r="Y17" s="5"/>
    </row>
    <row r="18" spans="2:25" ht="15" customHeight="1" x14ac:dyDescent="0.3">
      <c r="B18" s="41" t="s">
        <v>201</v>
      </c>
      <c r="C18" s="12">
        <f>'VFD Compressor (&lt;=40HP)'!C10</f>
        <v>0</v>
      </c>
      <c r="D18" s="12" t="s">
        <v>180</v>
      </c>
      <c r="Y18" s="5"/>
    </row>
    <row r="19" spans="2:25" ht="15" customHeight="1" x14ac:dyDescent="0.3">
      <c r="B19" s="41" t="s">
        <v>202</v>
      </c>
      <c r="C19" s="43">
        <f>'VFD Compressor (&lt;=40HP)'!C7:C7</f>
        <v>0</v>
      </c>
      <c r="D19" s="12" t="s">
        <v>198</v>
      </c>
      <c r="Y19" s="5"/>
    </row>
    <row r="20" spans="2:25" ht="15" customHeight="1" x14ac:dyDescent="0.3">
      <c r="B20" s="41" t="s">
        <v>203</v>
      </c>
      <c r="C20" s="43">
        <f>'Compressor Controller'!C7</f>
        <v>0</v>
      </c>
      <c r="D20" s="12" t="s">
        <v>198</v>
      </c>
      <c r="Y20" s="5"/>
    </row>
    <row r="21" spans="2:25" ht="15" customHeight="1" x14ac:dyDescent="0.3">
      <c r="B21" s="41" t="s">
        <v>204</v>
      </c>
      <c r="C21" s="43">
        <f>IF(ISBLANK('Compressor Controller'!C6),'Compressor Controller'!C5,'Compressor Controller'!C6)</f>
        <v>0</v>
      </c>
      <c r="D21" s="12"/>
      <c r="Y21" s="5"/>
    </row>
    <row r="22" spans="2:25" ht="15" customHeight="1" x14ac:dyDescent="0.3">
      <c r="B22" s="41" t="s">
        <v>205</v>
      </c>
      <c r="C22" s="43">
        <f>'Compressor Controller'!C10</f>
        <v>0</v>
      </c>
      <c r="D22" s="12"/>
      <c r="Y22" s="5"/>
    </row>
    <row r="23" spans="2:25" ht="15" customHeight="1" x14ac:dyDescent="0.3">
      <c r="B23" s="41" t="s">
        <v>206</v>
      </c>
      <c r="C23" s="43">
        <f>'Low Pressure Drop Filters'!C7</f>
        <v>0</v>
      </c>
      <c r="D23" s="12"/>
      <c r="Y23" s="5"/>
    </row>
    <row r="24" spans="2:25" ht="15" customHeight="1" x14ac:dyDescent="0.3">
      <c r="B24" s="41" t="s">
        <v>207</v>
      </c>
      <c r="C24" s="43">
        <f>IF(ISBLANK('Low Pressure Drop Filters'!C6),'Low Pressure Drop Filters'!C5,'Low Pressure Drop Filters'!C6)</f>
        <v>0</v>
      </c>
      <c r="D24" s="12"/>
      <c r="Y24" s="5"/>
    </row>
    <row r="25" spans="2:25" ht="15" customHeight="1" x14ac:dyDescent="0.3">
      <c r="B25" s="41" t="s">
        <v>208</v>
      </c>
      <c r="C25" s="43">
        <v>0</v>
      </c>
      <c r="D25" s="12" t="s">
        <v>180</v>
      </c>
      <c r="Y25" s="5"/>
    </row>
    <row r="26" spans="2:25" ht="15" customHeight="1" x14ac:dyDescent="0.3">
      <c r="B26" s="41" t="s">
        <v>209</v>
      </c>
      <c r="C26" s="43">
        <f>'Low Pressure Drop Filters'!C8</f>
        <v>0</v>
      </c>
      <c r="D26" s="12"/>
      <c r="Y26" s="5"/>
    </row>
    <row r="27" spans="2:25" ht="15" customHeight="1" x14ac:dyDescent="0.3">
      <c r="B27" s="41" t="s">
        <v>210</v>
      </c>
      <c r="C27" s="43">
        <f>'Mist Eliminators'!C8</f>
        <v>0</v>
      </c>
      <c r="D27" s="12"/>
      <c r="Y27" s="5"/>
    </row>
    <row r="28" spans="2:25" ht="15" customHeight="1" x14ac:dyDescent="0.3">
      <c r="B28" s="41" t="s">
        <v>211</v>
      </c>
      <c r="C28" s="43">
        <f>'Mist Eliminators'!C7</f>
        <v>0</v>
      </c>
      <c r="D28" s="12"/>
      <c r="Y28" s="5"/>
    </row>
    <row r="29" spans="2:25" ht="15" customHeight="1" x14ac:dyDescent="0.3">
      <c r="B29" s="41" t="s">
        <v>212</v>
      </c>
      <c r="C29" s="43" cm="1">
        <f t="array" ref="C29">IF(ISBLANK('Mist Eliminators'!C6),'Mist Eliminators'!C5:C5,'Mist Eliminators'!C6)</f>
        <v>0</v>
      </c>
      <c r="D29" s="12"/>
      <c r="Y29" s="5"/>
    </row>
    <row r="30" spans="2:25" ht="15" customHeight="1" x14ac:dyDescent="0.3">
      <c r="B30" s="41" t="s">
        <v>213</v>
      </c>
      <c r="C30" s="43">
        <f>'Mist Eliminators'!C11</f>
        <v>0</v>
      </c>
      <c r="D30" s="12"/>
      <c r="Y30" s="5"/>
    </row>
    <row r="31" spans="2:25" ht="15" customHeight="1" x14ac:dyDescent="0.3">
      <c r="B31" s="12"/>
      <c r="C31" s="12"/>
      <c r="D31" s="12"/>
      <c r="Y31" s="5"/>
    </row>
    <row r="32" spans="2:25" ht="15" customHeight="1" x14ac:dyDescent="0.3">
      <c r="C32" s="4"/>
      <c r="Y32" s="5"/>
    </row>
    <row r="33" spans="2:33" x14ac:dyDescent="0.3">
      <c r="Y33" s="5"/>
    </row>
    <row r="34" spans="2:33" ht="17.5" x14ac:dyDescent="0.35">
      <c r="B34" s="6" t="s">
        <v>214</v>
      </c>
      <c r="Y34" s="5"/>
    </row>
    <row r="35" spans="2:33" ht="16.5" customHeight="1" x14ac:dyDescent="0.3">
      <c r="B35" s="12" t="s">
        <v>215</v>
      </c>
      <c r="C35" s="12">
        <v>4</v>
      </c>
      <c r="D35" s="12" t="s">
        <v>216</v>
      </c>
      <c r="Y35" s="5"/>
    </row>
    <row r="36" spans="2:33" s="7" customFormat="1" ht="27" customHeight="1" x14ac:dyDescent="0.3">
      <c r="B36" s="12" t="s">
        <v>217</v>
      </c>
      <c r="C36" s="12">
        <v>7.9000000000000008E-3</v>
      </c>
      <c r="D36" s="12" t="s">
        <v>218</v>
      </c>
      <c r="E36" s="1"/>
      <c r="F36" s="1"/>
      <c r="G36" s="1"/>
      <c r="H36" s="1"/>
      <c r="I36" s="1"/>
      <c r="J36" s="1"/>
      <c r="K36" s="1"/>
      <c r="L36" s="1"/>
      <c r="M36" s="1"/>
      <c r="N36" s="1"/>
      <c r="O36" s="1"/>
      <c r="P36" s="1"/>
      <c r="Q36" s="1"/>
      <c r="R36" s="1"/>
      <c r="S36" s="1"/>
      <c r="T36" s="1"/>
      <c r="U36" s="1"/>
      <c r="V36" s="1"/>
      <c r="W36" s="1"/>
      <c r="X36" s="1"/>
      <c r="Y36" s="5"/>
      <c r="Z36" s="5"/>
      <c r="AA36" s="5"/>
      <c r="AB36" s="5"/>
      <c r="AC36" s="5"/>
      <c r="AD36" s="5"/>
      <c r="AE36" s="5"/>
      <c r="AF36" s="5"/>
      <c r="AG36" s="5"/>
    </row>
    <row r="37" spans="2:33" x14ac:dyDescent="0.3">
      <c r="B37" s="12" t="s">
        <v>219</v>
      </c>
      <c r="C37" s="12">
        <v>0.92500000000000004</v>
      </c>
      <c r="D37" s="12" t="s">
        <v>220</v>
      </c>
      <c r="Y37" s="5"/>
    </row>
    <row r="38" spans="2:33" x14ac:dyDescent="0.3">
      <c r="B38" s="12" t="s">
        <v>221</v>
      </c>
      <c r="C38" s="12">
        <v>0.65</v>
      </c>
      <c r="D38" s="12" t="s">
        <v>222</v>
      </c>
      <c r="Y38" s="5"/>
    </row>
    <row r="39" spans="2:33" x14ac:dyDescent="0.3">
      <c r="B39" s="12" t="s">
        <v>223</v>
      </c>
      <c r="C39" s="42">
        <v>0.05</v>
      </c>
      <c r="D39" s="12" t="s">
        <v>222</v>
      </c>
      <c r="Y39" s="5"/>
    </row>
    <row r="40" spans="2:33" x14ac:dyDescent="0.3">
      <c r="B40" s="12" t="s">
        <v>224</v>
      </c>
      <c r="C40" s="12">
        <v>146</v>
      </c>
      <c r="D40" s="12" t="s">
        <v>220</v>
      </c>
      <c r="Y40" s="5"/>
    </row>
    <row r="41" spans="2:33" x14ac:dyDescent="0.3">
      <c r="B41" s="12" t="s">
        <v>225</v>
      </c>
      <c r="C41" s="42">
        <v>0.75</v>
      </c>
      <c r="D41" s="12" t="s">
        <v>222</v>
      </c>
      <c r="Y41" s="5"/>
    </row>
    <row r="42" spans="2:33" ht="14.25" customHeight="1" x14ac:dyDescent="0.3">
      <c r="B42" s="12" t="s">
        <v>226</v>
      </c>
      <c r="C42" s="12">
        <v>0.92</v>
      </c>
      <c r="D42" s="12"/>
      <c r="Y42" s="5"/>
    </row>
    <row r="43" spans="2:33" ht="14.25" customHeight="1" x14ac:dyDescent="0.3">
      <c r="B43" s="12" t="s">
        <v>227</v>
      </c>
      <c r="C43" s="12">
        <v>0.1</v>
      </c>
      <c r="D43" s="12"/>
      <c r="Y43" s="5"/>
    </row>
    <row r="44" spans="2:33" ht="18.75" customHeight="1" x14ac:dyDescent="0.3">
      <c r="B44" s="12" t="s">
        <v>228</v>
      </c>
      <c r="C44" s="12">
        <v>0.91</v>
      </c>
      <c r="D44" s="12" t="s">
        <v>222</v>
      </c>
      <c r="Y44" s="5"/>
    </row>
    <row r="45" spans="2:33" ht="18.75" customHeight="1" x14ac:dyDescent="0.3">
      <c r="B45" s="12" t="s">
        <v>229</v>
      </c>
      <c r="C45" s="12">
        <v>0.89</v>
      </c>
      <c r="D45" s="12"/>
      <c r="Y45" s="5"/>
    </row>
    <row r="46" spans="2:33" ht="18.75" customHeight="1" x14ac:dyDescent="0.3">
      <c r="B46" s="12" t="s">
        <v>230</v>
      </c>
      <c r="C46" s="12">
        <v>0.67500000000000004</v>
      </c>
      <c r="D46" s="12"/>
      <c r="Y46" s="5"/>
    </row>
    <row r="47" spans="2:33" ht="18.75" customHeight="1" x14ac:dyDescent="0.3">
      <c r="B47" s="12" t="s">
        <v>231</v>
      </c>
      <c r="C47" s="12">
        <v>0.9</v>
      </c>
      <c r="D47" s="12"/>
      <c r="Y47" s="5"/>
    </row>
    <row r="48" spans="2:33" ht="18.75" customHeight="1" x14ac:dyDescent="0.3">
      <c r="B48" s="12" t="s">
        <v>232</v>
      </c>
      <c r="C48" s="12">
        <v>0.91</v>
      </c>
      <c r="D48" s="12"/>
      <c r="Y48" s="5"/>
    </row>
    <row r="49" spans="2:25" ht="18.75" customHeight="1" x14ac:dyDescent="0.3">
      <c r="B49" s="12" t="s">
        <v>233</v>
      </c>
      <c r="C49" s="12">
        <v>0.746</v>
      </c>
      <c r="D49" s="12"/>
      <c r="Y49" s="5"/>
    </row>
    <row r="50" spans="2:25" ht="18.75" customHeight="1" x14ac:dyDescent="0.3">
      <c r="B50" s="12" t="s">
        <v>234</v>
      </c>
      <c r="C50" s="12">
        <v>0.92</v>
      </c>
      <c r="D50" s="12"/>
      <c r="Y50" s="5"/>
    </row>
    <row r="51" spans="2:25" ht="18.75" customHeight="1" x14ac:dyDescent="0.3">
      <c r="B51" s="12" t="s">
        <v>235</v>
      </c>
      <c r="C51" s="12">
        <v>0.91</v>
      </c>
      <c r="D51" s="12"/>
      <c r="Y51" s="5"/>
    </row>
    <row r="52" spans="2:25" x14ac:dyDescent="0.3">
      <c r="B52" s="12" t="s">
        <v>236</v>
      </c>
      <c r="C52" s="12">
        <v>0.05</v>
      </c>
      <c r="D52" s="12"/>
      <c r="Y52" s="5"/>
    </row>
    <row r="53" spans="2:25" x14ac:dyDescent="0.3">
      <c r="B53" s="12" t="s">
        <v>237</v>
      </c>
      <c r="C53" s="12">
        <v>0.746</v>
      </c>
      <c r="D53" s="12"/>
      <c r="Y53" s="5"/>
    </row>
    <row r="54" spans="2:25" x14ac:dyDescent="0.3">
      <c r="B54" s="12" t="s">
        <v>238</v>
      </c>
      <c r="C54" s="12">
        <v>2</v>
      </c>
      <c r="D54" s="12"/>
      <c r="Y54" s="5"/>
    </row>
    <row r="55" spans="2:25" x14ac:dyDescent="0.3">
      <c r="B55" s="12" t="s">
        <v>239</v>
      </c>
      <c r="C55" s="12">
        <v>0.92</v>
      </c>
      <c r="D55" s="12"/>
      <c r="Y55" s="5"/>
    </row>
    <row r="56" spans="2:25" x14ac:dyDescent="0.3">
      <c r="B56" s="12" t="s">
        <v>240</v>
      </c>
      <c r="C56" s="12">
        <v>5.0000000000000001E-3</v>
      </c>
      <c r="D56" s="12"/>
      <c r="Y56" s="5"/>
    </row>
    <row r="57" spans="2:25" x14ac:dyDescent="0.3">
      <c r="B57" s="12" t="s">
        <v>241</v>
      </c>
      <c r="C57" s="12">
        <v>0.91</v>
      </c>
      <c r="D57" s="12"/>
      <c r="Y57" s="5"/>
    </row>
    <row r="58" spans="2:25" x14ac:dyDescent="0.3">
      <c r="B58" s="12" t="s">
        <v>242</v>
      </c>
      <c r="C58" s="12">
        <v>0.746</v>
      </c>
      <c r="D58" s="12"/>
      <c r="Y58" s="5"/>
    </row>
    <row r="59" spans="2:25" x14ac:dyDescent="0.3">
      <c r="B59" s="12" t="s">
        <v>243</v>
      </c>
      <c r="C59" s="12">
        <v>0.91</v>
      </c>
      <c r="D59" s="12"/>
      <c r="Y59" s="5"/>
    </row>
    <row r="60" spans="2:25" x14ac:dyDescent="0.3">
      <c r="B60" s="12" t="s">
        <v>244</v>
      </c>
      <c r="C60" s="12">
        <v>0.92</v>
      </c>
      <c r="D60" s="12"/>
      <c r="Y60" s="5"/>
    </row>
    <row r="61" spans="2:25" x14ac:dyDescent="0.3">
      <c r="B61" s="12" t="s">
        <v>245</v>
      </c>
      <c r="C61" s="12">
        <v>0.02</v>
      </c>
      <c r="D61" s="12"/>
      <c r="Y61" s="5"/>
    </row>
    <row r="62" spans="2:25" x14ac:dyDescent="0.3">
      <c r="B62" s="12" t="s">
        <v>246</v>
      </c>
      <c r="C62" s="12">
        <v>4</v>
      </c>
      <c r="D62" s="12" t="s">
        <v>247</v>
      </c>
      <c r="Y62" s="5"/>
    </row>
    <row r="63" spans="2:25" x14ac:dyDescent="0.3">
      <c r="B63" s="12" t="s">
        <v>248</v>
      </c>
      <c r="C63" s="12">
        <v>5.0000000000000001E-3</v>
      </c>
      <c r="D63" s="12"/>
      <c r="Y63" s="5"/>
    </row>
    <row r="64" spans="2:25" x14ac:dyDescent="0.3">
      <c r="B64" s="12"/>
      <c r="C64" s="12"/>
      <c r="D64" s="12"/>
      <c r="Y64" s="5"/>
    </row>
    <row r="65" spans="2:32" x14ac:dyDescent="0.3">
      <c r="C65" s="4"/>
      <c r="Y65" s="5"/>
    </row>
    <row r="66" spans="2:32" x14ac:dyDescent="0.3">
      <c r="Q66" s="5"/>
    </row>
    <row r="67" spans="2:32" ht="17.5" x14ac:dyDescent="0.35">
      <c r="B67" s="6" t="s">
        <v>249</v>
      </c>
      <c r="E67" s="6" t="s">
        <v>250</v>
      </c>
      <c r="I67" s="6" t="s">
        <v>251</v>
      </c>
      <c r="N67" s="6" t="s">
        <v>252</v>
      </c>
      <c r="Q67" s="6" t="s">
        <v>253</v>
      </c>
      <c r="Y67" s="6" t="s">
        <v>254</v>
      </c>
      <c r="Z67" s="1"/>
    </row>
    <row r="68" spans="2:32" ht="42" x14ac:dyDescent="0.3">
      <c r="B68" s="16" t="s">
        <v>255</v>
      </c>
      <c r="C68" s="17" t="s">
        <v>220</v>
      </c>
      <c r="E68" s="16" t="s">
        <v>255</v>
      </c>
      <c r="F68" s="17" t="s">
        <v>256</v>
      </c>
      <c r="G68" s="17" t="s">
        <v>257</v>
      </c>
      <c r="I68" s="16" t="s">
        <v>258</v>
      </c>
      <c r="J68" s="17" t="s">
        <v>259</v>
      </c>
      <c r="N68" s="16" t="s">
        <v>260</v>
      </c>
      <c r="O68" s="17" t="s">
        <v>261</v>
      </c>
      <c r="Q68" s="422" t="s">
        <v>262</v>
      </c>
      <c r="R68" s="419" t="s">
        <v>263</v>
      </c>
      <c r="S68" s="420"/>
      <c r="T68" s="420"/>
      <c r="U68" s="420"/>
      <c r="V68" s="420"/>
      <c r="W68" s="421"/>
      <c r="Y68" s="16" t="s">
        <v>264</v>
      </c>
      <c r="Z68" s="16" t="s">
        <v>265</v>
      </c>
      <c r="AA68" s="16" t="s">
        <v>266</v>
      </c>
      <c r="AB68" s="17" t="s">
        <v>267</v>
      </c>
    </row>
    <row r="69" spans="2:32" s="7" customFormat="1" ht="60.75" customHeight="1" x14ac:dyDescent="0.3">
      <c r="B69" s="12" t="s">
        <v>268</v>
      </c>
      <c r="C69" s="29">
        <v>1976</v>
      </c>
      <c r="D69" s="1"/>
      <c r="E69" s="12" t="s">
        <v>268</v>
      </c>
      <c r="F69" s="15">
        <v>0.24</v>
      </c>
      <c r="G69" s="15">
        <v>0.48</v>
      </c>
      <c r="I69" s="144" t="s">
        <v>269</v>
      </c>
      <c r="J69" s="29">
        <v>21</v>
      </c>
      <c r="K69" s="1"/>
      <c r="L69" s="1"/>
      <c r="M69" s="1"/>
      <c r="N69" s="12" t="s">
        <v>270</v>
      </c>
      <c r="O69" s="15">
        <v>0.18</v>
      </c>
      <c r="P69" s="1"/>
      <c r="Q69" s="423"/>
      <c r="R69" s="145" t="s">
        <v>271</v>
      </c>
      <c r="S69" s="145" t="s">
        <v>272</v>
      </c>
      <c r="T69" s="145" t="s">
        <v>273</v>
      </c>
      <c r="U69" s="145" t="s">
        <v>269</v>
      </c>
      <c r="V69" s="145" t="s">
        <v>274</v>
      </c>
      <c r="W69" s="145" t="s">
        <v>275</v>
      </c>
      <c r="X69" s="1"/>
      <c r="Y69" s="12">
        <v>1</v>
      </c>
      <c r="Z69" s="12">
        <v>5</v>
      </c>
      <c r="AA69" s="12">
        <v>1257</v>
      </c>
      <c r="AB69" s="15">
        <v>0.66700000000000004</v>
      </c>
      <c r="AC69" s="5"/>
      <c r="AD69" s="5"/>
      <c r="AE69" s="5"/>
      <c r="AF69" s="5"/>
    </row>
    <row r="70" spans="2:32" x14ac:dyDescent="0.3">
      <c r="B70" s="12" t="s">
        <v>276</v>
      </c>
      <c r="C70" s="29">
        <v>3952</v>
      </c>
      <c r="E70" s="12" t="s">
        <v>276</v>
      </c>
      <c r="F70" s="15">
        <v>0.95</v>
      </c>
      <c r="G70" s="15">
        <v>0.95</v>
      </c>
      <c r="I70" s="144" t="s">
        <v>274</v>
      </c>
      <c r="J70" s="29">
        <v>58</v>
      </c>
      <c r="N70" s="12" t="s">
        <v>277</v>
      </c>
      <c r="O70" s="15">
        <v>0.18</v>
      </c>
      <c r="Q70" s="32">
        <v>70</v>
      </c>
      <c r="R70" s="12">
        <v>0.28999999999999998</v>
      </c>
      <c r="S70" s="12">
        <v>1.1599999999999999</v>
      </c>
      <c r="T70" s="12">
        <v>4.66</v>
      </c>
      <c r="U70" s="12">
        <v>18.62</v>
      </c>
      <c r="V70" s="12">
        <v>74.400000000000006</v>
      </c>
      <c r="W70" s="15">
        <v>167.8</v>
      </c>
      <c r="Y70" s="12">
        <v>6</v>
      </c>
      <c r="Z70" s="12">
        <v>20</v>
      </c>
      <c r="AA70" s="12">
        <v>2131</v>
      </c>
      <c r="AB70" s="15">
        <v>0.66700000000000004</v>
      </c>
    </row>
    <row r="71" spans="2:32" x14ac:dyDescent="0.3">
      <c r="B71" s="12" t="s">
        <v>278</v>
      </c>
      <c r="C71" s="29">
        <v>5928</v>
      </c>
      <c r="E71" s="12" t="s">
        <v>278</v>
      </c>
      <c r="F71" s="15">
        <v>0.95</v>
      </c>
      <c r="G71" s="15">
        <v>0.95</v>
      </c>
      <c r="N71" s="12" t="s">
        <v>279</v>
      </c>
      <c r="O71" s="15">
        <v>0.16</v>
      </c>
      <c r="Q71" s="32">
        <v>80</v>
      </c>
      <c r="R71" s="12">
        <v>0.32</v>
      </c>
      <c r="S71" s="12">
        <v>1.26</v>
      </c>
      <c r="T71" s="12">
        <v>5.24</v>
      </c>
      <c r="U71" s="12">
        <v>20.76</v>
      </c>
      <c r="V71" s="12">
        <v>83.1</v>
      </c>
      <c r="W71" s="15">
        <v>187.2</v>
      </c>
      <c r="X71" s="5"/>
      <c r="Y71" s="12">
        <v>21</v>
      </c>
      <c r="Z71" s="12">
        <v>50</v>
      </c>
      <c r="AA71" s="12">
        <v>3528</v>
      </c>
      <c r="AB71" s="15">
        <v>0.66700000000000004</v>
      </c>
    </row>
    <row r="72" spans="2:32" x14ac:dyDescent="0.3">
      <c r="B72" s="12" t="s">
        <v>280</v>
      </c>
      <c r="C72" s="29">
        <v>8320</v>
      </c>
      <c r="E72" s="12" t="s">
        <v>280</v>
      </c>
      <c r="F72" s="15">
        <v>0.95</v>
      </c>
      <c r="G72" s="15">
        <v>0.95</v>
      </c>
      <c r="N72" s="12" t="s">
        <v>281</v>
      </c>
      <c r="O72" s="15">
        <v>0.16</v>
      </c>
      <c r="Q72" s="32">
        <v>90</v>
      </c>
      <c r="R72" s="12">
        <v>0.36</v>
      </c>
      <c r="S72" s="12">
        <v>1.46</v>
      </c>
      <c r="T72" s="12">
        <v>5.72</v>
      </c>
      <c r="U72" s="12">
        <v>23.1</v>
      </c>
      <c r="V72" s="12">
        <v>92</v>
      </c>
      <c r="W72" s="15">
        <v>206.6</v>
      </c>
      <c r="X72" s="5"/>
      <c r="Y72" s="12">
        <v>51</v>
      </c>
      <c r="Z72" s="12">
        <v>100</v>
      </c>
      <c r="AA72" s="12">
        <v>4520</v>
      </c>
      <c r="AB72" s="29">
        <v>1</v>
      </c>
    </row>
    <row r="73" spans="2:32" x14ac:dyDescent="0.3">
      <c r="N73" s="12" t="s">
        <v>282</v>
      </c>
      <c r="O73" s="15">
        <v>0.13</v>
      </c>
      <c r="Q73" s="32">
        <v>95</v>
      </c>
      <c r="R73" s="12">
        <v>0.38</v>
      </c>
      <c r="S73" s="12">
        <v>1.51</v>
      </c>
      <c r="T73" s="12">
        <v>6.02</v>
      </c>
      <c r="U73" s="12">
        <v>24.16</v>
      </c>
      <c r="V73" s="12">
        <v>96.5</v>
      </c>
      <c r="W73" s="15">
        <v>216.8</v>
      </c>
      <c r="X73" s="5"/>
      <c r="Y73" s="12">
        <v>101</v>
      </c>
      <c r="Z73" s="12">
        <v>200</v>
      </c>
      <c r="AA73" s="12">
        <v>4685</v>
      </c>
      <c r="AB73" s="29">
        <v>1</v>
      </c>
    </row>
    <row r="74" spans="2:32" x14ac:dyDescent="0.3">
      <c r="N74" s="12" t="s">
        <v>283</v>
      </c>
      <c r="O74" s="15">
        <v>0.16</v>
      </c>
      <c r="Q74" s="32">
        <v>100</v>
      </c>
      <c r="R74" s="12">
        <v>0.4</v>
      </c>
      <c r="S74" s="12">
        <v>1.55</v>
      </c>
      <c r="T74" s="12">
        <v>6.31</v>
      </c>
      <c r="U74" s="12">
        <v>25.22</v>
      </c>
      <c r="V74" s="12">
        <v>100.9</v>
      </c>
      <c r="W74" s="15">
        <v>227</v>
      </c>
      <c r="X74" s="5"/>
      <c r="Y74" s="12">
        <v>201</v>
      </c>
      <c r="Z74" s="12">
        <v>500</v>
      </c>
      <c r="AA74" s="12">
        <v>6148</v>
      </c>
      <c r="AB74" s="29">
        <v>1</v>
      </c>
    </row>
    <row r="75" spans="2:32" ht="17.5" x14ac:dyDescent="0.35">
      <c r="B75" s="6" t="s">
        <v>284</v>
      </c>
      <c r="E75" s="6" t="s">
        <v>285</v>
      </c>
      <c r="H75" s="6" t="s">
        <v>286</v>
      </c>
      <c r="Q75" s="32">
        <v>105</v>
      </c>
      <c r="R75" s="12">
        <v>0.42</v>
      </c>
      <c r="S75" s="12">
        <v>1.63</v>
      </c>
      <c r="T75" s="12">
        <v>6.58</v>
      </c>
      <c r="U75" s="12">
        <v>26.31</v>
      </c>
      <c r="V75" s="12">
        <v>105.2</v>
      </c>
      <c r="W75" s="15">
        <v>236.7</v>
      </c>
      <c r="X75" s="5"/>
      <c r="Y75" s="12">
        <v>501</v>
      </c>
      <c r="Z75" s="12">
        <v>1000</v>
      </c>
      <c r="AA75" s="12">
        <v>6156</v>
      </c>
      <c r="AB75" s="29">
        <v>1</v>
      </c>
    </row>
    <row r="76" spans="2:32" ht="28" x14ac:dyDescent="0.3">
      <c r="B76" s="16" t="s">
        <v>255</v>
      </c>
      <c r="C76" s="17" t="s">
        <v>287</v>
      </c>
      <c r="E76" s="16" t="s">
        <v>288</v>
      </c>
      <c r="F76" s="17" t="s">
        <v>289</v>
      </c>
      <c r="H76" s="16" t="s">
        <v>258</v>
      </c>
      <c r="I76" s="17" t="s">
        <v>259</v>
      </c>
      <c r="Q76" s="32">
        <v>110</v>
      </c>
      <c r="R76" s="12">
        <v>0.43</v>
      </c>
      <c r="S76" s="12">
        <v>1.71</v>
      </c>
      <c r="T76" s="12">
        <v>6.85</v>
      </c>
      <c r="U76" s="12">
        <v>27.39</v>
      </c>
      <c r="V76" s="12">
        <v>109.4</v>
      </c>
      <c r="W76" s="15">
        <v>246.4</v>
      </c>
      <c r="X76" s="5"/>
      <c r="Y76" s="12">
        <v>1001</v>
      </c>
      <c r="Z76" s="12">
        <v>100000</v>
      </c>
      <c r="AA76" s="12">
        <v>7485</v>
      </c>
      <c r="AB76" s="29">
        <v>1</v>
      </c>
    </row>
    <row r="77" spans="2:32" x14ac:dyDescent="0.3">
      <c r="B77" s="12" t="s">
        <v>268</v>
      </c>
      <c r="C77" s="15">
        <v>0.62</v>
      </c>
      <c r="E77" s="12" t="s">
        <v>290</v>
      </c>
      <c r="F77" s="15">
        <v>0.26</v>
      </c>
      <c r="H77" s="146" t="s">
        <v>269</v>
      </c>
      <c r="I77" s="29">
        <v>6</v>
      </c>
      <c r="Q77" s="32">
        <v>115</v>
      </c>
      <c r="R77" s="12">
        <v>0.45</v>
      </c>
      <c r="S77" s="12">
        <v>1.78</v>
      </c>
      <c r="T77" s="12">
        <v>7.12</v>
      </c>
      <c r="U77" s="12">
        <v>28.48</v>
      </c>
      <c r="V77" s="12">
        <v>113.7</v>
      </c>
      <c r="W77" s="15">
        <v>256.10000000000002</v>
      </c>
      <c r="X77" s="5"/>
      <c r="Y77" s="5"/>
    </row>
    <row r="78" spans="2:32" x14ac:dyDescent="0.3">
      <c r="B78" s="12" t="s">
        <v>276</v>
      </c>
      <c r="C78" s="15">
        <v>0.74</v>
      </c>
      <c r="H78" s="146" t="s">
        <v>274</v>
      </c>
      <c r="I78" s="29">
        <v>11</v>
      </c>
      <c r="Q78" s="32">
        <v>120</v>
      </c>
      <c r="R78" s="12">
        <v>0.46</v>
      </c>
      <c r="S78" s="12">
        <v>1.86</v>
      </c>
      <c r="T78" s="12">
        <v>7.39</v>
      </c>
      <c r="U78" s="12">
        <v>29.56</v>
      </c>
      <c r="V78" s="12">
        <v>117.9</v>
      </c>
      <c r="W78" s="15">
        <v>265.8</v>
      </c>
      <c r="X78" s="5"/>
      <c r="Y78" s="5"/>
    </row>
    <row r="79" spans="2:32" x14ac:dyDescent="0.3">
      <c r="B79" s="12" t="s">
        <v>278</v>
      </c>
      <c r="C79" s="15">
        <v>0.86</v>
      </c>
      <c r="Q79" s="32">
        <v>125</v>
      </c>
      <c r="R79" s="12">
        <v>0.48</v>
      </c>
      <c r="S79" s="12">
        <v>1.94</v>
      </c>
      <c r="T79" s="12">
        <v>7.66</v>
      </c>
      <c r="U79" s="12">
        <v>30.65</v>
      </c>
      <c r="V79" s="12">
        <v>122.2</v>
      </c>
      <c r="W79" s="15">
        <v>275.5</v>
      </c>
      <c r="X79" s="5"/>
      <c r="Y79" s="5"/>
    </row>
    <row r="80" spans="2:32" x14ac:dyDescent="0.3">
      <c r="B80" s="12" t="s">
        <v>280</v>
      </c>
      <c r="C80" s="15">
        <v>0.97</v>
      </c>
      <c r="R80" s="5"/>
      <c r="S80" s="5"/>
      <c r="T80" s="5"/>
      <c r="U80" s="5"/>
      <c r="V80" s="5"/>
      <c r="W80" s="5"/>
      <c r="X80" s="5"/>
      <c r="Y80" s="5"/>
    </row>
    <row r="81" spans="2:36" x14ac:dyDescent="0.3">
      <c r="R81" s="5"/>
      <c r="S81" s="5"/>
      <c r="T81" s="5"/>
      <c r="U81" s="5"/>
      <c r="V81" s="5"/>
      <c r="W81" s="5"/>
      <c r="Y81" s="5"/>
    </row>
    <row r="82" spans="2:36" x14ac:dyDescent="0.3">
      <c r="R82" s="5"/>
      <c r="Y82" s="5"/>
    </row>
    <row r="83" spans="2:36" ht="17.5" x14ac:dyDescent="0.35">
      <c r="B83" s="6" t="s">
        <v>27</v>
      </c>
      <c r="R83" s="5"/>
      <c r="Y83" s="5"/>
    </row>
    <row r="84" spans="2:36" ht="56" x14ac:dyDescent="0.3">
      <c r="B84" s="16"/>
      <c r="C84" s="17" t="s">
        <v>291</v>
      </c>
      <c r="D84" s="16" t="s">
        <v>292</v>
      </c>
      <c r="E84" s="16" t="s">
        <v>293</v>
      </c>
      <c r="F84" s="16" t="s">
        <v>294</v>
      </c>
      <c r="G84" s="16" t="s">
        <v>295</v>
      </c>
      <c r="H84" s="16" t="s">
        <v>296</v>
      </c>
      <c r="I84" s="16" t="s">
        <v>297</v>
      </c>
      <c r="J84" s="16" t="s">
        <v>298</v>
      </c>
      <c r="K84" s="16" t="s">
        <v>299</v>
      </c>
      <c r="L84" s="16" t="s">
        <v>300</v>
      </c>
      <c r="M84" s="16" t="s">
        <v>301</v>
      </c>
      <c r="N84" s="16" t="s">
        <v>302</v>
      </c>
      <c r="O84" s="16" t="s">
        <v>303</v>
      </c>
      <c r="S84" s="5"/>
      <c r="T84" s="5"/>
      <c r="Z84" s="1"/>
      <c r="AA84" s="1"/>
      <c r="AH84" s="7"/>
    </row>
    <row r="85" spans="2:36" x14ac:dyDescent="0.3">
      <c r="B85" s="12" t="s">
        <v>304</v>
      </c>
      <c r="C85" s="29" t="e">
        <f>IF(ISBLANK('Cycling Dryer'!C6:C6),VLOOKUP('Cycling Dryer'!C5:C5,Calculations!B68:C72,2,FALSE),VLOOKUP('Cycling Dryer'!C6:C6,Calculations!B68:C72,2,FALSE))</f>
        <v>#N/A</v>
      </c>
      <c r="D85" s="15" t="e">
        <f>INDEX($E$69:$F$72,MATCH(_xlfn.XLOOKUP(C85,$C$69:$C$72,$B$69:$B$72),$E$69:$E$72,0),2)</f>
        <v>#N/A</v>
      </c>
      <c r="E85" s="15" t="e">
        <f>INDEX($E$69:$G$72,MATCH(_xlfn.XLOOKUP(C85,$C$69:$C$72,$B$69:$B$72),$E$69:$E$72,0),3)</f>
        <v>#N/A</v>
      </c>
      <c r="F85" s="29">
        <f>C35</f>
        <v>4</v>
      </c>
      <c r="G85" s="45">
        <f>C36</f>
        <v>7.9000000000000008E-3</v>
      </c>
      <c r="H85" s="15">
        <f>C37</f>
        <v>0.92500000000000004</v>
      </c>
      <c r="I85" s="15">
        <f>C38</f>
        <v>0.65</v>
      </c>
      <c r="J85" s="184">
        <f>IFERROR(ROUND(C3*F85*G85*C85*(1-I85)*H85*C4,2),0)</f>
        <v>0</v>
      </c>
      <c r="K85" s="185">
        <f>IFERROR(ROUND((J85/C85)*D85,4),0)</f>
        <v>0</v>
      </c>
      <c r="L85" s="185">
        <f>IFERROR(ROUND((J85/C85)*E85,4),0)</f>
        <v>0</v>
      </c>
      <c r="M85" s="185">
        <f>IFERROR(ROUND(AVERAGE(K85:L85),4),0)</f>
        <v>0</v>
      </c>
      <c r="N85" s="29">
        <f>$C$5</f>
        <v>0</v>
      </c>
      <c r="O85" s="15">
        <f>J85*'Incentives Table'!$J$2+M85*'Incentives Table'!$J$3</f>
        <v>0</v>
      </c>
      <c r="S85" s="5"/>
      <c r="T85" s="5"/>
      <c r="Z85" s="1"/>
      <c r="AA85" s="1"/>
      <c r="AI85" s="7"/>
      <c r="AJ85" s="7"/>
    </row>
    <row r="87" spans="2:36" ht="56" x14ac:dyDescent="0.3">
      <c r="B87" s="16"/>
      <c r="C87" s="17" t="s">
        <v>291</v>
      </c>
      <c r="D87" s="16" t="s">
        <v>292</v>
      </c>
      <c r="E87" s="16" t="s">
        <v>293</v>
      </c>
      <c r="F87" s="16" t="s">
        <v>305</v>
      </c>
      <c r="G87" s="16" t="s">
        <v>306</v>
      </c>
      <c r="H87" s="16" t="s">
        <v>307</v>
      </c>
      <c r="I87" s="16" t="s">
        <v>308</v>
      </c>
      <c r="J87" s="16" t="s">
        <v>298</v>
      </c>
      <c r="K87" s="16" t="s">
        <v>299</v>
      </c>
      <c r="L87" s="16" t="s">
        <v>300</v>
      </c>
      <c r="M87" s="16" t="s">
        <v>301</v>
      </c>
      <c r="N87" s="16" t="s">
        <v>302</v>
      </c>
      <c r="O87" s="16" t="s">
        <v>303</v>
      </c>
      <c r="Z87" s="1"/>
      <c r="AA87" s="1"/>
      <c r="AB87" s="1"/>
    </row>
    <row r="88" spans="2:36" x14ac:dyDescent="0.3">
      <c r="B88" s="12" t="s">
        <v>309</v>
      </c>
      <c r="C88" s="29" t="e">
        <f>IF(ISBLANK('Air Nozzle'!C$7),VLOOKUP('Air Nozzle'!C$6,Calculations!$B$68:$C$72,2,FALSE),VLOOKUP('Air Nozzle'!C$7,Calculations!B68:C72,2,FALSE))</f>
        <v>#N/A</v>
      </c>
      <c r="D88" s="15" t="e">
        <f>INDEX($E$69:$F$72,MATCH(_xlfn.XLOOKUP(C88,$C$69:$C$72,$B$69:$B$72),$E$69:$E$72,0),2)</f>
        <v>#N/A</v>
      </c>
      <c r="E88" s="15" t="e">
        <f>INDEX($E$69:$G$72,MATCH(_xlfn.XLOOKUP(C88,$C$69:$C$72,$B$69:$B$72),$E$69:$E$72,0),3)</f>
        <v>#N/A</v>
      </c>
      <c r="F88" s="29" t="str">
        <f>IFERROR(VLOOKUP('Air Nozzle'!C$9,Calculations!$I$68:$J$70,2,FALSE),"")</f>
        <v/>
      </c>
      <c r="G88" s="29" t="str">
        <f>IFERROR(VLOOKUP('Air Nozzle'!C$9,Calculations!$H$76:$I$78,2,FALSE),"")</f>
        <v/>
      </c>
      <c r="H88" s="15" t="str">
        <f>IFERROR(VLOOKUP('Air Nozzle'!C$8,Calculations!$N$68:$O$74,2,FALSE),"")</f>
        <v/>
      </c>
      <c r="I88" s="42">
        <f>$C$39</f>
        <v>0.05</v>
      </c>
      <c r="J88" s="29">
        <f>IFERROR(ROUND((F$88-G$88)*H$88*C$88*I$88*'Air Nozzle'!C10,2),0)</f>
        <v>0</v>
      </c>
      <c r="K88" s="15">
        <f>IFERROR(ROUND((J88/C88)*D88,4),0)</f>
        <v>0</v>
      </c>
      <c r="L88" s="15">
        <f>IFERROR(ROUND((J88/C88)*E88,4),0)</f>
        <v>0</v>
      </c>
      <c r="M88" s="15">
        <f>IFERROR(ROUND(AVERAGE(K88:L88),4),0)</f>
        <v>0</v>
      </c>
      <c r="N88" s="29">
        <f>'Air Nozzle'!C$13</f>
        <v>0</v>
      </c>
      <c r="O88" s="15">
        <f>J88*'Incentives Table'!$J$2+M88*'Incentives Table'!$J$3</f>
        <v>0</v>
      </c>
      <c r="Z88" s="1"/>
      <c r="AA88" s="1"/>
      <c r="AB88" s="1"/>
    </row>
    <row r="89" spans="2:36" x14ac:dyDescent="0.3">
      <c r="B89" s="12" t="s">
        <v>309</v>
      </c>
      <c r="C89" s="29" t="e">
        <f>IF(ISBLANK('Air Nozzle'!D$7),VLOOKUP('Air Nozzle'!D$6,Calculations!$B$68:$C$72,2,FALSE),VLOOKUP('Air Nozzle'!D$7,Calculations!$B$68:$C$72,2,FALSE))</f>
        <v>#N/A</v>
      </c>
      <c r="D89" s="15" t="e">
        <f t="shared" ref="D89:D91" si="0">INDEX($E$69:$F$72,MATCH(_xlfn.XLOOKUP(C89,$C$69:$C$72,$B$69:$B$72),$E$69:$E$72,0),2)</f>
        <v>#N/A</v>
      </c>
      <c r="E89" s="15" t="e">
        <f t="shared" ref="E89:E91" si="1">INDEX($E$69:$G$72,MATCH(_xlfn.XLOOKUP(C89,$C$69:$C$72,$B$69:$B$72),$E$69:$E$72,0),3)</f>
        <v>#N/A</v>
      </c>
      <c r="F89" s="29" t="str">
        <f>IFERROR(VLOOKUP('Air Nozzle'!D$9,Calculations!$I$68:$J$70,2,FALSE),"")</f>
        <v/>
      </c>
      <c r="G89" s="29" t="str">
        <f>IFERROR(VLOOKUP('Air Nozzle'!D$9,Calculations!$H$76:$I$78,2,FALSE),"")</f>
        <v/>
      </c>
      <c r="H89" s="15" t="str">
        <f>IFERROR(VLOOKUP('Air Nozzle'!D$8,Calculations!$N$68:$O$74,2,FALSE),"")</f>
        <v/>
      </c>
      <c r="I89" s="42">
        <f t="shared" ref="I89:I91" si="2">$C$39</f>
        <v>0.05</v>
      </c>
      <c r="J89" s="29">
        <f>IFERROR(ROUND((F89-G89)*H89*C89*I89*'Air Nozzle'!D10,2),0)</f>
        <v>0</v>
      </c>
      <c r="K89" s="15">
        <f>IFERROR(ROUND((J89/C89)*D89,4),0)</f>
        <v>0</v>
      </c>
      <c r="L89" s="15">
        <f>IFERROR(ROUND((J89/C89)*E89,4),0)</f>
        <v>0</v>
      </c>
      <c r="M89" s="15">
        <f>IFERROR(ROUND(AVERAGE(K89:L89),4),0)</f>
        <v>0</v>
      </c>
      <c r="N89" s="29">
        <f>'Air Nozzle'!D$13</f>
        <v>0</v>
      </c>
      <c r="O89" s="15">
        <f>J89*'Incentives Table'!$J$2+M89*'Incentives Table'!$J$3</f>
        <v>0</v>
      </c>
      <c r="Z89" s="1"/>
      <c r="AA89" s="1"/>
      <c r="AB89" s="1"/>
    </row>
    <row r="90" spans="2:36" x14ac:dyDescent="0.3">
      <c r="B90" s="12" t="s">
        <v>309</v>
      </c>
      <c r="C90" s="29" t="e">
        <f>IF(ISBLANK('Air Nozzle'!E$7),VLOOKUP('Air Nozzle'!E$6,Calculations!$B$68:$C$72,2,FALSE),VLOOKUP('Air Nozzle'!E$7,Calculations!$B$68:$C$72,2,FALSE))</f>
        <v>#N/A</v>
      </c>
      <c r="D90" s="15" t="e">
        <f t="shared" si="0"/>
        <v>#N/A</v>
      </c>
      <c r="E90" s="15" t="e">
        <f t="shared" si="1"/>
        <v>#N/A</v>
      </c>
      <c r="F90" s="29" t="str">
        <f>IFERROR(VLOOKUP('Air Nozzle'!E$9,Calculations!$I$68:$J$70,2,FALSE),"")</f>
        <v/>
      </c>
      <c r="G90" s="29" t="str">
        <f>IFERROR(VLOOKUP('Air Nozzle'!E$9,Calculations!$H$76:$I$78,2,FALSE),"")</f>
        <v/>
      </c>
      <c r="H90" s="15" t="str">
        <f>IFERROR(VLOOKUP('Air Nozzle'!E$8,Calculations!$N$68:$O$74,2,FALSE),"")</f>
        <v/>
      </c>
      <c r="I90" s="42">
        <f t="shared" si="2"/>
        <v>0.05</v>
      </c>
      <c r="J90" s="29">
        <f>IFERROR(ROUND((F90-G90)*H90*C90*I90*'Air Nozzle'!E10,2),0)</f>
        <v>0</v>
      </c>
      <c r="K90" s="15">
        <f>IFERROR(ROUND((J90/C90)*D90,4),0)</f>
        <v>0</v>
      </c>
      <c r="L90" s="15">
        <f>IFERROR(ROUND((J90/C90)*E90,4),0)</f>
        <v>0</v>
      </c>
      <c r="M90" s="15">
        <f>IFERROR(ROUND(AVERAGE(K90:L90),4),0)</f>
        <v>0</v>
      </c>
      <c r="N90" s="29">
        <f>'Air Nozzle'!E$13</f>
        <v>0</v>
      </c>
      <c r="O90" s="15">
        <f>J90*'Incentives Table'!$J$2+M90*'Incentives Table'!$J$3</f>
        <v>0</v>
      </c>
      <c r="Z90" s="1"/>
      <c r="AA90" s="1"/>
      <c r="AB90" s="1"/>
    </row>
    <row r="91" spans="2:36" x14ac:dyDescent="0.3">
      <c r="B91" s="12" t="s">
        <v>309</v>
      </c>
      <c r="C91" s="29" t="e">
        <f>IF(ISBLANK('Air Nozzle'!F$7),VLOOKUP('Air Nozzle'!F$6,Calculations!$B$68:$C$72,2,FALSE),VLOOKUP('Air Nozzle'!F$7,Calculations!$B$68:$C$72,2,FALSE))</f>
        <v>#N/A</v>
      </c>
      <c r="D91" s="15" t="e">
        <f t="shared" si="0"/>
        <v>#N/A</v>
      </c>
      <c r="E91" s="15" t="e">
        <f t="shared" si="1"/>
        <v>#N/A</v>
      </c>
      <c r="F91" s="29" t="str">
        <f>IFERROR(VLOOKUP('Air Nozzle'!F$9,Calculations!$I$68:$J$70,2,FALSE),"")</f>
        <v/>
      </c>
      <c r="G91" s="29" t="str">
        <f>IFERROR(VLOOKUP('Air Nozzle'!F$9,Calculations!$H$76:$I$78,2,FALSE),"")</f>
        <v/>
      </c>
      <c r="H91" s="15" t="str">
        <f>IFERROR(VLOOKUP('Air Nozzle'!F$8,Calculations!$N$68:$O$74,2,FALSE),"")</f>
        <v/>
      </c>
      <c r="I91" s="42">
        <f t="shared" si="2"/>
        <v>0.05</v>
      </c>
      <c r="J91" s="29">
        <f>IFERROR(ROUND((F91-G91)*H91*C91*I91*'Air Nozzle'!F10,2),0)</f>
        <v>0</v>
      </c>
      <c r="K91" s="15">
        <f>IFERROR(ROUND((J91/C91)*D91,4),0)</f>
        <v>0</v>
      </c>
      <c r="L91" s="15">
        <f>IFERROR(ROUND((J91/C91)*E91,4),0)</f>
        <v>0</v>
      </c>
      <c r="M91" s="15">
        <f>IFERROR(ROUND(AVERAGE(K91:L91),4),0)</f>
        <v>0</v>
      </c>
      <c r="N91" s="29">
        <f>'Air Nozzle'!F$13</f>
        <v>0</v>
      </c>
      <c r="O91" s="15">
        <f>J91*'Incentives Table'!$J$2+M91*'Incentives Table'!$J$3</f>
        <v>0</v>
      </c>
      <c r="Z91" s="1"/>
      <c r="AA91" s="1"/>
      <c r="AB91" s="1"/>
    </row>
    <row r="93" spans="2:36" ht="56" x14ac:dyDescent="0.3">
      <c r="B93" s="16"/>
      <c r="C93" s="17" t="s">
        <v>310</v>
      </c>
      <c r="D93" s="16" t="s">
        <v>311</v>
      </c>
      <c r="E93" s="16" t="s">
        <v>312</v>
      </c>
      <c r="F93" s="16" t="s">
        <v>313</v>
      </c>
      <c r="G93" s="16" t="s">
        <v>314</v>
      </c>
      <c r="H93" s="16" t="s">
        <v>315</v>
      </c>
      <c r="I93" s="16" t="s">
        <v>316</v>
      </c>
      <c r="J93" s="16" t="s">
        <v>317</v>
      </c>
      <c r="K93" s="16" t="s">
        <v>318</v>
      </c>
      <c r="L93" s="16" t="s">
        <v>319</v>
      </c>
      <c r="M93" s="16" t="s">
        <v>320</v>
      </c>
      <c r="N93" s="16" t="s">
        <v>321</v>
      </c>
      <c r="O93" s="16" t="s">
        <v>322</v>
      </c>
      <c r="P93" s="16" t="s">
        <v>323</v>
      </c>
      <c r="Q93" s="16" t="s">
        <v>303</v>
      </c>
      <c r="Z93" s="1"/>
      <c r="AA93" s="1"/>
      <c r="AB93" s="1"/>
      <c r="AC93" s="1"/>
      <c r="AD93" s="1"/>
    </row>
    <row r="94" spans="2:36" x14ac:dyDescent="0.3">
      <c r="B94" s="12" t="s">
        <v>324</v>
      </c>
      <c r="C94" s="29" t="e">
        <f>IF(ISBLANK('Condensate Drains'!C7),VLOOKUP('Condensate Drains'!C6,Calculations!$B$68:$C$72,2,FALSE),VLOOKUP('Condensate Drains'!C7,Calculations!$B$68:$C$72,2,FALSE))</f>
        <v>#N/A</v>
      </c>
      <c r="D94" s="15" t="e">
        <f>INDEX($E$69:$F$72,MATCH(_xlfn.XLOOKUP(C94,$C$69:$C$72,$B$69:$B$72),$E$69:$E$72,0),2)</f>
        <v>#N/A</v>
      </c>
      <c r="E94" s="15" t="e">
        <f>INDEX($E$69:$G$72,MATCH(_xlfn.XLOOKUP(C94,$C$69:$C$72,$B$69:$B$72),$E$69:$E$72,0),3)</f>
        <v>#N/A</v>
      </c>
      <c r="F94" s="15" t="str">
        <f>IFERROR(INDEX($R$70:$W$79,MATCH('Condensate Drains'!C14,$Q$70:$Q$79,0),MATCH('Condensate Drains'!C13,$R$69:$W$69,0)),"")</f>
        <v/>
      </c>
      <c r="G94" s="15">
        <v>1</v>
      </c>
      <c r="H94" s="15">
        <f>IF(F94="",100.9,F94*G94)</f>
        <v>100.9</v>
      </c>
      <c r="I94" s="15" t="str">
        <f>IFERROR(VLOOKUP('Condensate Drains'!C8,Calculations!$N$69:$O$74,2,FALSE),"")</f>
        <v/>
      </c>
      <c r="J94" s="29">
        <v>146</v>
      </c>
      <c r="K94" s="15" t="e">
        <f>INDEX($B$77:$C$80,MATCH(_xlfn.XLOOKUP(C94,$C$69:$C$72,$B$69:$B$72),$B$77:$B$80,0),2)</f>
        <v>#N/A</v>
      </c>
      <c r="L94" s="42">
        <v>0.75</v>
      </c>
      <c r="M94" s="15">
        <f>IFERROR(ROUND(H94*I94*J94*K94*L94*'Condensate Drains'!C$9,2),0)</f>
        <v>0</v>
      </c>
      <c r="N94" s="45">
        <f>IFERROR(ROUND((M94/C94)*D94,4),0)</f>
        <v>0</v>
      </c>
      <c r="O94" s="45">
        <f>IFERROR(ROUND((M94/C94)*E94,4),0)</f>
        <v>0</v>
      </c>
      <c r="P94" s="45">
        <f>IFERROR(ROUND(AVERAGE(N94:O94),4),0)</f>
        <v>0</v>
      </c>
      <c r="Q94" s="15">
        <f>M94*'Incentives Table'!$J$2+Calculations!P94*'Incentives Table'!$J$3</f>
        <v>0</v>
      </c>
      <c r="Z94" s="1"/>
      <c r="AA94" s="1"/>
      <c r="AB94" s="1"/>
      <c r="AC94" s="1"/>
      <c r="AD94" s="1"/>
    </row>
    <row r="95" spans="2:36" x14ac:dyDescent="0.3">
      <c r="B95" s="12" t="s">
        <v>324</v>
      </c>
      <c r="C95" s="29" t="e">
        <f>IF(ISBLANK('Condensate Drains'!D7),VLOOKUP('Condensate Drains'!D6,Calculations!$B$68:$C$72,2,FALSE),VLOOKUP('Condensate Drains'!D7,Calculations!$B$68:$C$72,2,FALSE))</f>
        <v>#N/A</v>
      </c>
      <c r="D95" s="15" t="e">
        <f>INDEX($E$69:$F$72,MATCH(_xlfn.XLOOKUP(C95,$C$69:$C$72,$B$69:$B$72),$E$69:$E$72,0),2)</f>
        <v>#N/A</v>
      </c>
      <c r="E95" s="15" t="e">
        <f>INDEX($E$69:$G$72,MATCH(_xlfn.XLOOKUP(C95,$C$69:$C$72,$B$69:$B$72),$E$69:$E$72,0),3)</f>
        <v>#N/A</v>
      </c>
      <c r="F95" s="15" t="str">
        <f>IFERROR(INDEX($R$70:$W$79,MATCH('Condensate Drains'!D14,$Q$70:$Q$79,0),MATCH('Condensate Drains'!D13,$R$69:$W$69,0)),"")</f>
        <v/>
      </c>
      <c r="G95" s="15">
        <v>1</v>
      </c>
      <c r="H95" s="15">
        <f t="shared" ref="H95:H97" si="3">IF(F95="",100.9,F95*G95)</f>
        <v>100.9</v>
      </c>
      <c r="I95" s="15" t="str">
        <f>IFERROR(VLOOKUP('Condensate Drains'!D8,Calculations!$N$69:$O$74,2,FALSE),"")</f>
        <v/>
      </c>
      <c r="J95" s="29">
        <v>146</v>
      </c>
      <c r="K95" s="15" t="e">
        <f>INDEX($B$77:$C$80,MATCH(_xlfn.XLOOKUP(C95,$C$69:$C$72,$B$69:$B$72),$B$77:$B$80,0),2)</f>
        <v>#N/A</v>
      </c>
      <c r="L95" s="42">
        <v>0.75</v>
      </c>
      <c r="M95" s="15">
        <f>IFERROR(ROUND(H95*I95*J95*K95*L95*'Condensate Drains'!D$9,2),0)</f>
        <v>0</v>
      </c>
      <c r="N95" s="45">
        <f>IFERROR(ROUND((M95/C95)*D95,4),0)</f>
        <v>0</v>
      </c>
      <c r="O95" s="45">
        <f>IFERROR(ROUND((M95/C95)*E95,4),0)</f>
        <v>0</v>
      </c>
      <c r="P95" s="45">
        <f t="shared" ref="P95:P97" si="4">IFERROR(ROUND(AVERAGE(N95:O95),4),0)</f>
        <v>0</v>
      </c>
      <c r="Q95" s="15">
        <f>M95*'Incentives Table'!$J$2+Calculations!P95*'Incentives Table'!$J$3</f>
        <v>0</v>
      </c>
      <c r="Z95" s="1"/>
      <c r="AA95" s="1"/>
      <c r="AB95" s="1"/>
      <c r="AC95" s="1"/>
      <c r="AD95" s="1"/>
    </row>
    <row r="96" spans="2:36" x14ac:dyDescent="0.3">
      <c r="B96" s="12" t="s">
        <v>324</v>
      </c>
      <c r="C96" s="29" t="e">
        <f>IF(ISBLANK('Condensate Drains'!E7),VLOOKUP('Condensate Drains'!E6,Calculations!$B$68:$C$72,2,FALSE),VLOOKUP('Condensate Drains'!E7,Calculations!$B$68:$C$72,2,FALSE))</f>
        <v>#N/A</v>
      </c>
      <c r="D96" s="15" t="e">
        <f>INDEX($E$69:$F$72,MATCH(_xlfn.XLOOKUP(C96,$C$69:$C$72,$B$69:$B$72),$E$69:$E$72,0),2)</f>
        <v>#N/A</v>
      </c>
      <c r="E96" s="15" t="e">
        <f>INDEX($E$69:$G$72,MATCH(_xlfn.XLOOKUP(C96,$C$69:$C$72,$B$69:$B$72),$E$69:$E$72,0),3)</f>
        <v>#N/A</v>
      </c>
      <c r="F96" s="15" t="str">
        <f>IFERROR(INDEX($R$70:$W$79,MATCH('Condensate Drains'!E14,$Q$70:$Q$79,0),MATCH('Condensate Drains'!E13,$R$69:$W$69,0)),"")</f>
        <v/>
      </c>
      <c r="G96" s="15">
        <v>1</v>
      </c>
      <c r="H96" s="15">
        <f t="shared" si="3"/>
        <v>100.9</v>
      </c>
      <c r="I96" s="15" t="str">
        <f>IFERROR(VLOOKUP('Condensate Drains'!E8,Calculations!$N$69:$O$74,2,FALSE),"")</f>
        <v/>
      </c>
      <c r="J96" s="29">
        <v>146</v>
      </c>
      <c r="K96" s="15" t="e">
        <f>INDEX($B$77:$C$80,MATCH(_xlfn.XLOOKUP(C96,$C$69:$C$72,$B$69:$B$72),$B$77:$B$80,0),2)</f>
        <v>#N/A</v>
      </c>
      <c r="L96" s="42">
        <v>0.75</v>
      </c>
      <c r="M96" s="15">
        <f>IFERROR(ROUND(H96*I96*J96*K96*L96*'Condensate Drains'!E$9,2),0)</f>
        <v>0</v>
      </c>
      <c r="N96" s="45">
        <f>IFERROR(ROUND((M96/C96)*D96,4),0)</f>
        <v>0</v>
      </c>
      <c r="O96" s="45">
        <f>IFERROR(ROUND((M96/C96)*E96,4),0)</f>
        <v>0</v>
      </c>
      <c r="P96" s="45">
        <f t="shared" si="4"/>
        <v>0</v>
      </c>
      <c r="Q96" s="15">
        <f>M96*'Incentives Table'!$J$2+Calculations!P96*'Incentives Table'!$J$3</f>
        <v>0</v>
      </c>
      <c r="Z96" s="1"/>
      <c r="AA96" s="1"/>
      <c r="AB96" s="1"/>
      <c r="AC96" s="1"/>
      <c r="AD96" s="1"/>
    </row>
    <row r="97" spans="2:30" x14ac:dyDescent="0.3">
      <c r="B97" s="12" t="s">
        <v>324</v>
      </c>
      <c r="C97" s="29" t="e">
        <f>IF(ISBLANK('Condensate Drains'!F7),VLOOKUP('Condensate Drains'!F6,Calculations!$B$68:$C$72,2,FALSE),VLOOKUP('Condensate Drains'!F7,Calculations!$B$68:$C$72,2,FALSE))</f>
        <v>#N/A</v>
      </c>
      <c r="D97" s="15" t="e">
        <f>INDEX($E$69:$F$72,MATCH(_xlfn.XLOOKUP(C97,$C$69:$C$72,$B$69:$B$72),$E$69:$E$72,0),2)</f>
        <v>#N/A</v>
      </c>
      <c r="E97" s="15" t="e">
        <f>INDEX($E$69:$G$72,MATCH(_xlfn.XLOOKUP(C97,$C$69:$C$72,$B$69:$B$72),$E$69:$E$72,0),3)</f>
        <v>#N/A</v>
      </c>
      <c r="F97" s="15" t="str">
        <f>IFERROR(INDEX($R$70:$W$79,MATCH('Condensate Drains'!F14,$Q$70:$Q$79,0),MATCH('Condensate Drains'!F13,$R$69:$W$69,0)),"")</f>
        <v/>
      </c>
      <c r="G97" s="15">
        <v>1</v>
      </c>
      <c r="H97" s="15">
        <f t="shared" si="3"/>
        <v>100.9</v>
      </c>
      <c r="I97" s="15" t="str">
        <f>IFERROR(VLOOKUP('Condensate Drains'!F8,Calculations!$N$69:$O$74,2,FALSE),"")</f>
        <v/>
      </c>
      <c r="J97" s="29">
        <v>146</v>
      </c>
      <c r="K97" s="15" t="e">
        <f>INDEX($B$77:$C$80,MATCH(_xlfn.XLOOKUP(C97,$C$69:$C$72,$B$69:$B$72),$B$77:$B$80,0),2)</f>
        <v>#N/A</v>
      </c>
      <c r="L97" s="42">
        <v>0.75</v>
      </c>
      <c r="M97" s="15">
        <f>IFERROR(ROUND(H97*I97*J97*K97*L97*'Condensate Drains'!F$9,2),0)</f>
        <v>0</v>
      </c>
      <c r="N97" s="45">
        <f>IFERROR(ROUND((M97/C97)*D97,4),0)</f>
        <v>0</v>
      </c>
      <c r="O97" s="45">
        <f>IFERROR(ROUND((M97/C97)*E97,4),0)</f>
        <v>0</v>
      </c>
      <c r="P97" s="45">
        <f t="shared" si="4"/>
        <v>0</v>
      </c>
      <c r="Q97" s="15">
        <f>M97*'Incentives Table'!$J$2+Calculations!P97*'Incentives Table'!$J$3</f>
        <v>0</v>
      </c>
      <c r="Z97" s="1"/>
      <c r="AA97" s="1"/>
      <c r="AB97" s="1"/>
      <c r="AC97" s="1"/>
      <c r="AD97" s="1"/>
    </row>
    <row r="99" spans="2:30" ht="28" x14ac:dyDescent="0.3">
      <c r="B99" s="16"/>
      <c r="C99" s="17" t="s">
        <v>325</v>
      </c>
      <c r="D99" s="16" t="s">
        <v>326</v>
      </c>
      <c r="E99" s="16" t="s">
        <v>327</v>
      </c>
      <c r="F99" s="16" t="s">
        <v>328</v>
      </c>
      <c r="G99" s="16" t="s">
        <v>329</v>
      </c>
      <c r="H99" s="16" t="s">
        <v>330</v>
      </c>
      <c r="I99" s="16" t="s">
        <v>321</v>
      </c>
      <c r="J99" s="16" t="s">
        <v>322</v>
      </c>
      <c r="K99" s="16" t="s">
        <v>301</v>
      </c>
      <c r="L99" s="16" t="s">
        <v>302</v>
      </c>
      <c r="M99" s="16" t="s">
        <v>331</v>
      </c>
      <c r="Z99" s="1"/>
    </row>
    <row r="100" spans="2:30" x14ac:dyDescent="0.3">
      <c r="B100" s="12" t="s">
        <v>332</v>
      </c>
      <c r="C100" s="15" t="e">
        <f>INDEX($E$69:$F$72,MATCH(_xlfn.XLOOKUP(D100,$C$69:$C$72,$B$69:$B$72),$E$69:$E$72,0),2)</f>
        <v>#N/A</v>
      </c>
      <c r="D100" s="29" t="e">
        <f>IF(ISBLANK('Air Tanks'!C6),VLOOKUP('Air Tanks'!C5,Calculations!B69:C72,2,FALSE),VLOOKUP('Air Tanks'!C6,Calculations!B69:C72,2,FALSE))</f>
        <v>#N/A</v>
      </c>
      <c r="E100" s="15">
        <f>C42</f>
        <v>0.92</v>
      </c>
      <c r="F100" s="15">
        <f>C43</f>
        <v>0.1</v>
      </c>
      <c r="G100" s="15">
        <f>C44</f>
        <v>0.91</v>
      </c>
      <c r="H100" s="15">
        <f>IFERROR(ROUND((C$15*0.746*D$100*E$100*F$100)/G$100,2),0)</f>
        <v>0</v>
      </c>
      <c r="I100" s="15">
        <f>IFERROR(ROUND((H$100/D$100)*C$100,4),0)</f>
        <v>0</v>
      </c>
      <c r="J100" s="15">
        <f>IFERROR(ROUND((H$100/D$100)*C$100,4),0)</f>
        <v>0</v>
      </c>
      <c r="K100" s="15">
        <f>IFERROR(ROUND(AVERAGE(I100:J100),4),0)</f>
        <v>0</v>
      </c>
      <c r="L100" s="15">
        <f>C16</f>
        <v>0</v>
      </c>
      <c r="M100" s="15">
        <f>H100*'Incentives Table'!$J$2+K100*'Incentives Table'!$J$3</f>
        <v>0</v>
      </c>
      <c r="Z100" s="1"/>
    </row>
    <row r="102" spans="2:30" ht="42" x14ac:dyDescent="0.3">
      <c r="B102" s="16"/>
      <c r="C102" s="16" t="s">
        <v>333</v>
      </c>
      <c r="D102" s="17" t="s">
        <v>291</v>
      </c>
      <c r="E102" s="16" t="s">
        <v>334</v>
      </c>
      <c r="F102" s="16" t="s">
        <v>293</v>
      </c>
      <c r="G102" s="16" t="s">
        <v>335</v>
      </c>
      <c r="H102" s="16" t="s">
        <v>336</v>
      </c>
      <c r="I102" s="16" t="s">
        <v>337</v>
      </c>
      <c r="J102" s="16" t="s">
        <v>338</v>
      </c>
      <c r="K102" s="16" t="s">
        <v>297</v>
      </c>
      <c r="L102" s="16" t="s">
        <v>298</v>
      </c>
      <c r="M102" s="16" t="s">
        <v>321</v>
      </c>
      <c r="N102" s="16" t="s">
        <v>322</v>
      </c>
      <c r="O102" s="16" t="s">
        <v>301</v>
      </c>
      <c r="P102" s="16" t="s">
        <v>302</v>
      </c>
      <c r="Q102" s="16" t="s">
        <v>303</v>
      </c>
      <c r="Z102" s="1"/>
      <c r="AA102" s="1"/>
      <c r="AB102" s="1"/>
      <c r="AC102" s="1"/>
    </row>
    <row r="103" spans="2:30" x14ac:dyDescent="0.3">
      <c r="B103" s="12" t="s">
        <v>339</v>
      </c>
      <c r="C103" s="43">
        <f>C19</f>
        <v>0</v>
      </c>
      <c r="D103" s="29" t="e">
        <f>VLOOKUP($C$17,AnnualHoursofOperation,2,FALSE)</f>
        <v>#N/A</v>
      </c>
      <c r="E103" s="15" t="e">
        <f>VLOOKUP($C$17,CoincidenceFactor,2,FALSE)</f>
        <v>#N/A</v>
      </c>
      <c r="F103" s="15" t="e">
        <f>VLOOKUP($C$17,CoincidenceFactor,3,FALSE)</f>
        <v>#N/A</v>
      </c>
      <c r="G103" s="15">
        <f>C45</f>
        <v>0.89</v>
      </c>
      <c r="H103" s="30">
        <f>C46</f>
        <v>0.67500000000000004</v>
      </c>
      <c r="I103" s="15">
        <f>C48</f>
        <v>0.91</v>
      </c>
      <c r="J103" s="15">
        <f>C47</f>
        <v>0.9</v>
      </c>
      <c r="K103" s="15">
        <f>C52</f>
        <v>0.05</v>
      </c>
      <c r="L103" s="47">
        <f>IFERROR(ROUND((J103*C103*D103*(G103-H103))/I103,2),0)</f>
        <v>0</v>
      </c>
      <c r="M103" s="47" t="str">
        <f>IFERROR(ROUND($L$103/$D$103*$E$103,4),"")</f>
        <v/>
      </c>
      <c r="N103" s="47" t="str">
        <f>IFERROR(ROUND($L$103/$D$103*$E$103,4),"")</f>
        <v/>
      </c>
      <c r="O103" s="15" t="str">
        <f>IFERROR(ROUND(AVERAGE(M103:N103),4),"")</f>
        <v/>
      </c>
      <c r="P103" s="29">
        <f>$C$18</f>
        <v>0</v>
      </c>
      <c r="Q103" s="15" t="e">
        <f>L103*'Incentives Table'!$J$2+O103*'Incentives Table'!$J$3</f>
        <v>#VALUE!</v>
      </c>
      <c r="Z103" s="1"/>
      <c r="AA103" s="1"/>
      <c r="AB103" s="1"/>
      <c r="AC103" s="1"/>
    </row>
    <row r="105" spans="2:30" ht="42" x14ac:dyDescent="0.3">
      <c r="B105" s="16"/>
      <c r="C105" s="16" t="s">
        <v>333</v>
      </c>
      <c r="D105" s="17" t="s">
        <v>291</v>
      </c>
      <c r="E105" s="16" t="s">
        <v>340</v>
      </c>
      <c r="F105" s="16" t="s">
        <v>293</v>
      </c>
      <c r="G105" s="16" t="s">
        <v>341</v>
      </c>
      <c r="H105" s="16" t="s">
        <v>342</v>
      </c>
      <c r="I105" s="16" t="s">
        <v>343</v>
      </c>
      <c r="J105" s="16" t="s">
        <v>344</v>
      </c>
      <c r="K105" s="16" t="s">
        <v>298</v>
      </c>
      <c r="L105" s="16" t="s">
        <v>321</v>
      </c>
      <c r="M105" s="16" t="s">
        <v>322</v>
      </c>
      <c r="N105" s="16" t="s">
        <v>301</v>
      </c>
      <c r="O105" s="16" t="s">
        <v>302</v>
      </c>
      <c r="P105" s="16" t="s">
        <v>303</v>
      </c>
      <c r="Z105" s="1"/>
      <c r="AA105" s="1"/>
    </row>
    <row r="106" spans="2:30" x14ac:dyDescent="0.3">
      <c r="B106" s="12" t="s">
        <v>159</v>
      </c>
      <c r="C106" s="43">
        <f>C20</f>
        <v>0</v>
      </c>
      <c r="D106" s="29" t="e">
        <f>VLOOKUP(C21,AnnualHoursofOperation,2,FALSE)</f>
        <v>#N/A</v>
      </c>
      <c r="E106" s="15" t="e">
        <f>VLOOKUP(C21,CoincidenceFactor,2,FALSE)</f>
        <v>#N/A</v>
      </c>
      <c r="F106" s="15" t="e">
        <f>VLOOKUP($C$21,CoincidenceFactor,3,FALSE)</f>
        <v>#N/A</v>
      </c>
      <c r="G106" s="30">
        <f>C49</f>
        <v>0.746</v>
      </c>
      <c r="H106" s="15">
        <f>C50</f>
        <v>0.92</v>
      </c>
      <c r="I106" s="15">
        <f>C51</f>
        <v>0.91</v>
      </c>
      <c r="J106" s="15">
        <f>C52</f>
        <v>0.05</v>
      </c>
      <c r="K106" s="47">
        <f>IFERROR(ROUND(C106*(G106/I106)*H106*D106*J106,2),0)</f>
        <v>0</v>
      </c>
      <c r="L106" s="47">
        <f>IFERROR(ROUND($K$106/$D$106*$E$106,4),0)</f>
        <v>0</v>
      </c>
      <c r="M106" s="47">
        <f>IFERROR(ROUND($K$106/$D$106*$F$106,4),0)</f>
        <v>0</v>
      </c>
      <c r="N106" s="15">
        <f>IFERROR(ROUND(AVERAGE(L106:M106),4),0)</f>
        <v>0</v>
      </c>
      <c r="O106" s="29">
        <f>C22</f>
        <v>0</v>
      </c>
      <c r="P106" s="15">
        <f>IF(C106&lt;40,0,K106*'Incentives Table'!$J$2+N106*'Incentives Table'!$J$3)</f>
        <v>0</v>
      </c>
      <c r="Z106" s="1"/>
      <c r="AA106" s="1"/>
    </row>
    <row r="108" spans="2:30" ht="28" x14ac:dyDescent="0.3">
      <c r="B108" s="16"/>
      <c r="C108" s="16" t="s">
        <v>105</v>
      </c>
      <c r="D108" s="17" t="s">
        <v>333</v>
      </c>
      <c r="E108" s="17" t="s">
        <v>345</v>
      </c>
      <c r="F108" s="16" t="s">
        <v>346</v>
      </c>
      <c r="G108" s="16" t="s">
        <v>341</v>
      </c>
      <c r="H108" s="16" t="s">
        <v>342</v>
      </c>
      <c r="I108" s="16" t="s">
        <v>347</v>
      </c>
      <c r="J108" s="16" t="s">
        <v>348</v>
      </c>
      <c r="K108" s="16" t="s">
        <v>337</v>
      </c>
      <c r="L108" s="16" t="s">
        <v>298</v>
      </c>
      <c r="M108" s="16" t="s">
        <v>321</v>
      </c>
      <c r="N108" s="16" t="s">
        <v>322</v>
      </c>
      <c r="O108" s="16" t="s">
        <v>301</v>
      </c>
      <c r="P108" s="16" t="s">
        <v>302</v>
      </c>
      <c r="Q108" s="16" t="s">
        <v>303</v>
      </c>
      <c r="Z108" s="1"/>
      <c r="AA108" s="1"/>
      <c r="AB108" s="1"/>
      <c r="AC108" s="1"/>
    </row>
    <row r="109" spans="2:30" x14ac:dyDescent="0.3">
      <c r="B109" s="12" t="s">
        <v>163</v>
      </c>
      <c r="C109" s="43">
        <f>C26</f>
        <v>0</v>
      </c>
      <c r="D109" s="29">
        <f>C23</f>
        <v>0</v>
      </c>
      <c r="E109" s="29" t="e">
        <f>VLOOKUP(C24,AnnualHoursofOperation,2,FALSE)</f>
        <v>#N/A</v>
      </c>
      <c r="F109" s="15" t="e">
        <f>VLOOKUP(C24,CoincidenceFactor,2,FALSE)</f>
        <v>#N/A</v>
      </c>
      <c r="G109" s="30">
        <f>C53</f>
        <v>0.746</v>
      </c>
      <c r="H109" s="15">
        <f>C55</f>
        <v>0.92</v>
      </c>
      <c r="I109" s="15">
        <f>C54</f>
        <v>2</v>
      </c>
      <c r="J109" s="30">
        <f>C56</f>
        <v>5.0000000000000001E-3</v>
      </c>
      <c r="K109" s="15">
        <f>C57</f>
        <v>0.91</v>
      </c>
      <c r="L109" s="47">
        <f>IFERROR(ROUND(C109*D109*G109*H109*I109*J109*E109/K109,2),0)</f>
        <v>0</v>
      </c>
      <c r="M109" s="15">
        <f>IFERROR(ROUND($L$109/$E$109*$F$109,4),0)</f>
        <v>0</v>
      </c>
      <c r="N109" s="15">
        <f>IFERROR(ROUND($L$109/$E$109*$F$109,4),0)</f>
        <v>0</v>
      </c>
      <c r="O109" s="15">
        <f>IFERROR(ROUND(AVERAGE(M109:N109),4),0)</f>
        <v>0</v>
      </c>
      <c r="P109" s="29">
        <f>C25</f>
        <v>0</v>
      </c>
      <c r="Q109" s="15">
        <f>L109*'Incentives Table'!$J$2+$O$109*'Incentives Table'!J3</f>
        <v>0</v>
      </c>
      <c r="Z109" s="1"/>
      <c r="AA109" s="1"/>
      <c r="AB109" s="1"/>
      <c r="AC109" s="1"/>
    </row>
    <row r="111" spans="2:30" ht="28" x14ac:dyDescent="0.3">
      <c r="B111" s="16"/>
      <c r="C111" s="16" t="s">
        <v>105</v>
      </c>
      <c r="D111" s="17" t="s">
        <v>333</v>
      </c>
      <c r="E111" s="17" t="s">
        <v>345</v>
      </c>
      <c r="F111" s="16" t="s">
        <v>349</v>
      </c>
      <c r="G111" s="16" t="s">
        <v>341</v>
      </c>
      <c r="H111" s="16" t="s">
        <v>343</v>
      </c>
      <c r="I111" s="16" t="s">
        <v>342</v>
      </c>
      <c r="J111" s="16" t="s">
        <v>350</v>
      </c>
      <c r="K111" s="16" t="s">
        <v>298</v>
      </c>
      <c r="L111" s="16" t="s">
        <v>321</v>
      </c>
      <c r="M111" s="16" t="s">
        <v>322</v>
      </c>
      <c r="N111" s="16" t="s">
        <v>301</v>
      </c>
      <c r="O111" s="16" t="s">
        <v>302</v>
      </c>
      <c r="P111" s="16" t="s">
        <v>303</v>
      </c>
      <c r="Z111" s="1"/>
      <c r="AA111" s="1"/>
    </row>
    <row r="112" spans="2:30" x14ac:dyDescent="0.3">
      <c r="B112" s="12" t="s">
        <v>164</v>
      </c>
      <c r="C112" s="43">
        <f>C27</f>
        <v>0</v>
      </c>
      <c r="D112" s="29">
        <f>C28</f>
        <v>0</v>
      </c>
      <c r="E112" s="29" t="e">
        <f>VLOOKUP(C29,AnnualHoursofOperation,2,FALSE)</f>
        <v>#N/A</v>
      </c>
      <c r="F112" s="15" t="e">
        <f>VLOOKUP(C29,CoincidenceFactor,2,FALSE)</f>
        <v>#N/A</v>
      </c>
      <c r="G112" s="30">
        <f>C58</f>
        <v>0.746</v>
      </c>
      <c r="H112" s="15">
        <f>C59</f>
        <v>0.91</v>
      </c>
      <c r="I112" s="15">
        <f>C60</f>
        <v>0.92</v>
      </c>
      <c r="J112" s="15">
        <f>C61</f>
        <v>0.02</v>
      </c>
      <c r="K112" s="47">
        <f>IFERROR(ROUND(C112*D112*(G112/H112)*I112*E112*J112,2),0)</f>
        <v>0</v>
      </c>
      <c r="L112" s="15">
        <f>IFERROR(ROUND($K$112/$E$112*$F$112,4),0)</f>
        <v>0</v>
      </c>
      <c r="M112" s="15">
        <f>IFERROR(ROUND($K$112/$E$112*$F$112,4),0)</f>
        <v>0</v>
      </c>
      <c r="N112" s="15">
        <f>IFERROR(ROUND(AVERAGE(L112:M112),4),0)</f>
        <v>0</v>
      </c>
      <c r="O112" s="29">
        <f>C30</f>
        <v>0</v>
      </c>
      <c r="P112" s="15">
        <f>K112*'Incentives Table'!$J$2+N112*'Incentives Table'!$J$3</f>
        <v>0</v>
      </c>
      <c r="Z112" s="1"/>
      <c r="AA112" s="1"/>
    </row>
  </sheetData>
  <mergeCells count="3">
    <mergeCell ref="R68:W68"/>
    <mergeCell ref="Q68:Q69"/>
    <mergeCell ref="F9:F10"/>
  </mergeCells>
  <phoneticPr fontId="80" type="noConversion"/>
  <dataValidations count="2">
    <dataValidation type="list" allowBlank="1" showInputMessage="1" showErrorMessage="1" sqref="G3" xr:uid="{00000000-0002-0000-0700-000000000000}">
      <formula1>$L$3:$Q$3</formula1>
    </dataValidation>
    <dataValidation type="list" allowBlank="1" showInputMessage="1" showErrorMessage="1" sqref="H3" xr:uid="{B269F5CE-AF97-42C1-950B-B82C6E5185E8}">
      <formula1>$K$3</formula1>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001489"/>
  </sheetPr>
  <dimension ref="A1:AJ88"/>
  <sheetViews>
    <sheetView tabSelected="1" zoomScaleNormal="100" workbookViewId="0">
      <selection activeCell="B13" sqref="B13"/>
    </sheetView>
  </sheetViews>
  <sheetFormatPr defaultColWidth="9" defaultRowHeight="14.25" customHeight="1" x14ac:dyDescent="0.3"/>
  <cols>
    <col min="1" max="1" width="3" style="57" customWidth="1"/>
    <col min="2" max="2" width="34.33203125" style="71" customWidth="1"/>
    <col min="3" max="3" width="41.58203125" style="71" customWidth="1"/>
    <col min="4" max="4" width="5.08203125" style="57" customWidth="1"/>
    <col min="5" max="5" width="24.5" style="70" bestFit="1" customWidth="1"/>
    <col min="6" max="6" width="20.58203125" style="70" hidden="1" customWidth="1"/>
    <col min="7" max="9" width="20.58203125" style="70" customWidth="1"/>
    <col min="10" max="10" width="19.83203125" style="70" customWidth="1"/>
    <col min="11" max="11" width="20.58203125" style="70" customWidth="1"/>
    <col min="12" max="12" width="18.5" style="70" hidden="1" customWidth="1"/>
    <col min="13" max="13" width="6" style="57" customWidth="1"/>
    <col min="14" max="34" width="9" style="57"/>
    <col min="35" max="16384" width="9" style="71"/>
  </cols>
  <sheetData>
    <row r="1" spans="2:36" s="57" customFormat="1" ht="14" x14ac:dyDescent="0.3"/>
    <row r="2" spans="2:36" s="57" customFormat="1" ht="14" x14ac:dyDescent="0.3">
      <c r="F2" s="57" t="e" cm="1">
        <f t="array" ref="F2">INDEX($C$7:$C$10,MATCH(Summary!#REF!,$B$7:$B$10,0),0)</f>
        <v>#REF!</v>
      </c>
    </row>
    <row r="3" spans="2:36" s="65" customFormat="1" ht="11.5" x14ac:dyDescent="0.25">
      <c r="I3" s="66" t="s">
        <v>351</v>
      </c>
      <c r="J3" s="375">
        <v>5.01</v>
      </c>
      <c r="K3" s="155"/>
    </row>
    <row r="4" spans="2:36" s="65" customFormat="1" ht="11.5" x14ac:dyDescent="0.25">
      <c r="I4" s="66" t="s">
        <v>352</v>
      </c>
      <c r="J4" s="67">
        <f>'Version Log'!J6</f>
        <v>46220</v>
      </c>
      <c r="K4" s="156"/>
    </row>
    <row r="5" spans="2:36" s="57" customFormat="1" ht="14" x14ac:dyDescent="0.3"/>
    <row r="6" spans="2:36" s="68" customFormat="1" ht="25" customHeight="1" x14ac:dyDescent="0.3">
      <c r="B6" s="282" t="s">
        <v>143</v>
      </c>
      <c r="C6" s="151"/>
      <c r="E6" s="377" t="s">
        <v>353</v>
      </c>
      <c r="F6" s="379" t="s">
        <v>354</v>
      </c>
      <c r="G6" s="385" t="s">
        <v>355</v>
      </c>
      <c r="H6" s="386"/>
      <c r="I6" s="386"/>
      <c r="J6" s="387"/>
      <c r="K6" s="383" t="s">
        <v>331</v>
      </c>
      <c r="L6" s="381" t="s">
        <v>303</v>
      </c>
      <c r="AI6" s="69"/>
      <c r="AJ6" s="69"/>
    </row>
    <row r="7" spans="2:36" s="68" customFormat="1" ht="25" customHeight="1" x14ac:dyDescent="0.3">
      <c r="B7" s="283" t="s">
        <v>356</v>
      </c>
      <c r="C7" s="152"/>
      <c r="E7" s="378"/>
      <c r="F7" s="380"/>
      <c r="G7" s="288" t="s">
        <v>321</v>
      </c>
      <c r="H7" s="288" t="s">
        <v>322</v>
      </c>
      <c r="I7" s="288" t="s">
        <v>70</v>
      </c>
      <c r="J7" s="288" t="s">
        <v>72</v>
      </c>
      <c r="K7" s="384"/>
      <c r="L7" s="382"/>
      <c r="AI7" s="69"/>
      <c r="AJ7" s="69"/>
    </row>
    <row r="8" spans="2:36" s="68" customFormat="1" ht="25" customHeight="1" x14ac:dyDescent="0.3">
      <c r="B8" s="283" t="s">
        <v>357</v>
      </c>
      <c r="C8" s="152"/>
      <c r="E8" s="291" t="s">
        <v>358</v>
      </c>
      <c r="F8" s="164">
        <v>0</v>
      </c>
      <c r="G8" s="162">
        <f>IFERROR('VFD Compressor (&lt;=40HP)'!C13, "-")</f>
        <v>0</v>
      </c>
      <c r="H8" s="162">
        <f>IFERROR('VFD Compressor (&lt;=40HP)'!C14, "-")</f>
        <v>0</v>
      </c>
      <c r="I8" s="162">
        <f>IFERROR('VFD Compressor (&lt;=40HP)'!C15, "-")</f>
        <v>0</v>
      </c>
      <c r="J8" s="163">
        <f>'VFD Compressor (&lt;=40HP)'!C12</f>
        <v>0</v>
      </c>
      <c r="K8" s="165">
        <f>IFERROR($K$16/$L$16*L8,0)</f>
        <v>0</v>
      </c>
      <c r="L8" s="170">
        <f>'VFD Compressor (&lt;=40HP)'!C16</f>
        <v>0</v>
      </c>
      <c r="AI8" s="69"/>
      <c r="AJ8" s="69"/>
    </row>
    <row r="9" spans="2:36" s="68" customFormat="1" ht="25" customHeight="1" x14ac:dyDescent="0.3">
      <c r="B9" s="283" t="s">
        <v>359</v>
      </c>
      <c r="C9" s="152"/>
      <c r="E9" s="291" t="s">
        <v>360</v>
      </c>
      <c r="F9" s="164">
        <v>0</v>
      </c>
      <c r="G9" s="162">
        <f>IFERROR('Cycling Dryer'!C15, "-")</f>
        <v>0</v>
      </c>
      <c r="H9" s="162">
        <f>IFERROR('Cycling Dryer'!C16, "-")</f>
        <v>0</v>
      </c>
      <c r="I9" s="162">
        <f>IFERROR('Cycling Dryer'!C17, "-")</f>
        <v>0</v>
      </c>
      <c r="J9" s="163">
        <f>'Cycling Dryer'!C14</f>
        <v>0</v>
      </c>
      <c r="K9" s="165">
        <f t="shared" ref="K9:K15" si="0">IFERROR($K$16/$L$16*L9,0)</f>
        <v>0</v>
      </c>
      <c r="L9" s="170">
        <f>'Cycling Dryer'!C18</f>
        <v>0</v>
      </c>
      <c r="AI9" s="69"/>
      <c r="AJ9" s="69"/>
    </row>
    <row r="10" spans="2:36" s="68" customFormat="1" ht="32.15" customHeight="1" x14ac:dyDescent="0.3">
      <c r="B10" s="285" t="s">
        <v>361</v>
      </c>
      <c r="C10" s="186"/>
      <c r="E10" s="291" t="s">
        <v>362</v>
      </c>
      <c r="F10" s="164">
        <v>0</v>
      </c>
      <c r="G10" s="162">
        <f>IFERROR('Air Nozzle'!C16, "-")</f>
        <v>0</v>
      </c>
      <c r="H10" s="162">
        <f>IFERROR('Air Nozzle'!C17, "-")</f>
        <v>0</v>
      </c>
      <c r="I10" s="162">
        <f>IFERROR('Air Nozzle'!C18, "-")</f>
        <v>0</v>
      </c>
      <c r="J10" s="163">
        <f>SUM('Air Nozzle'!C15:F15)</f>
        <v>0</v>
      </c>
      <c r="K10" s="165">
        <f t="shared" si="0"/>
        <v>0</v>
      </c>
      <c r="L10" s="170">
        <f>SUM('Air Nozzle'!C19:F19)</f>
        <v>0</v>
      </c>
      <c r="AI10" s="69"/>
      <c r="AJ10" s="69"/>
    </row>
    <row r="11" spans="2:36" s="68" customFormat="1" ht="25.5" customHeight="1" x14ac:dyDescent="0.3">
      <c r="E11" s="291" t="s">
        <v>363</v>
      </c>
      <c r="F11" s="164">
        <v>0</v>
      </c>
      <c r="G11" s="162">
        <f>IFERROR('Condensate Drains'!C17, "-")</f>
        <v>0</v>
      </c>
      <c r="H11" s="162">
        <f>IFERROR('Condensate Drains'!C18, "-")</f>
        <v>0</v>
      </c>
      <c r="I11" s="162">
        <f>IFERROR('Condensate Drains'!C19, "-")</f>
        <v>0</v>
      </c>
      <c r="J11" s="163">
        <f>SUM('Condensate Drains'!C16:F16)</f>
        <v>0</v>
      </c>
      <c r="K11" s="165">
        <f t="shared" si="0"/>
        <v>0</v>
      </c>
      <c r="L11" s="170">
        <f>SUM('Condensate Drains'!C18:F18)</f>
        <v>0</v>
      </c>
      <c r="AI11" s="69"/>
      <c r="AJ11" s="69"/>
    </row>
    <row r="12" spans="2:36" s="68" customFormat="1" ht="25" customHeight="1" x14ac:dyDescent="0.3">
      <c r="B12" s="286" t="s">
        <v>364</v>
      </c>
      <c r="C12" s="153"/>
      <c r="E12" s="291" t="s">
        <v>365</v>
      </c>
      <c r="F12" s="164">
        <v>0</v>
      </c>
      <c r="G12" s="162">
        <f>IFERROR('Air Tanks'!C13, "-")</f>
        <v>0</v>
      </c>
      <c r="H12" s="162">
        <f>IFERROR('Air Tanks'!C14, "-")</f>
        <v>0</v>
      </c>
      <c r="I12" s="162">
        <f>IFERROR('Air Tanks'!C15, "-")</f>
        <v>0</v>
      </c>
      <c r="J12" s="163">
        <f>'Air Tanks'!C12</f>
        <v>0</v>
      </c>
      <c r="K12" s="165">
        <f t="shared" si="0"/>
        <v>0</v>
      </c>
      <c r="L12" s="170">
        <f>'Air Tanks'!C16</f>
        <v>0</v>
      </c>
      <c r="AI12" s="69"/>
      <c r="AJ12" s="69"/>
    </row>
    <row r="13" spans="2:36" s="68" customFormat="1" ht="25" customHeight="1" x14ac:dyDescent="0.3">
      <c r="B13" s="287" t="s">
        <v>366</v>
      </c>
      <c r="C13" s="177"/>
      <c r="E13" s="291" t="s">
        <v>159</v>
      </c>
      <c r="F13" s="164">
        <v>0</v>
      </c>
      <c r="G13" s="162">
        <f>IFERROR('Compressor Controller'!C13, "-")</f>
        <v>0</v>
      </c>
      <c r="H13" s="162">
        <f>IFERROR('Compressor Controller'!C14, "-")</f>
        <v>0</v>
      </c>
      <c r="I13" s="162">
        <f>IFERROR('Compressor Controller'!C15, "-")</f>
        <v>0</v>
      </c>
      <c r="J13" s="163">
        <f>'Compressor Controller'!C12</f>
        <v>0</v>
      </c>
      <c r="K13" s="165">
        <f t="shared" si="0"/>
        <v>0</v>
      </c>
      <c r="L13" s="170">
        <f>'Compressor Controller'!C16</f>
        <v>0</v>
      </c>
      <c r="AI13" s="69"/>
      <c r="AJ13" s="69"/>
    </row>
    <row r="14" spans="2:36" s="68" customFormat="1" ht="25" customHeight="1" x14ac:dyDescent="0.3">
      <c r="E14" s="291" t="s">
        <v>163</v>
      </c>
      <c r="F14" s="164">
        <v>0</v>
      </c>
      <c r="G14" s="162">
        <f>IFERROR('Low Pressure Drop Filters'!C13, "-")</f>
        <v>0</v>
      </c>
      <c r="H14" s="162">
        <f>IFERROR('Low Pressure Drop Filters'!C14, "-")</f>
        <v>0</v>
      </c>
      <c r="I14" s="162">
        <f>IFERROR('Low Pressure Drop Filters'!C15, "-")</f>
        <v>0</v>
      </c>
      <c r="J14" s="163">
        <f>'Low Pressure Drop Filters'!C12</f>
        <v>0</v>
      </c>
      <c r="K14" s="165">
        <f t="shared" si="0"/>
        <v>0</v>
      </c>
      <c r="L14" s="170">
        <f>'Low Pressure Drop Filters'!C16</f>
        <v>0</v>
      </c>
      <c r="AI14" s="69"/>
      <c r="AJ14" s="69"/>
    </row>
    <row r="15" spans="2:36" s="68" customFormat="1" ht="29.25" customHeight="1" x14ac:dyDescent="0.3">
      <c r="E15" s="291" t="s">
        <v>164</v>
      </c>
      <c r="F15" s="164">
        <v>0</v>
      </c>
      <c r="G15" s="372">
        <f>IFERROR('Mist Eliminators'!C14, "-")</f>
        <v>0</v>
      </c>
      <c r="H15" s="372">
        <f>IFERROR('Mist Eliminators'!C15, "-")</f>
        <v>0</v>
      </c>
      <c r="I15" s="372">
        <f>IFERROR('Mist Eliminators'!C16, "-")</f>
        <v>0</v>
      </c>
      <c r="J15" s="163">
        <f>'Mist Eliminators'!C13</f>
        <v>0</v>
      </c>
      <c r="K15" s="165">
        <f t="shared" si="0"/>
        <v>0</v>
      </c>
      <c r="L15" s="170">
        <f>'Mist Eliminators'!C17</f>
        <v>0</v>
      </c>
      <c r="AI15" s="69"/>
      <c r="AJ15" s="69"/>
    </row>
    <row r="16" spans="2:36" s="68" customFormat="1" ht="25" customHeight="1" x14ac:dyDescent="0.3">
      <c r="E16" s="289" t="s">
        <v>367</v>
      </c>
      <c r="F16" s="290">
        <f>SUM(F8:F15)</f>
        <v>0</v>
      </c>
      <c r="G16" s="335">
        <f>SUM(G8:G15)</f>
        <v>0</v>
      </c>
      <c r="H16" s="335">
        <f>SUM(H8:H15)</f>
        <v>0</v>
      </c>
      <c r="I16" s="335">
        <f>SUM(I8:I15)</f>
        <v>0</v>
      </c>
      <c r="J16" s="336">
        <f>SUM(J8:J15)</f>
        <v>0</v>
      </c>
      <c r="K16" s="337">
        <f>ROUND(MIN(SUM(L8:L15),'Incentives Table'!$J$4*C13,'Incentives Table'!$J$5),2)</f>
        <v>0</v>
      </c>
      <c r="L16" s="161">
        <f>SUM(L8:L15)</f>
        <v>0</v>
      </c>
      <c r="AI16" s="69"/>
      <c r="AJ16" s="69"/>
    </row>
    <row r="17" spans="2:36" s="68" customFormat="1" ht="25" customHeight="1" x14ac:dyDescent="0.3">
      <c r="AI17" s="69"/>
      <c r="AJ17" s="69"/>
    </row>
    <row r="18" spans="2:36" s="68" customFormat="1" ht="25" hidden="1" customHeight="1" x14ac:dyDescent="0.3">
      <c r="B18" s="284" t="s">
        <v>368</v>
      </c>
      <c r="C18" s="152" t="s">
        <v>193</v>
      </c>
      <c r="E18" s="57"/>
      <c r="F18" s="57"/>
      <c r="G18" s="57"/>
      <c r="H18" s="57"/>
      <c r="I18" s="57"/>
      <c r="J18" s="57"/>
      <c r="K18" s="57"/>
      <c r="L18" s="57"/>
      <c r="AI18" s="69"/>
      <c r="AJ18" s="69"/>
    </row>
    <row r="19" spans="2:36" s="68" customFormat="1" ht="25" customHeight="1" x14ac:dyDescent="0.3">
      <c r="E19" s="57"/>
      <c r="F19" s="57"/>
      <c r="G19" s="57"/>
      <c r="H19" s="57"/>
      <c r="I19" s="57"/>
      <c r="J19" s="57"/>
      <c r="K19" s="57"/>
      <c r="L19" s="57"/>
      <c r="AI19" s="69"/>
      <c r="AJ19" s="69"/>
    </row>
    <row r="20" spans="2:36" s="68" customFormat="1" ht="25" customHeight="1" x14ac:dyDescent="0.3">
      <c r="E20" s="376"/>
      <c r="F20" s="376"/>
      <c r="G20" s="79"/>
      <c r="H20" s="79"/>
      <c r="AI20" s="69"/>
      <c r="AJ20" s="69"/>
    </row>
    <row r="21" spans="2:36" s="68" customFormat="1" ht="25" customHeight="1" x14ac:dyDescent="0.3">
      <c r="E21" s="376"/>
      <c r="F21" s="376"/>
      <c r="G21" s="79"/>
      <c r="H21" s="79"/>
      <c r="I21" s="57"/>
      <c r="J21" s="57"/>
      <c r="K21" s="57"/>
      <c r="L21" s="57"/>
      <c r="AI21" s="69"/>
      <c r="AJ21" s="69"/>
    </row>
    <row r="22" spans="2:36" s="68" customFormat="1" ht="25" customHeight="1" x14ac:dyDescent="0.3">
      <c r="E22" s="376"/>
      <c r="F22" s="376"/>
      <c r="G22" s="79"/>
      <c r="H22" s="79"/>
      <c r="I22" s="57"/>
      <c r="J22" s="57"/>
      <c r="K22" s="57"/>
      <c r="L22" s="57"/>
      <c r="AI22" s="69"/>
      <c r="AJ22" s="69"/>
    </row>
    <row r="23" spans="2:36" s="68" customFormat="1" ht="25" customHeight="1" x14ac:dyDescent="0.3">
      <c r="E23" s="376"/>
      <c r="F23" s="376"/>
      <c r="G23" s="79"/>
      <c r="H23" s="79"/>
      <c r="I23" s="57"/>
      <c r="J23" s="57"/>
      <c r="K23" s="57"/>
      <c r="L23" s="57"/>
      <c r="AI23" s="69"/>
      <c r="AJ23" s="69"/>
    </row>
    <row r="24" spans="2:36" s="68" customFormat="1" ht="25" customHeight="1" x14ac:dyDescent="0.3">
      <c r="E24" s="376"/>
      <c r="F24" s="376"/>
      <c r="G24" s="79"/>
      <c r="H24" s="79"/>
      <c r="I24" s="57"/>
      <c r="J24" s="57"/>
      <c r="K24" s="57"/>
      <c r="L24" s="57"/>
      <c r="AI24" s="69"/>
      <c r="AJ24" s="69"/>
    </row>
    <row r="25" spans="2:36" s="68" customFormat="1" ht="25" customHeight="1" x14ac:dyDescent="0.3">
      <c r="E25" s="376"/>
      <c r="F25" s="376"/>
      <c r="G25" s="79"/>
      <c r="H25" s="79"/>
      <c r="I25" s="57"/>
      <c r="J25" s="57"/>
      <c r="K25" s="57"/>
      <c r="L25" s="57"/>
      <c r="AI25" s="69"/>
      <c r="AJ25" s="69"/>
    </row>
    <row r="26" spans="2:36" s="68" customFormat="1" ht="25" customHeight="1" x14ac:dyDescent="0.3">
      <c r="E26" s="376"/>
      <c r="F26" s="376"/>
      <c r="G26" s="79"/>
      <c r="H26" s="79"/>
      <c r="I26" s="57"/>
      <c r="J26" s="57"/>
      <c r="K26" s="57"/>
      <c r="L26" s="57"/>
      <c r="AI26" s="69"/>
      <c r="AJ26" s="69"/>
    </row>
    <row r="27" spans="2:36" s="68" customFormat="1" ht="25" customHeight="1" x14ac:dyDescent="0.3">
      <c r="B27" s="57"/>
      <c r="C27" s="57"/>
      <c r="E27" s="376"/>
      <c r="F27" s="376"/>
      <c r="G27" s="79"/>
      <c r="H27" s="79"/>
      <c r="I27" s="57"/>
      <c r="J27" s="57"/>
      <c r="K27" s="57"/>
      <c r="L27" s="57"/>
      <c r="AI27" s="69"/>
      <c r="AJ27" s="69"/>
    </row>
    <row r="28" spans="2:36" s="57" customFormat="1" ht="25" customHeight="1" x14ac:dyDescent="0.3">
      <c r="E28" s="376"/>
      <c r="F28" s="376"/>
      <c r="G28" s="79"/>
      <c r="H28" s="79"/>
    </row>
    <row r="29" spans="2:36" s="57" customFormat="1" ht="25" customHeight="1" x14ac:dyDescent="0.3">
      <c r="E29" s="376"/>
      <c r="F29" s="376"/>
      <c r="G29" s="79"/>
      <c r="H29" s="79"/>
    </row>
    <row r="30" spans="2:36" s="57" customFormat="1" ht="25" customHeight="1" x14ac:dyDescent="0.3">
      <c r="E30" s="376"/>
      <c r="F30" s="376"/>
      <c r="G30" s="79"/>
      <c r="H30" s="79"/>
    </row>
    <row r="31" spans="2:36" s="57" customFormat="1" ht="14" x14ac:dyDescent="0.3">
      <c r="E31" s="376"/>
      <c r="F31" s="376"/>
      <c r="G31" s="79"/>
      <c r="H31" s="79"/>
    </row>
    <row r="32" spans="2:36" s="57" customFormat="1" ht="14" x14ac:dyDescent="0.3">
      <c r="E32" s="376"/>
      <c r="F32" s="376"/>
      <c r="G32" s="79"/>
      <c r="H32" s="79"/>
    </row>
    <row r="33" spans="5:12" s="57" customFormat="1" ht="14" x14ac:dyDescent="0.3">
      <c r="E33" s="376"/>
      <c r="F33" s="376"/>
      <c r="G33" s="79"/>
      <c r="H33" s="79"/>
    </row>
    <row r="34" spans="5:12" s="57" customFormat="1" ht="14" x14ac:dyDescent="0.3">
      <c r="E34" s="376"/>
      <c r="F34" s="376"/>
      <c r="G34" s="79"/>
      <c r="H34" s="79"/>
    </row>
    <row r="35" spans="5:12" s="57" customFormat="1" ht="14" x14ac:dyDescent="0.3"/>
    <row r="36" spans="5:12" s="57" customFormat="1" ht="14" x14ac:dyDescent="0.3"/>
    <row r="37" spans="5:12" s="57" customFormat="1" ht="14" x14ac:dyDescent="0.3"/>
    <row r="38" spans="5:12" s="57" customFormat="1" ht="14" x14ac:dyDescent="0.3"/>
    <row r="39" spans="5:12" s="57" customFormat="1" ht="14" x14ac:dyDescent="0.3"/>
    <row r="40" spans="5:12" s="57" customFormat="1" ht="14" x14ac:dyDescent="0.3">
      <c r="E40" s="70"/>
      <c r="F40" s="70"/>
      <c r="G40" s="70"/>
      <c r="H40" s="70"/>
      <c r="I40" s="70"/>
      <c r="J40" s="70"/>
      <c r="K40" s="70"/>
      <c r="L40" s="70"/>
    </row>
    <row r="41" spans="5:12" s="57" customFormat="1" ht="14" x14ac:dyDescent="0.3">
      <c r="E41" s="70"/>
      <c r="F41" s="70"/>
      <c r="G41" s="70"/>
      <c r="H41" s="70"/>
      <c r="I41" s="70"/>
      <c r="J41" s="70"/>
      <c r="K41" s="70"/>
      <c r="L41" s="70"/>
    </row>
    <row r="42" spans="5:12" s="57" customFormat="1" ht="14" x14ac:dyDescent="0.3">
      <c r="E42" s="70"/>
      <c r="F42" s="70"/>
      <c r="G42" s="70"/>
      <c r="H42" s="70"/>
      <c r="I42" s="70"/>
      <c r="J42" s="70"/>
      <c r="K42" s="70"/>
      <c r="L42" s="70"/>
    </row>
    <row r="43" spans="5:12" s="57" customFormat="1" ht="14" x14ac:dyDescent="0.3">
      <c r="E43" s="70"/>
      <c r="F43" s="70"/>
      <c r="G43" s="70"/>
      <c r="H43" s="70"/>
      <c r="I43" s="70"/>
      <c r="J43" s="70"/>
      <c r="K43" s="70"/>
      <c r="L43" s="70"/>
    </row>
    <row r="44" spans="5:12" s="57" customFormat="1" ht="14" x14ac:dyDescent="0.3">
      <c r="E44" s="70"/>
      <c r="F44" s="70"/>
      <c r="G44" s="70"/>
      <c r="H44" s="70"/>
      <c r="I44" s="70"/>
      <c r="J44" s="70"/>
      <c r="K44" s="70"/>
      <c r="L44" s="70"/>
    </row>
    <row r="45" spans="5:12" s="57" customFormat="1" ht="14" x14ac:dyDescent="0.3">
      <c r="E45" s="70"/>
      <c r="F45" s="70"/>
      <c r="G45" s="70"/>
      <c r="H45" s="70"/>
      <c r="I45" s="70"/>
      <c r="J45" s="70"/>
      <c r="K45" s="70"/>
      <c r="L45" s="70"/>
    </row>
    <row r="46" spans="5:12" s="57" customFormat="1" ht="14" x14ac:dyDescent="0.3">
      <c r="E46" s="70"/>
      <c r="F46" s="70"/>
      <c r="G46" s="70"/>
      <c r="H46" s="70"/>
      <c r="I46" s="70"/>
      <c r="J46" s="70"/>
      <c r="K46" s="70"/>
      <c r="L46" s="70"/>
    </row>
    <row r="47" spans="5:12" s="57" customFormat="1" ht="14" x14ac:dyDescent="0.3">
      <c r="E47" s="70"/>
      <c r="F47" s="70"/>
      <c r="G47" s="70"/>
      <c r="H47" s="70"/>
      <c r="I47" s="70"/>
      <c r="J47" s="70"/>
      <c r="K47" s="70"/>
      <c r="L47" s="70"/>
    </row>
    <row r="48" spans="5:12" s="57" customFormat="1" ht="14" x14ac:dyDescent="0.3">
      <c r="E48" s="70"/>
      <c r="F48" s="70"/>
      <c r="G48" s="70"/>
      <c r="H48" s="70"/>
      <c r="I48" s="70"/>
      <c r="J48" s="70"/>
      <c r="K48" s="70"/>
      <c r="L48" s="70"/>
    </row>
    <row r="49" spans="1:34" s="57" customFormat="1" ht="14" x14ac:dyDescent="0.3">
      <c r="B49" s="70"/>
      <c r="C49" s="70"/>
      <c r="E49" s="70"/>
      <c r="F49" s="70"/>
      <c r="G49" s="70"/>
      <c r="H49" s="70"/>
      <c r="I49" s="70"/>
      <c r="J49" s="70"/>
      <c r="K49" s="70"/>
      <c r="L49" s="70"/>
    </row>
    <row r="50" spans="1:34" s="70" customFormat="1" ht="14" x14ac:dyDescent="0.3">
      <c r="A50" s="57"/>
      <c r="D50" s="57"/>
      <c r="M50" s="57"/>
      <c r="N50" s="57"/>
      <c r="O50" s="57"/>
      <c r="P50" s="57"/>
      <c r="Q50" s="57"/>
      <c r="R50" s="57"/>
      <c r="S50" s="57"/>
      <c r="T50" s="57"/>
      <c r="U50" s="57"/>
      <c r="V50" s="57"/>
      <c r="W50" s="57"/>
      <c r="X50" s="57"/>
      <c r="Y50" s="57"/>
      <c r="Z50" s="57"/>
      <c r="AA50" s="57"/>
      <c r="AB50" s="57"/>
      <c r="AC50" s="57"/>
      <c r="AD50" s="57"/>
      <c r="AE50" s="57"/>
      <c r="AF50" s="57"/>
      <c r="AG50" s="57"/>
      <c r="AH50" s="57"/>
    </row>
    <row r="51" spans="1:34" s="70" customFormat="1" ht="14" x14ac:dyDescent="0.3">
      <c r="A51" s="57"/>
      <c r="D51" s="57"/>
      <c r="M51" s="57"/>
      <c r="N51" s="57"/>
      <c r="O51" s="57"/>
      <c r="P51" s="57"/>
      <c r="Q51" s="57"/>
      <c r="R51" s="57"/>
      <c r="S51" s="57"/>
      <c r="T51" s="57"/>
      <c r="U51" s="57"/>
      <c r="V51" s="57"/>
      <c r="W51" s="57"/>
      <c r="X51" s="57"/>
      <c r="Y51" s="57"/>
      <c r="Z51" s="57"/>
      <c r="AA51" s="57"/>
      <c r="AB51" s="57"/>
      <c r="AC51" s="57"/>
      <c r="AD51" s="57"/>
      <c r="AE51" s="57"/>
      <c r="AF51" s="57"/>
      <c r="AG51" s="57"/>
      <c r="AH51" s="57"/>
    </row>
    <row r="52" spans="1:34" s="70" customFormat="1" ht="14" x14ac:dyDescent="0.3">
      <c r="A52" s="57"/>
      <c r="D52" s="57"/>
      <c r="M52" s="57"/>
      <c r="N52" s="57"/>
      <c r="O52" s="57"/>
      <c r="P52" s="57"/>
      <c r="Q52" s="57"/>
      <c r="R52" s="57"/>
      <c r="S52" s="57"/>
      <c r="T52" s="57"/>
      <c r="U52" s="57"/>
      <c r="V52" s="57"/>
      <c r="W52" s="57"/>
      <c r="X52" s="57"/>
      <c r="Y52" s="57"/>
      <c r="Z52" s="57"/>
      <c r="AA52" s="57"/>
      <c r="AB52" s="57"/>
      <c r="AC52" s="57"/>
      <c r="AD52" s="57"/>
      <c r="AE52" s="57"/>
      <c r="AF52" s="57"/>
      <c r="AG52" s="57"/>
      <c r="AH52" s="57"/>
    </row>
    <row r="53" spans="1:34" s="70" customFormat="1" ht="14" x14ac:dyDescent="0.3">
      <c r="A53" s="57"/>
      <c r="D53" s="57"/>
      <c r="M53" s="57"/>
      <c r="N53" s="57"/>
      <c r="O53" s="57"/>
      <c r="P53" s="57"/>
      <c r="Q53" s="57"/>
      <c r="R53" s="57"/>
      <c r="S53" s="57"/>
      <c r="T53" s="57"/>
      <c r="U53" s="57"/>
      <c r="V53" s="57"/>
      <c r="W53" s="57"/>
      <c r="X53" s="57"/>
      <c r="Y53" s="57"/>
      <c r="Z53" s="57"/>
      <c r="AA53" s="57"/>
      <c r="AB53" s="57"/>
      <c r="AC53" s="57"/>
      <c r="AD53" s="57"/>
      <c r="AE53" s="57"/>
      <c r="AF53" s="57"/>
      <c r="AG53" s="57"/>
      <c r="AH53" s="57"/>
    </row>
    <row r="54" spans="1:34" s="70" customFormat="1" ht="14" x14ac:dyDescent="0.3">
      <c r="A54" s="57"/>
      <c r="D54" s="57"/>
      <c r="M54" s="57"/>
      <c r="N54" s="57"/>
      <c r="O54" s="57"/>
      <c r="P54" s="57"/>
      <c r="Q54" s="57"/>
      <c r="R54" s="57"/>
      <c r="S54" s="57"/>
      <c r="T54" s="57"/>
      <c r="U54" s="57"/>
      <c r="V54" s="57"/>
      <c r="W54" s="57"/>
      <c r="X54" s="57"/>
      <c r="Y54" s="57"/>
      <c r="Z54" s="57"/>
      <c r="AA54" s="57"/>
      <c r="AB54" s="57"/>
      <c r="AC54" s="57"/>
      <c r="AD54" s="57"/>
      <c r="AE54" s="57"/>
      <c r="AF54" s="57"/>
      <c r="AG54" s="57"/>
      <c r="AH54" s="57"/>
    </row>
    <row r="55" spans="1:34" s="70" customFormat="1" ht="14" x14ac:dyDescent="0.3">
      <c r="A55" s="57"/>
      <c r="D55" s="57"/>
      <c r="M55" s="57"/>
      <c r="N55" s="57"/>
      <c r="O55" s="57"/>
      <c r="P55" s="57"/>
      <c r="Q55" s="57"/>
      <c r="R55" s="57"/>
      <c r="S55" s="57"/>
      <c r="T55" s="57"/>
      <c r="U55" s="57"/>
      <c r="V55" s="57"/>
      <c r="W55" s="57"/>
      <c r="X55" s="57"/>
      <c r="Y55" s="57"/>
      <c r="Z55" s="57"/>
      <c r="AA55" s="57"/>
      <c r="AB55" s="57"/>
      <c r="AC55" s="57"/>
      <c r="AD55" s="57"/>
      <c r="AE55" s="57"/>
      <c r="AF55" s="57"/>
      <c r="AG55" s="57"/>
      <c r="AH55" s="57"/>
    </row>
    <row r="56" spans="1:34" s="70" customFormat="1" ht="14" x14ac:dyDescent="0.3">
      <c r="A56" s="57"/>
      <c r="D56" s="57"/>
      <c r="M56" s="57"/>
      <c r="N56" s="57"/>
      <c r="O56" s="57"/>
      <c r="P56" s="57"/>
      <c r="Q56" s="57"/>
      <c r="R56" s="57"/>
      <c r="S56" s="57"/>
      <c r="T56" s="57"/>
      <c r="U56" s="57"/>
      <c r="V56" s="57"/>
      <c r="W56" s="57"/>
      <c r="X56" s="57"/>
      <c r="Y56" s="57"/>
      <c r="Z56" s="57"/>
      <c r="AA56" s="57"/>
      <c r="AB56" s="57"/>
      <c r="AC56" s="57"/>
      <c r="AD56" s="57"/>
      <c r="AE56" s="57"/>
      <c r="AF56" s="57"/>
      <c r="AG56" s="57"/>
      <c r="AH56" s="57"/>
    </row>
    <row r="57" spans="1:34" s="70" customFormat="1" ht="14" x14ac:dyDescent="0.3">
      <c r="A57" s="57"/>
      <c r="D57" s="57"/>
      <c r="M57" s="57"/>
      <c r="N57" s="57"/>
      <c r="O57" s="57"/>
      <c r="P57" s="57"/>
      <c r="Q57" s="57"/>
      <c r="R57" s="57"/>
      <c r="S57" s="57"/>
      <c r="T57" s="57"/>
      <c r="U57" s="57"/>
      <c r="V57" s="57"/>
      <c r="W57" s="57"/>
      <c r="X57" s="57"/>
      <c r="Y57" s="57"/>
      <c r="Z57" s="57"/>
      <c r="AA57" s="57"/>
      <c r="AB57" s="57"/>
      <c r="AC57" s="57"/>
      <c r="AD57" s="57"/>
      <c r="AE57" s="57"/>
      <c r="AF57" s="57"/>
      <c r="AG57" s="57"/>
      <c r="AH57" s="57"/>
    </row>
    <row r="58" spans="1:34" s="70" customFormat="1" ht="14" x14ac:dyDescent="0.3">
      <c r="A58" s="57"/>
      <c r="D58" s="57"/>
      <c r="M58" s="57"/>
      <c r="N58" s="57"/>
      <c r="O58" s="57"/>
      <c r="P58" s="57"/>
      <c r="Q58" s="57"/>
      <c r="R58" s="57"/>
      <c r="S58" s="57"/>
      <c r="T58" s="57"/>
      <c r="U58" s="57"/>
      <c r="V58" s="57"/>
      <c r="W58" s="57"/>
      <c r="X58" s="57"/>
      <c r="Y58" s="57"/>
      <c r="Z58" s="57"/>
      <c r="AA58" s="57"/>
      <c r="AB58" s="57"/>
      <c r="AC58" s="57"/>
      <c r="AD58" s="57"/>
      <c r="AE58" s="57"/>
      <c r="AF58" s="57"/>
      <c r="AG58" s="57"/>
      <c r="AH58" s="57"/>
    </row>
    <row r="59" spans="1:34" s="70" customFormat="1" ht="14" x14ac:dyDescent="0.3">
      <c r="A59" s="57"/>
      <c r="D59" s="57"/>
      <c r="M59" s="57"/>
      <c r="N59" s="57"/>
      <c r="O59" s="57"/>
      <c r="P59" s="57"/>
      <c r="Q59" s="57"/>
      <c r="R59" s="57"/>
      <c r="S59" s="57"/>
      <c r="T59" s="57"/>
      <c r="U59" s="57"/>
      <c r="V59" s="57"/>
      <c r="W59" s="57"/>
      <c r="X59" s="57"/>
      <c r="Y59" s="57"/>
      <c r="Z59" s="57"/>
      <c r="AA59" s="57"/>
      <c r="AB59" s="57"/>
      <c r="AC59" s="57"/>
      <c r="AD59" s="57"/>
      <c r="AE59" s="57"/>
      <c r="AF59" s="57"/>
      <c r="AG59" s="57"/>
      <c r="AH59" s="57"/>
    </row>
    <row r="60" spans="1:34" s="70" customFormat="1" ht="14" x14ac:dyDescent="0.3">
      <c r="A60" s="57"/>
      <c r="D60" s="57"/>
      <c r="M60" s="57"/>
      <c r="N60" s="57"/>
      <c r="O60" s="57"/>
      <c r="P60" s="57"/>
      <c r="Q60" s="57"/>
      <c r="R60" s="57"/>
      <c r="S60" s="57"/>
      <c r="T60" s="57"/>
      <c r="U60" s="57"/>
      <c r="V60" s="57"/>
      <c r="W60" s="57"/>
      <c r="X60" s="57"/>
      <c r="Y60" s="57"/>
      <c r="Z60" s="57"/>
      <c r="AA60" s="57"/>
      <c r="AB60" s="57"/>
      <c r="AC60" s="57"/>
      <c r="AD60" s="57"/>
      <c r="AE60" s="57"/>
      <c r="AF60" s="57"/>
      <c r="AG60" s="57"/>
      <c r="AH60" s="57"/>
    </row>
    <row r="61" spans="1:34" s="70" customFormat="1" ht="14" x14ac:dyDescent="0.3">
      <c r="A61" s="57"/>
      <c r="D61" s="57"/>
      <c r="M61" s="57"/>
      <c r="N61" s="57"/>
      <c r="O61" s="57"/>
      <c r="P61" s="57"/>
      <c r="Q61" s="57"/>
      <c r="R61" s="57"/>
      <c r="S61" s="57"/>
      <c r="T61" s="57"/>
      <c r="U61" s="57"/>
      <c r="V61" s="57"/>
      <c r="W61" s="57"/>
      <c r="X61" s="57"/>
      <c r="Y61" s="57"/>
      <c r="Z61" s="57"/>
      <c r="AA61" s="57"/>
      <c r="AB61" s="57"/>
      <c r="AC61" s="57"/>
      <c r="AD61" s="57"/>
      <c r="AE61" s="57"/>
      <c r="AF61" s="57"/>
      <c r="AG61" s="57"/>
      <c r="AH61" s="57"/>
    </row>
    <row r="62" spans="1:34" s="70" customFormat="1" ht="14" x14ac:dyDescent="0.3">
      <c r="A62" s="57"/>
      <c r="D62" s="57"/>
      <c r="M62" s="57"/>
      <c r="N62" s="57"/>
      <c r="O62" s="57"/>
      <c r="P62" s="57"/>
      <c r="Q62" s="57"/>
      <c r="R62" s="57"/>
      <c r="S62" s="57"/>
      <c r="T62" s="57"/>
      <c r="U62" s="57"/>
      <c r="V62" s="57"/>
      <c r="W62" s="57"/>
      <c r="X62" s="57"/>
      <c r="Y62" s="57"/>
      <c r="Z62" s="57"/>
      <c r="AA62" s="57"/>
      <c r="AB62" s="57"/>
      <c r="AC62" s="57"/>
      <c r="AD62" s="57"/>
      <c r="AE62" s="57"/>
      <c r="AF62" s="57"/>
      <c r="AG62" s="57"/>
      <c r="AH62" s="57"/>
    </row>
    <row r="63" spans="1:34" s="70" customFormat="1" ht="14" x14ac:dyDescent="0.3">
      <c r="A63" s="57"/>
      <c r="D63" s="57"/>
      <c r="M63" s="57"/>
      <c r="N63" s="57"/>
      <c r="O63" s="57"/>
      <c r="P63" s="57"/>
      <c r="Q63" s="57"/>
      <c r="R63" s="57"/>
      <c r="S63" s="57"/>
      <c r="T63" s="57"/>
      <c r="U63" s="57"/>
      <c r="V63" s="57"/>
      <c r="W63" s="57"/>
      <c r="X63" s="57"/>
      <c r="Y63" s="57"/>
      <c r="Z63" s="57"/>
      <c r="AA63" s="57"/>
      <c r="AB63" s="57"/>
      <c r="AC63" s="57"/>
      <c r="AD63" s="57"/>
      <c r="AE63" s="57"/>
      <c r="AF63" s="57"/>
      <c r="AG63" s="57"/>
      <c r="AH63" s="57"/>
    </row>
    <row r="64" spans="1:34" s="70" customFormat="1" ht="14" x14ac:dyDescent="0.3">
      <c r="A64" s="57"/>
      <c r="D64" s="57"/>
      <c r="M64" s="57"/>
      <c r="N64" s="57"/>
      <c r="O64" s="57"/>
      <c r="P64" s="57"/>
      <c r="Q64" s="57"/>
      <c r="R64" s="57"/>
      <c r="S64" s="57"/>
      <c r="T64" s="57"/>
      <c r="U64" s="57"/>
      <c r="V64" s="57"/>
      <c r="W64" s="57"/>
      <c r="X64" s="57"/>
      <c r="Y64" s="57"/>
      <c r="Z64" s="57"/>
      <c r="AA64" s="57"/>
      <c r="AB64" s="57"/>
      <c r="AC64" s="57"/>
      <c r="AD64" s="57"/>
      <c r="AE64" s="57"/>
      <c r="AF64" s="57"/>
      <c r="AG64" s="57"/>
      <c r="AH64" s="57"/>
    </row>
    <row r="65" spans="1:34" s="70" customFormat="1" ht="14" x14ac:dyDescent="0.3">
      <c r="A65" s="57"/>
      <c r="D65" s="57"/>
      <c r="M65" s="57"/>
      <c r="N65" s="57"/>
      <c r="O65" s="57"/>
      <c r="P65" s="57"/>
      <c r="Q65" s="57"/>
      <c r="R65" s="57"/>
      <c r="S65" s="57"/>
      <c r="T65" s="57"/>
      <c r="U65" s="57"/>
      <c r="V65" s="57"/>
      <c r="W65" s="57"/>
      <c r="X65" s="57"/>
      <c r="Y65" s="57"/>
      <c r="Z65" s="57"/>
      <c r="AA65" s="57"/>
      <c r="AB65" s="57"/>
      <c r="AC65" s="57"/>
      <c r="AD65" s="57"/>
      <c r="AE65" s="57"/>
      <c r="AF65" s="57"/>
      <c r="AG65" s="57"/>
      <c r="AH65" s="57"/>
    </row>
    <row r="66" spans="1:34" s="70" customFormat="1" ht="14" x14ac:dyDescent="0.3">
      <c r="A66" s="57"/>
      <c r="D66" s="57"/>
      <c r="M66" s="57"/>
      <c r="N66" s="57"/>
      <c r="O66" s="57"/>
      <c r="P66" s="57"/>
      <c r="Q66" s="57"/>
      <c r="R66" s="57"/>
      <c r="S66" s="57"/>
      <c r="T66" s="57"/>
      <c r="U66" s="57"/>
      <c r="V66" s="57"/>
      <c r="W66" s="57"/>
      <c r="X66" s="57"/>
      <c r="Y66" s="57"/>
      <c r="Z66" s="57"/>
      <c r="AA66" s="57"/>
      <c r="AB66" s="57"/>
      <c r="AC66" s="57"/>
      <c r="AD66" s="57"/>
      <c r="AE66" s="57"/>
      <c r="AF66" s="57"/>
      <c r="AG66" s="57"/>
      <c r="AH66" s="57"/>
    </row>
    <row r="67" spans="1:34" s="70" customFormat="1" ht="14" x14ac:dyDescent="0.3">
      <c r="A67" s="57"/>
      <c r="D67" s="57"/>
      <c r="M67" s="57"/>
      <c r="N67" s="57"/>
      <c r="O67" s="57"/>
      <c r="P67" s="57"/>
      <c r="Q67" s="57"/>
      <c r="R67" s="57"/>
      <c r="S67" s="57"/>
      <c r="T67" s="57"/>
      <c r="U67" s="57"/>
      <c r="V67" s="57"/>
      <c r="W67" s="57"/>
      <c r="X67" s="57"/>
      <c r="Y67" s="57"/>
      <c r="Z67" s="57"/>
      <c r="AA67" s="57"/>
      <c r="AB67" s="57"/>
      <c r="AC67" s="57"/>
      <c r="AD67" s="57"/>
      <c r="AE67" s="57"/>
      <c r="AF67" s="57"/>
      <c r="AG67" s="57"/>
      <c r="AH67" s="57"/>
    </row>
    <row r="68" spans="1:34" s="70" customFormat="1" ht="14" x14ac:dyDescent="0.3">
      <c r="A68" s="57"/>
      <c r="D68" s="57"/>
      <c r="M68" s="57"/>
      <c r="N68" s="57"/>
      <c r="O68" s="57"/>
      <c r="P68" s="57"/>
      <c r="Q68" s="57"/>
      <c r="R68" s="57"/>
      <c r="S68" s="57"/>
      <c r="T68" s="57"/>
      <c r="U68" s="57"/>
      <c r="V68" s="57"/>
      <c r="W68" s="57"/>
      <c r="X68" s="57"/>
      <c r="Y68" s="57"/>
      <c r="Z68" s="57"/>
      <c r="AA68" s="57"/>
      <c r="AB68" s="57"/>
      <c r="AC68" s="57"/>
      <c r="AD68" s="57"/>
      <c r="AE68" s="57"/>
      <c r="AF68" s="57"/>
      <c r="AG68" s="57"/>
      <c r="AH68" s="57"/>
    </row>
    <row r="69" spans="1:34" s="70" customFormat="1" ht="14" x14ac:dyDescent="0.3">
      <c r="A69" s="57"/>
      <c r="D69" s="57"/>
      <c r="M69" s="57"/>
      <c r="N69" s="57"/>
      <c r="O69" s="57"/>
      <c r="P69" s="57"/>
      <c r="Q69" s="57"/>
      <c r="R69" s="57"/>
      <c r="S69" s="57"/>
      <c r="T69" s="57"/>
      <c r="U69" s="57"/>
      <c r="V69" s="57"/>
      <c r="W69" s="57"/>
      <c r="X69" s="57"/>
      <c r="Y69" s="57"/>
      <c r="Z69" s="57"/>
      <c r="AA69" s="57"/>
      <c r="AB69" s="57"/>
      <c r="AC69" s="57"/>
      <c r="AD69" s="57"/>
      <c r="AE69" s="57"/>
      <c r="AF69" s="57"/>
      <c r="AG69" s="57"/>
      <c r="AH69" s="57"/>
    </row>
    <row r="70" spans="1:34" s="70" customFormat="1" ht="14" x14ac:dyDescent="0.3">
      <c r="A70" s="57"/>
      <c r="D70" s="57"/>
      <c r="M70" s="57"/>
      <c r="N70" s="57"/>
      <c r="O70" s="57"/>
      <c r="P70" s="57"/>
      <c r="Q70" s="57"/>
      <c r="R70" s="57"/>
      <c r="S70" s="57"/>
      <c r="T70" s="57"/>
      <c r="U70" s="57"/>
      <c r="V70" s="57"/>
      <c r="W70" s="57"/>
      <c r="X70" s="57"/>
      <c r="Y70" s="57"/>
      <c r="Z70" s="57"/>
      <c r="AA70" s="57"/>
      <c r="AB70" s="57"/>
      <c r="AC70" s="57"/>
      <c r="AD70" s="57"/>
      <c r="AE70" s="57"/>
      <c r="AF70" s="57"/>
      <c r="AG70" s="57"/>
      <c r="AH70" s="57"/>
    </row>
    <row r="71" spans="1:34" s="70" customFormat="1" ht="14" x14ac:dyDescent="0.3">
      <c r="A71" s="57"/>
      <c r="D71" s="57"/>
      <c r="M71" s="57"/>
      <c r="N71" s="57"/>
      <c r="O71" s="57"/>
      <c r="P71" s="57"/>
      <c r="Q71" s="57"/>
      <c r="R71" s="57"/>
      <c r="S71" s="57"/>
      <c r="T71" s="57"/>
      <c r="U71" s="57"/>
      <c r="V71" s="57"/>
      <c r="W71" s="57"/>
      <c r="X71" s="57"/>
      <c r="Y71" s="57"/>
      <c r="Z71" s="57"/>
      <c r="AA71" s="57"/>
      <c r="AB71" s="57"/>
      <c r="AC71" s="57"/>
      <c r="AD71" s="57"/>
      <c r="AE71" s="57"/>
      <c r="AF71" s="57"/>
      <c r="AG71" s="57"/>
      <c r="AH71" s="57"/>
    </row>
    <row r="72" spans="1:34" s="70" customFormat="1" ht="14" x14ac:dyDescent="0.3">
      <c r="A72" s="57"/>
      <c r="D72" s="57"/>
      <c r="M72" s="57"/>
      <c r="N72" s="57"/>
      <c r="O72" s="57"/>
      <c r="P72" s="57"/>
      <c r="Q72" s="57"/>
      <c r="R72" s="57"/>
      <c r="S72" s="57"/>
      <c r="T72" s="57"/>
      <c r="U72" s="57"/>
      <c r="V72" s="57"/>
      <c r="W72" s="57"/>
      <c r="X72" s="57"/>
      <c r="Y72" s="57"/>
      <c r="Z72" s="57"/>
      <c r="AA72" s="57"/>
      <c r="AB72" s="57"/>
      <c r="AC72" s="57"/>
      <c r="AD72" s="57"/>
      <c r="AE72" s="57"/>
      <c r="AF72" s="57"/>
      <c r="AG72" s="57"/>
      <c r="AH72" s="57"/>
    </row>
    <row r="73" spans="1:34" s="70" customFormat="1" ht="14" x14ac:dyDescent="0.3">
      <c r="A73" s="57"/>
      <c r="D73" s="57"/>
      <c r="M73" s="57"/>
      <c r="N73" s="57"/>
      <c r="O73" s="57"/>
      <c r="P73" s="57"/>
      <c r="Q73" s="57"/>
      <c r="R73" s="57"/>
      <c r="S73" s="57"/>
      <c r="T73" s="57"/>
      <c r="U73" s="57"/>
      <c r="V73" s="57"/>
      <c r="W73" s="57"/>
      <c r="X73" s="57"/>
      <c r="Y73" s="57"/>
      <c r="Z73" s="57"/>
      <c r="AA73" s="57"/>
      <c r="AB73" s="57"/>
      <c r="AC73" s="57"/>
      <c r="AD73" s="57"/>
      <c r="AE73" s="57"/>
      <c r="AF73" s="57"/>
      <c r="AG73" s="57"/>
      <c r="AH73" s="57"/>
    </row>
    <row r="74" spans="1:34" s="70" customFormat="1" ht="14" x14ac:dyDescent="0.3">
      <c r="A74" s="57"/>
      <c r="D74" s="57"/>
      <c r="M74" s="57"/>
      <c r="N74" s="57"/>
      <c r="O74" s="57"/>
      <c r="P74" s="57"/>
      <c r="Q74" s="57"/>
      <c r="R74" s="57"/>
      <c r="S74" s="57"/>
      <c r="T74" s="57"/>
      <c r="U74" s="57"/>
      <c r="V74" s="57"/>
      <c r="W74" s="57"/>
      <c r="X74" s="57"/>
      <c r="Y74" s="57"/>
      <c r="Z74" s="57"/>
      <c r="AA74" s="57"/>
      <c r="AB74" s="57"/>
      <c r="AC74" s="57"/>
      <c r="AD74" s="57"/>
      <c r="AE74" s="57"/>
      <c r="AF74" s="57"/>
      <c r="AG74" s="57"/>
      <c r="AH74" s="57"/>
    </row>
    <row r="75" spans="1:34" s="70" customFormat="1" ht="14" x14ac:dyDescent="0.3">
      <c r="A75" s="57"/>
      <c r="D75" s="57"/>
      <c r="M75" s="57"/>
      <c r="N75" s="57"/>
      <c r="O75" s="57"/>
      <c r="P75" s="57"/>
      <c r="Q75" s="57"/>
      <c r="R75" s="57"/>
      <c r="S75" s="57"/>
      <c r="T75" s="57"/>
      <c r="U75" s="57"/>
      <c r="V75" s="57"/>
      <c r="W75" s="57"/>
      <c r="X75" s="57"/>
      <c r="Y75" s="57"/>
      <c r="Z75" s="57"/>
      <c r="AA75" s="57"/>
      <c r="AB75" s="57"/>
      <c r="AC75" s="57"/>
      <c r="AD75" s="57"/>
      <c r="AE75" s="57"/>
      <c r="AF75" s="57"/>
      <c r="AG75" s="57"/>
      <c r="AH75" s="57"/>
    </row>
    <row r="76" spans="1:34" s="70" customFormat="1" ht="14" x14ac:dyDescent="0.3">
      <c r="A76" s="57"/>
      <c r="D76" s="57"/>
      <c r="M76" s="57"/>
      <c r="N76" s="57"/>
      <c r="O76" s="57"/>
      <c r="P76" s="57"/>
      <c r="Q76" s="57"/>
      <c r="R76" s="57"/>
      <c r="S76" s="57"/>
      <c r="T76" s="57"/>
      <c r="U76" s="57"/>
      <c r="V76" s="57"/>
      <c r="W76" s="57"/>
      <c r="X76" s="57"/>
      <c r="Y76" s="57"/>
      <c r="Z76" s="57"/>
      <c r="AA76" s="57"/>
      <c r="AB76" s="57"/>
      <c r="AC76" s="57"/>
      <c r="AD76" s="57"/>
      <c r="AE76" s="57"/>
      <c r="AF76" s="57"/>
      <c r="AG76" s="57"/>
      <c r="AH76" s="57"/>
    </row>
    <row r="77" spans="1:34" s="70" customFormat="1" ht="14" x14ac:dyDescent="0.3">
      <c r="A77" s="57"/>
      <c r="D77" s="57"/>
      <c r="M77" s="57"/>
      <c r="N77" s="57"/>
      <c r="O77" s="57"/>
      <c r="P77" s="57"/>
      <c r="Q77" s="57"/>
      <c r="R77" s="57"/>
      <c r="S77" s="57"/>
      <c r="T77" s="57"/>
      <c r="U77" s="57"/>
      <c r="V77" s="57"/>
      <c r="W77" s="57"/>
      <c r="X77" s="57"/>
      <c r="Y77" s="57"/>
      <c r="Z77" s="57"/>
      <c r="AA77" s="57"/>
      <c r="AB77" s="57"/>
      <c r="AC77" s="57"/>
      <c r="AD77" s="57"/>
      <c r="AE77" s="57"/>
      <c r="AF77" s="57"/>
      <c r="AG77" s="57"/>
      <c r="AH77" s="57"/>
    </row>
    <row r="78" spans="1:34" s="70" customFormat="1" ht="14" x14ac:dyDescent="0.3">
      <c r="A78" s="57"/>
      <c r="D78" s="57"/>
      <c r="M78" s="57"/>
      <c r="N78" s="57"/>
      <c r="O78" s="57"/>
      <c r="P78" s="57"/>
      <c r="Q78" s="57"/>
      <c r="R78" s="57"/>
      <c r="S78" s="57"/>
      <c r="T78" s="57"/>
      <c r="U78" s="57"/>
      <c r="V78" s="57"/>
      <c r="W78" s="57"/>
      <c r="X78" s="57"/>
      <c r="Y78" s="57"/>
      <c r="Z78" s="57"/>
      <c r="AA78" s="57"/>
      <c r="AB78" s="57"/>
      <c r="AC78" s="57"/>
      <c r="AD78" s="57"/>
      <c r="AE78" s="57"/>
      <c r="AF78" s="57"/>
      <c r="AG78" s="57"/>
      <c r="AH78" s="57"/>
    </row>
    <row r="79" spans="1:34" s="70" customFormat="1" ht="14" x14ac:dyDescent="0.3">
      <c r="A79" s="57"/>
      <c r="D79" s="57"/>
      <c r="M79" s="57"/>
      <c r="N79" s="57"/>
      <c r="O79" s="57"/>
      <c r="P79" s="57"/>
      <c r="Q79" s="57"/>
      <c r="R79" s="57"/>
      <c r="S79" s="57"/>
      <c r="T79" s="57"/>
      <c r="U79" s="57"/>
      <c r="V79" s="57"/>
      <c r="W79" s="57"/>
      <c r="X79" s="57"/>
      <c r="Y79" s="57"/>
      <c r="Z79" s="57"/>
      <c r="AA79" s="57"/>
      <c r="AB79" s="57"/>
      <c r="AC79" s="57"/>
      <c r="AD79" s="57"/>
      <c r="AE79" s="57"/>
      <c r="AF79" s="57"/>
      <c r="AG79" s="57"/>
      <c r="AH79" s="57"/>
    </row>
    <row r="80" spans="1:34" s="70" customFormat="1" ht="14" x14ac:dyDescent="0.3">
      <c r="A80" s="57"/>
      <c r="D80" s="57"/>
      <c r="M80" s="57"/>
      <c r="N80" s="57"/>
      <c r="O80" s="57"/>
      <c r="P80" s="57"/>
      <c r="Q80" s="57"/>
      <c r="R80" s="57"/>
      <c r="S80" s="57"/>
      <c r="T80" s="57"/>
      <c r="U80" s="57"/>
      <c r="V80" s="57"/>
      <c r="W80" s="57"/>
      <c r="X80" s="57"/>
      <c r="Y80" s="57"/>
      <c r="Z80" s="57"/>
      <c r="AA80" s="57"/>
      <c r="AB80" s="57"/>
      <c r="AC80" s="57"/>
      <c r="AD80" s="57"/>
      <c r="AE80" s="57"/>
      <c r="AF80" s="57"/>
      <c r="AG80" s="57"/>
      <c r="AH80" s="57"/>
    </row>
    <row r="81" spans="1:34" s="70" customFormat="1" ht="14" x14ac:dyDescent="0.3">
      <c r="A81" s="57"/>
      <c r="D81" s="57"/>
      <c r="M81" s="57"/>
      <c r="N81" s="57"/>
      <c r="O81" s="57"/>
      <c r="P81" s="57"/>
      <c r="Q81" s="57"/>
      <c r="R81" s="57"/>
      <c r="S81" s="57"/>
      <c r="T81" s="57"/>
      <c r="U81" s="57"/>
      <c r="V81" s="57"/>
      <c r="W81" s="57"/>
      <c r="X81" s="57"/>
      <c r="Y81" s="57"/>
      <c r="Z81" s="57"/>
      <c r="AA81" s="57"/>
      <c r="AB81" s="57"/>
      <c r="AC81" s="57"/>
      <c r="AD81" s="57"/>
      <c r="AE81" s="57"/>
      <c r="AF81" s="57"/>
      <c r="AG81" s="57"/>
      <c r="AH81" s="57"/>
    </row>
    <row r="82" spans="1:34" s="70" customFormat="1" ht="14" x14ac:dyDescent="0.3">
      <c r="A82" s="57"/>
      <c r="D82" s="57"/>
      <c r="M82" s="57"/>
      <c r="N82" s="57"/>
      <c r="O82" s="57"/>
      <c r="P82" s="57"/>
      <c r="Q82" s="57"/>
      <c r="R82" s="57"/>
      <c r="S82" s="57"/>
      <c r="T82" s="57"/>
      <c r="U82" s="57"/>
      <c r="V82" s="57"/>
      <c r="W82" s="57"/>
      <c r="X82" s="57"/>
      <c r="Y82" s="57"/>
      <c r="Z82" s="57"/>
      <c r="AA82" s="57"/>
      <c r="AB82" s="57"/>
      <c r="AC82" s="57"/>
      <c r="AD82" s="57"/>
      <c r="AE82" s="57"/>
      <c r="AF82" s="57"/>
      <c r="AG82" s="57"/>
      <c r="AH82" s="57"/>
    </row>
    <row r="83" spans="1:34" s="70" customFormat="1" ht="14" x14ac:dyDescent="0.3">
      <c r="A83" s="57"/>
      <c r="D83" s="57"/>
      <c r="M83" s="57"/>
      <c r="N83" s="57"/>
      <c r="O83" s="57"/>
      <c r="P83" s="57"/>
      <c r="Q83" s="57"/>
      <c r="R83" s="57"/>
      <c r="S83" s="57"/>
      <c r="T83" s="57"/>
      <c r="U83" s="57"/>
      <c r="V83" s="57"/>
      <c r="W83" s="57"/>
      <c r="X83" s="57"/>
      <c r="Y83" s="57"/>
      <c r="Z83" s="57"/>
      <c r="AA83" s="57"/>
      <c r="AB83" s="57"/>
      <c r="AC83" s="57"/>
      <c r="AD83" s="57"/>
      <c r="AE83" s="57"/>
      <c r="AF83" s="57"/>
      <c r="AG83" s="57"/>
      <c r="AH83" s="57"/>
    </row>
    <row r="84" spans="1:34" s="70" customFormat="1" ht="14" x14ac:dyDescent="0.3">
      <c r="A84" s="57"/>
      <c r="D84" s="57"/>
      <c r="M84" s="57"/>
      <c r="N84" s="57"/>
      <c r="O84" s="57"/>
      <c r="P84" s="57"/>
      <c r="Q84" s="57"/>
      <c r="R84" s="57"/>
      <c r="S84" s="57"/>
      <c r="T84" s="57"/>
      <c r="U84" s="57"/>
      <c r="V84" s="57"/>
      <c r="W84" s="57"/>
      <c r="X84" s="57"/>
      <c r="Y84" s="57"/>
      <c r="Z84" s="57"/>
      <c r="AA84" s="57"/>
      <c r="AB84" s="57"/>
      <c r="AC84" s="57"/>
      <c r="AD84" s="57"/>
      <c r="AE84" s="57"/>
      <c r="AF84" s="57"/>
      <c r="AG84" s="57"/>
      <c r="AH84" s="57"/>
    </row>
    <row r="85" spans="1:34" s="70" customFormat="1" ht="14" x14ac:dyDescent="0.3">
      <c r="A85" s="57"/>
      <c r="D85" s="57"/>
      <c r="M85" s="57"/>
      <c r="N85" s="57"/>
      <c r="O85" s="57"/>
      <c r="P85" s="57"/>
      <c r="Q85" s="57"/>
      <c r="R85" s="57"/>
      <c r="S85" s="57"/>
      <c r="T85" s="57"/>
      <c r="U85" s="57"/>
      <c r="V85" s="57"/>
      <c r="W85" s="57"/>
      <c r="X85" s="57"/>
      <c r="Y85" s="57"/>
      <c r="Z85" s="57"/>
      <c r="AA85" s="57"/>
      <c r="AB85" s="57"/>
      <c r="AC85" s="57"/>
      <c r="AD85" s="57"/>
      <c r="AE85" s="57"/>
      <c r="AF85" s="57"/>
      <c r="AG85" s="57"/>
      <c r="AH85" s="57"/>
    </row>
    <row r="86" spans="1:34" s="70" customFormat="1" ht="14" x14ac:dyDescent="0.3">
      <c r="A86" s="57"/>
      <c r="B86" s="71"/>
      <c r="C86" s="71"/>
      <c r="D86" s="57"/>
      <c r="M86" s="57"/>
      <c r="N86" s="57"/>
      <c r="O86" s="57"/>
      <c r="P86" s="57"/>
      <c r="Q86" s="57"/>
      <c r="R86" s="57"/>
      <c r="S86" s="57"/>
      <c r="T86" s="57"/>
      <c r="U86" s="57"/>
      <c r="V86" s="57"/>
      <c r="W86" s="57"/>
      <c r="X86" s="57"/>
      <c r="Y86" s="57"/>
      <c r="Z86" s="57"/>
      <c r="AA86" s="57"/>
      <c r="AB86" s="57"/>
      <c r="AC86" s="57"/>
      <c r="AD86" s="57"/>
      <c r="AE86" s="57"/>
      <c r="AF86" s="57"/>
      <c r="AG86" s="57"/>
      <c r="AH86" s="57"/>
    </row>
    <row r="87" spans="1:34" ht="14" x14ac:dyDescent="0.3"/>
    <row r="88" spans="1:34" ht="14" x14ac:dyDescent="0.3"/>
  </sheetData>
  <sheetProtection algorithmName="SHA-512" hashValue="syLd4HDvNTJ3CRx8pt2/zsEsvIDmP1FTULb6w/f9vl4SauwYn6BRQfp5OYLiMwM4TknadvHWngjJjMJVw+6oxQ==" saltValue="EfYxObZdnTAkoi6nshu5cw==" spinCount="100000" sheet="1" objects="1" scenarios="1" formatColumns="0"/>
  <mergeCells count="6">
    <mergeCell ref="E20:F34"/>
    <mergeCell ref="E6:E7"/>
    <mergeCell ref="F6:F7"/>
    <mergeCell ref="L6:L7"/>
    <mergeCell ref="K6:K7"/>
    <mergeCell ref="G6:J6"/>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400-000002000000}">
          <x14:formula1>
            <xm:f>Calculations!$B$69:$B$72</xm:f>
          </x14:formula1>
          <xm:sqref>C12</xm:sqref>
        </x14:dataValidation>
        <x14:dataValidation type="list" allowBlank="1" showInputMessage="1" showErrorMessage="1" xr:uid="{C7771546-A49F-4AAD-9508-AFB4EE764237}">
          <x14:formula1>
            <xm:f>Calculations!$F$11:$F$13</xm:f>
          </x14:formula1>
          <xm:sqref>C18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5"/>
    <pageSetUpPr fitToPage="1"/>
  </sheetPr>
  <dimension ref="A1:U401"/>
  <sheetViews>
    <sheetView topLeftCell="C1" zoomScaleNormal="100" zoomScaleSheetLayoutView="90" workbookViewId="0">
      <selection activeCell="F4" sqref="F4"/>
    </sheetView>
  </sheetViews>
  <sheetFormatPr defaultColWidth="0" defaultRowHeight="13.4" customHeight="1" zeroHeight="1" x14ac:dyDescent="0.3"/>
  <cols>
    <col min="1" max="2" width="7.83203125" style="114" hidden="1" customWidth="1"/>
    <col min="3" max="3" width="2.08203125" style="114" customWidth="1"/>
    <col min="4" max="4" width="25.58203125" style="130" customWidth="1"/>
    <col min="5" max="5" width="35.58203125" style="131" customWidth="1"/>
    <col min="6" max="6" width="5" style="111" customWidth="1"/>
    <col min="7" max="7" width="11.83203125" style="130" bestFit="1" customWidth="1"/>
    <col min="8" max="8" width="10.58203125" style="132" bestFit="1" customWidth="1"/>
    <col min="9" max="10" width="10.58203125" style="133" customWidth="1"/>
    <col min="11" max="11" width="10.58203125" style="132" customWidth="1"/>
    <col min="12" max="12" width="10.58203125" style="134" customWidth="1"/>
    <col min="13" max="13" width="2.08203125" style="131" customWidth="1"/>
    <col min="14" max="14" width="38.08203125" style="114" hidden="1" customWidth="1"/>
    <col min="15" max="15" width="8.58203125" style="135" hidden="1" customWidth="1"/>
    <col min="16" max="16384" width="8.58203125" style="114" hidden="1"/>
  </cols>
  <sheetData>
    <row r="1" spans="4:15" s="86" customFormat="1" ht="14.5" x14ac:dyDescent="0.3">
      <c r="D1" s="80"/>
      <c r="E1" s="81"/>
      <c r="F1" s="82"/>
      <c r="G1" s="80"/>
      <c r="H1" s="83"/>
      <c r="I1" s="84"/>
      <c r="J1" s="84"/>
      <c r="K1" s="83"/>
      <c r="L1" s="85"/>
      <c r="M1" s="81"/>
      <c r="O1" s="87"/>
    </row>
    <row r="2" spans="4:15" s="88" customFormat="1" ht="28.4" customHeight="1" x14ac:dyDescent="0.3">
      <c r="D2" s="434" t="s">
        <v>369</v>
      </c>
      <c r="E2" s="434"/>
      <c r="F2" s="434"/>
      <c r="G2" s="434"/>
      <c r="H2" s="434"/>
      <c r="I2" s="434"/>
      <c r="J2" s="434"/>
      <c r="K2" s="434"/>
      <c r="L2" s="434"/>
      <c r="N2" s="89"/>
    </row>
    <row r="3" spans="4:15" s="88" customFormat="1" ht="21" x14ac:dyDescent="0.3">
      <c r="D3" s="435" t="str">
        <f>"Customer Name: "&amp;Summary!C7</f>
        <v xml:space="preserve">Customer Name: </v>
      </c>
      <c r="E3" s="435"/>
      <c r="F3" s="435"/>
      <c r="G3" s="435"/>
      <c r="H3" s="435"/>
      <c r="I3" s="435"/>
      <c r="J3" s="435"/>
      <c r="K3" s="435"/>
      <c r="L3" s="435"/>
      <c r="M3" s="90"/>
      <c r="N3" s="89"/>
    </row>
    <row r="4" spans="4:15" s="86" customFormat="1" ht="18.5" x14ac:dyDescent="0.3">
      <c r="D4" s="91" t="str">
        <f>"Prepared by: "&amp;Summary!C10</f>
        <v xml:space="preserve">Prepared by: </v>
      </c>
      <c r="E4" s="92"/>
      <c r="F4" s="93"/>
      <c r="G4" s="94"/>
      <c r="H4" s="95"/>
      <c r="I4" s="95"/>
      <c r="J4" s="94"/>
      <c r="K4" s="96"/>
      <c r="L4" s="94"/>
      <c r="N4" s="87"/>
    </row>
    <row r="5" spans="4:15" s="99" customFormat="1" ht="34.5" customHeight="1" x14ac:dyDescent="0.3">
      <c r="D5" s="97"/>
      <c r="E5" s="98"/>
      <c r="F5" s="98"/>
      <c r="G5" s="98"/>
      <c r="H5" s="98"/>
      <c r="I5" s="98"/>
      <c r="J5" s="98"/>
      <c r="K5" s="98"/>
      <c r="L5" s="98"/>
      <c r="N5" s="100"/>
    </row>
    <row r="6" spans="4:15" s="86" customFormat="1" ht="57" customHeight="1" x14ac:dyDescent="0.3">
      <c r="D6" s="436" t="s">
        <v>370</v>
      </c>
      <c r="E6" s="436"/>
      <c r="F6" s="436" t="s">
        <v>371</v>
      </c>
      <c r="G6" s="436"/>
      <c r="H6" s="436"/>
      <c r="N6" s="87"/>
    </row>
    <row r="7" spans="4:15" s="86" customFormat="1" ht="14.5" x14ac:dyDescent="0.3">
      <c r="D7" s="98"/>
      <c r="E7" s="98"/>
      <c r="F7" s="98"/>
      <c r="G7" s="98"/>
      <c r="H7" s="98"/>
      <c r="I7" s="98"/>
      <c r="J7" s="98"/>
      <c r="K7" s="98"/>
      <c r="L7" s="98"/>
      <c r="N7" s="87"/>
    </row>
    <row r="8" spans="4:15" s="86" customFormat="1" ht="13.75" customHeight="1" x14ac:dyDescent="0.35">
      <c r="D8" s="437" t="s">
        <v>372</v>
      </c>
      <c r="E8" s="437"/>
      <c r="F8" s="101"/>
      <c r="H8" s="438" t="s">
        <v>373</v>
      </c>
      <c r="I8" s="438"/>
      <c r="J8" s="438"/>
      <c r="K8" s="438"/>
      <c r="L8" s="438"/>
    </row>
    <row r="9" spans="4:15" s="86" customFormat="1" ht="14.5" x14ac:dyDescent="0.35">
      <c r="D9" s="102" t="s">
        <v>374</v>
      </c>
      <c r="E9" s="103">
        <f>ProjectCost</f>
        <v>0</v>
      </c>
      <c r="F9" s="101"/>
      <c r="I9" s="433">
        <f>0.0008*E10</f>
        <v>0</v>
      </c>
      <c r="J9" s="431" t="s">
        <v>375</v>
      </c>
      <c r="K9" s="431"/>
      <c r="L9" s="431"/>
    </row>
    <row r="10" spans="4:15" s="86" customFormat="1" ht="14.5" x14ac:dyDescent="0.35">
      <c r="D10" s="102" t="s">
        <v>376</v>
      </c>
      <c r="E10" s="104">
        <f>SUM($I$27:$I$41)</f>
        <v>0</v>
      </c>
      <c r="F10" s="101"/>
      <c r="I10" s="433"/>
      <c r="J10" s="431"/>
      <c r="K10" s="431"/>
      <c r="L10" s="431"/>
    </row>
    <row r="11" spans="4:15" s="86" customFormat="1" ht="14.5" x14ac:dyDescent="0.35">
      <c r="D11" s="102" t="s">
        <v>377</v>
      </c>
      <c r="E11" s="103">
        <f>SUM($J$27:$J$41)</f>
        <v>0</v>
      </c>
      <c r="F11" s="101"/>
      <c r="H11" s="429"/>
      <c r="I11" s="433"/>
      <c r="J11" s="431"/>
      <c r="K11" s="431"/>
      <c r="L11" s="431"/>
    </row>
    <row r="12" spans="4:15" s="86" customFormat="1" ht="14.5" x14ac:dyDescent="0.35">
      <c r="D12" s="102" t="s">
        <v>378</v>
      </c>
      <c r="E12" s="103">
        <f>MIN(SUM(K27:K41),$E$9*0.8)</f>
        <v>0</v>
      </c>
      <c r="F12" s="101"/>
      <c r="H12" s="429"/>
      <c r="I12" s="430">
        <f>1.7*E10</f>
        <v>0</v>
      </c>
      <c r="J12" s="431" t="s">
        <v>379</v>
      </c>
      <c r="K12" s="431"/>
      <c r="L12" s="431"/>
    </row>
    <row r="13" spans="4:15" s="86" customFormat="1" ht="14.5" x14ac:dyDescent="0.35">
      <c r="D13" s="102" t="s">
        <v>380</v>
      </c>
      <c r="E13" s="103">
        <f>$E$9-$E$12</f>
        <v>0</v>
      </c>
      <c r="F13" s="101"/>
      <c r="H13" s="429"/>
      <c r="I13" s="430"/>
      <c r="J13" s="431"/>
      <c r="K13" s="431"/>
      <c r="L13" s="431"/>
    </row>
    <row r="14" spans="4:15" s="86" customFormat="1" ht="14.5" x14ac:dyDescent="0.35">
      <c r="D14" s="105" t="s">
        <v>381</v>
      </c>
      <c r="E14" s="106" t="str">
        <f>IFERROR(E13/E11,"")</f>
        <v/>
      </c>
      <c r="F14" s="101"/>
      <c r="H14" s="429"/>
      <c r="I14" s="430"/>
      <c r="J14" s="431"/>
      <c r="K14" s="431"/>
      <c r="L14" s="431"/>
    </row>
    <row r="15" spans="4:15" s="86" customFormat="1" ht="14.5" x14ac:dyDescent="0.3">
      <c r="D15" s="80"/>
      <c r="E15" s="107"/>
      <c r="F15" s="107"/>
      <c r="G15" s="107"/>
      <c r="H15" s="429"/>
      <c r="I15" s="433">
        <f>0.0002*E10</f>
        <v>0</v>
      </c>
      <c r="J15" s="431" t="s">
        <v>382</v>
      </c>
      <c r="K15" s="431"/>
      <c r="L15" s="431"/>
      <c r="M15" s="431"/>
    </row>
    <row r="16" spans="4:15" s="86" customFormat="1" ht="14.5" x14ac:dyDescent="0.3">
      <c r="D16" s="108" t="s">
        <v>383</v>
      </c>
      <c r="E16" s="108" t="s">
        <v>384</v>
      </c>
      <c r="F16" s="107"/>
      <c r="G16" s="107"/>
      <c r="H16" s="429"/>
      <c r="I16" s="433"/>
      <c r="J16" s="431"/>
      <c r="K16" s="431"/>
      <c r="L16" s="431"/>
      <c r="M16" s="431"/>
    </row>
    <row r="17" spans="1:15" s="86" customFormat="1" ht="14.5" customHeight="1" x14ac:dyDescent="0.3">
      <c r="D17" s="428">
        <f>E12</f>
        <v>0</v>
      </c>
      <c r="E17" s="428">
        <f>E21/12</f>
        <v>0</v>
      </c>
      <c r="F17" s="107"/>
      <c r="G17" s="107"/>
      <c r="H17" s="429"/>
      <c r="I17" s="433"/>
      <c r="J17" s="431"/>
      <c r="K17" s="431"/>
      <c r="L17" s="431"/>
      <c r="M17" s="431"/>
    </row>
    <row r="18" spans="1:15" s="86" customFormat="1" ht="14.5" customHeight="1" x14ac:dyDescent="0.3">
      <c r="D18" s="428"/>
      <c r="E18" s="428"/>
      <c r="F18" s="107"/>
      <c r="G18" s="107"/>
      <c r="H18" s="429"/>
      <c r="I18" s="430">
        <f>0.08*E10</f>
        <v>0</v>
      </c>
      <c r="J18" s="431" t="s">
        <v>385</v>
      </c>
      <c r="K18" s="431"/>
      <c r="L18" s="431"/>
    </row>
    <row r="19" spans="1:15" s="86" customFormat="1" ht="14.5" x14ac:dyDescent="0.3">
      <c r="D19" s="109" t="s">
        <v>386</v>
      </c>
      <c r="E19" s="109" t="s">
        <v>387</v>
      </c>
      <c r="F19" s="107"/>
      <c r="G19" s="107"/>
      <c r="H19" s="429"/>
      <c r="I19" s="430"/>
      <c r="J19" s="431"/>
      <c r="K19" s="431"/>
      <c r="L19" s="431"/>
    </row>
    <row r="20" spans="1:15" s="86" customFormat="1" ht="14.5" x14ac:dyDescent="0.3">
      <c r="D20" s="80"/>
      <c r="E20" s="107"/>
      <c r="F20" s="107"/>
      <c r="G20" s="107"/>
      <c r="H20" s="429"/>
      <c r="I20" s="430"/>
      <c r="J20" s="431"/>
      <c r="K20" s="431"/>
      <c r="L20" s="431"/>
    </row>
    <row r="21" spans="1:15" s="86" customFormat="1" ht="14.5" customHeight="1" x14ac:dyDescent="0.3">
      <c r="D21" s="432">
        <f>IF(ISERROR(1/$E$14),0,1/$E$14)</f>
        <v>0</v>
      </c>
      <c r="E21" s="428">
        <f>E11</f>
        <v>0</v>
      </c>
      <c r="F21" s="107"/>
      <c r="G21" s="107"/>
      <c r="H21" s="429"/>
      <c r="I21" s="430">
        <f>0.773*E10</f>
        <v>0</v>
      </c>
      <c r="J21" s="431" t="s">
        <v>388</v>
      </c>
      <c r="K21" s="431"/>
      <c r="L21" s="431"/>
    </row>
    <row r="22" spans="1:15" s="86" customFormat="1" ht="14.5" customHeight="1" x14ac:dyDescent="0.3">
      <c r="D22" s="432"/>
      <c r="E22" s="428"/>
      <c r="F22" s="107"/>
      <c r="G22" s="107"/>
      <c r="H22" s="429"/>
      <c r="I22" s="430"/>
      <c r="J22" s="431"/>
      <c r="K22" s="431"/>
      <c r="L22" s="431"/>
    </row>
    <row r="23" spans="1:15" s="86" customFormat="1" ht="14.5" x14ac:dyDescent="0.3">
      <c r="D23" s="109" t="s">
        <v>389</v>
      </c>
      <c r="E23" s="109" t="s">
        <v>390</v>
      </c>
      <c r="I23" s="430"/>
      <c r="J23" s="431"/>
      <c r="K23" s="431"/>
      <c r="L23" s="431"/>
      <c r="O23" s="87"/>
    </row>
    <row r="24" spans="1:15" s="86" customFormat="1" ht="14.5" x14ac:dyDescent="0.3">
      <c r="D24" s="80"/>
      <c r="E24" s="110"/>
      <c r="F24" s="111"/>
      <c r="G24" s="111"/>
      <c r="H24" s="425" t="s">
        <v>391</v>
      </c>
      <c r="I24" s="425"/>
      <c r="J24" s="425"/>
      <c r="K24" s="425"/>
      <c r="L24" s="425"/>
      <c r="M24" s="112"/>
      <c r="O24" s="87"/>
    </row>
    <row r="25" spans="1:15" s="86" customFormat="1" ht="14.5" x14ac:dyDescent="0.3">
      <c r="D25" s="80"/>
      <c r="E25" s="110"/>
      <c r="F25" s="111"/>
      <c r="G25" s="111"/>
      <c r="H25" s="113"/>
      <c r="I25" s="113"/>
      <c r="J25" s="113"/>
      <c r="K25" s="113"/>
      <c r="L25" s="113"/>
      <c r="M25" s="112"/>
      <c r="O25" s="87"/>
    </row>
    <row r="26" spans="1:15" ht="26" x14ac:dyDescent="0.35">
      <c r="A26" s="114" t="s">
        <v>392</v>
      </c>
      <c r="D26" s="115" t="s">
        <v>393</v>
      </c>
      <c r="E26" s="115" t="s">
        <v>394</v>
      </c>
      <c r="F26" s="426" t="s">
        <v>105</v>
      </c>
      <c r="G26" s="427"/>
      <c r="H26" s="116" t="s">
        <v>395</v>
      </c>
      <c r="I26" s="117" t="s">
        <v>396</v>
      </c>
      <c r="J26" s="116" t="s">
        <v>397</v>
      </c>
      <c r="K26" s="118" t="s">
        <v>398</v>
      </c>
      <c r="L26" s="119" t="s">
        <v>399</v>
      </c>
      <c r="M26" s="101"/>
      <c r="O26" s="120"/>
    </row>
    <row r="27" spans="1:15" ht="39.65" customHeight="1" x14ac:dyDescent="0.35">
      <c r="A27" s="121" t="str" cm="1">
        <f t="array" ref="A27">IFERROR(SMALL(IF('Measure List'!G$2:G$15&lt;&gt;0,'Measure List'!A$2:A$15),ROW()-26),"")</f>
        <v/>
      </c>
      <c r="B27" s="122"/>
      <c r="C27" s="122"/>
      <c r="D27" s="123" t="str" cm="1">
        <f t="array" ref="D27">IFERROR(INDEX('Measure List'!B:B,'Printable Report'!$A27),"")</f>
        <v/>
      </c>
      <c r="E27" s="124" t="str" cm="1">
        <f t="array" ref="E27">IFERROR(INDEX('Measure List'!C:C,'Printable Report'!$A27),"")</f>
        <v/>
      </c>
      <c r="F27" s="125" t="str" cm="1">
        <f t="array" ref="F27">IFERROR(INDEX('Measure List'!D:D,'Printable Report'!$A27),"")</f>
        <v/>
      </c>
      <c r="G27" s="126" t="str" cm="1">
        <f t="array" ref="G27">IFERROR(INDEX('Measure List'!E:E,'Printable Report'!$A27),"")</f>
        <v/>
      </c>
      <c r="H27" s="127" t="str" cm="1">
        <f t="array" ref="H27">IFERROR(INDEX('Measure List'!F:F,'Printable Report'!$A27),"")</f>
        <v/>
      </c>
      <c r="I27" s="128" t="str" cm="1">
        <f t="array" ref="I27">IFERROR(INDEX('Measure List'!G:G,'Printable Report'!$A27),"")</f>
        <v/>
      </c>
      <c r="J27" s="127" t="str" cm="1">
        <f t="array" ref="J27">IFERROR(INDEX('Measure List'!I:I,'Printable Report'!$A27),"")</f>
        <v/>
      </c>
      <c r="K27" s="127" t="str" cm="1">
        <f t="array" ref="K27">IFERROR(INDEX('Measure List'!J:J,'Printable Report'!$A27),"")</f>
        <v/>
      </c>
      <c r="L27" s="127" t="str" cm="1">
        <f t="array" ref="L27">IFERROR(INDEX('Measure List'!K:K,'Printable Report'!$A27),"")</f>
        <v/>
      </c>
      <c r="M27" s="101"/>
      <c r="O27" s="120"/>
    </row>
    <row r="28" spans="1:15" ht="39.65" customHeight="1" x14ac:dyDescent="0.35">
      <c r="A28" s="121" t="str" cm="1">
        <f t="array" ref="A28">IFERROR(SMALL(IF('Measure List'!G$2:G$15&lt;&gt;0,'Measure List'!A$2:A$15),ROW()-26),"")</f>
        <v/>
      </c>
      <c r="B28" s="122"/>
      <c r="C28" s="122"/>
      <c r="D28" s="123" t="str" cm="1">
        <f t="array" ref="D28">IFERROR(INDEX('Measure List'!B:B,'Printable Report'!$A28),"")</f>
        <v/>
      </c>
      <c r="E28" s="124" t="str" cm="1">
        <f t="array" ref="E28">IFERROR(INDEX('Measure List'!C:C,'Printable Report'!$A28),"")</f>
        <v/>
      </c>
      <c r="F28" s="125" t="str" cm="1">
        <f t="array" ref="F28">IFERROR(INDEX('Measure List'!D:D,'Printable Report'!$A28),"")</f>
        <v/>
      </c>
      <c r="G28" s="126" t="str" cm="1">
        <f t="array" ref="G28">IFERROR(INDEX('Measure List'!E:E,'Printable Report'!$A28),"")</f>
        <v/>
      </c>
      <c r="H28" s="127" t="str" cm="1">
        <f t="array" ref="H28">IFERROR(INDEX('Measure List'!F:F,'Printable Report'!$A28),"")</f>
        <v/>
      </c>
      <c r="I28" s="128" t="str" cm="1">
        <f t="array" ref="I28">IFERROR(INDEX('Measure List'!G:G,'Printable Report'!$A28),"")</f>
        <v/>
      </c>
      <c r="J28" s="127" t="str" cm="1">
        <f t="array" ref="J28">IFERROR(INDEX('Measure List'!I:I,'Printable Report'!$A28),"")</f>
        <v/>
      </c>
      <c r="K28" s="127" t="str" cm="1">
        <f t="array" ref="K28">IFERROR(INDEX('Measure List'!J:J,'Printable Report'!$A28),"")</f>
        <v/>
      </c>
      <c r="L28" s="127" t="str" cm="1">
        <f t="array" ref="L28">IFERROR(INDEX('Measure List'!K:K,'Printable Report'!$A28),"")</f>
        <v/>
      </c>
      <c r="M28" s="101"/>
      <c r="O28" s="120"/>
    </row>
    <row r="29" spans="1:15" ht="39.65" customHeight="1" x14ac:dyDescent="0.35">
      <c r="A29" s="121" t="str" cm="1">
        <f t="array" ref="A29">IFERROR(SMALL(IF('Measure List'!G$2:G$15&lt;&gt;0,'Measure List'!A$2:A$15),ROW()-26),"")</f>
        <v/>
      </c>
      <c r="B29" s="122"/>
      <c r="C29" s="122"/>
      <c r="D29" s="123" t="str" cm="1">
        <f t="array" ref="D29">IFERROR(INDEX('Measure List'!B:B,'Printable Report'!$A29),"")</f>
        <v/>
      </c>
      <c r="E29" s="124" t="str" cm="1">
        <f t="array" ref="E29">IFERROR(INDEX('Measure List'!C:C,'Printable Report'!$A29),"")</f>
        <v/>
      </c>
      <c r="F29" s="125" t="str" cm="1">
        <f t="array" ref="F29">IFERROR(INDEX('Measure List'!D:D,'Printable Report'!$A29),"")</f>
        <v/>
      </c>
      <c r="G29" s="126" t="str" cm="1">
        <f t="array" ref="G29">IFERROR(INDEX('Measure List'!E:E,'Printable Report'!$A29),"")</f>
        <v/>
      </c>
      <c r="H29" s="127" t="str" cm="1">
        <f t="array" ref="H29">IFERROR(INDEX('Measure List'!F:F,'Printable Report'!$A29),"")</f>
        <v/>
      </c>
      <c r="I29" s="128" t="str" cm="1">
        <f t="array" ref="I29">IFERROR(INDEX('Measure List'!G:G,'Printable Report'!$A29),"")</f>
        <v/>
      </c>
      <c r="J29" s="127" t="str" cm="1">
        <f t="array" ref="J29">IFERROR(INDEX('Measure List'!I:I,'Printable Report'!$A29),"")</f>
        <v/>
      </c>
      <c r="K29" s="127" t="str" cm="1">
        <f t="array" ref="K29">IFERROR(INDEX('Measure List'!J:J,'Printable Report'!$A29),"")</f>
        <v/>
      </c>
      <c r="L29" s="127" t="str" cm="1">
        <f t="array" ref="L29">IFERROR(INDEX('Measure List'!K:K,'Printable Report'!$A29),"")</f>
        <v/>
      </c>
      <c r="M29" s="101"/>
      <c r="O29" s="120"/>
    </row>
    <row r="30" spans="1:15" ht="39.65" customHeight="1" x14ac:dyDescent="0.35">
      <c r="A30" s="121" t="str" cm="1">
        <f t="array" ref="A30">IFERROR(SMALL(IF('Measure List'!G$2:G$15&lt;&gt;0,'Measure List'!A$2:A$15),ROW()-26),"")</f>
        <v/>
      </c>
      <c r="B30" s="122"/>
      <c r="C30" s="122"/>
      <c r="D30" s="123" t="str" cm="1">
        <f t="array" ref="D30">IFERROR(INDEX('Measure List'!B:B,'Printable Report'!$A30),"")</f>
        <v/>
      </c>
      <c r="E30" s="124" t="str" cm="1">
        <f t="array" ref="E30">IFERROR(INDEX('Measure List'!C:C,'Printable Report'!$A30),"")</f>
        <v/>
      </c>
      <c r="F30" s="125" t="str" cm="1">
        <f t="array" ref="F30">IFERROR(INDEX('Measure List'!D:D,'Printable Report'!$A30),"")</f>
        <v/>
      </c>
      <c r="G30" s="126" t="str" cm="1">
        <f t="array" ref="G30">IFERROR(INDEX('Measure List'!E:E,'Printable Report'!$A30),"")</f>
        <v/>
      </c>
      <c r="H30" s="127" t="str" cm="1">
        <f t="array" ref="H30">IFERROR(INDEX('Measure List'!F:F,'Printable Report'!$A30),"")</f>
        <v/>
      </c>
      <c r="I30" s="128" t="str" cm="1">
        <f t="array" ref="I30">IFERROR(INDEX('Measure List'!G:G,'Printable Report'!$A30),"")</f>
        <v/>
      </c>
      <c r="J30" s="127" t="str" cm="1">
        <f t="array" ref="J30">IFERROR(INDEX('Measure List'!I:I,'Printable Report'!$A30),"")</f>
        <v/>
      </c>
      <c r="K30" s="127" t="str" cm="1">
        <f t="array" ref="K30">IFERROR(INDEX('Measure List'!J:J,'Printable Report'!$A30),"")</f>
        <v/>
      </c>
      <c r="L30" s="127" t="str" cm="1">
        <f t="array" ref="L30">IFERROR(INDEX('Measure List'!K:K,'Printable Report'!$A30),"")</f>
        <v/>
      </c>
      <c r="M30" s="101"/>
      <c r="O30" s="120"/>
    </row>
    <row r="31" spans="1:15" ht="39.65" customHeight="1" x14ac:dyDescent="0.35">
      <c r="A31" s="121" t="str" cm="1">
        <f t="array" ref="A31">IFERROR(SMALL(IF('Measure List'!G$2:G$15&lt;&gt;0,'Measure List'!A$2:A$15),ROW()-26),"")</f>
        <v/>
      </c>
      <c r="B31" s="122"/>
      <c r="C31" s="122"/>
      <c r="D31" s="123" t="str" cm="1">
        <f t="array" ref="D31">IFERROR(INDEX('Measure List'!B:B,'Printable Report'!$A31),"")</f>
        <v/>
      </c>
      <c r="E31" s="124" t="str" cm="1">
        <f t="array" ref="E31">IFERROR(INDEX('Measure List'!C:C,'Printable Report'!$A31),"")</f>
        <v/>
      </c>
      <c r="F31" s="125" t="str" cm="1">
        <f t="array" ref="F31">IFERROR(INDEX('Measure List'!D:D,'Printable Report'!$A31),"")</f>
        <v/>
      </c>
      <c r="G31" s="126" t="str" cm="1">
        <f t="array" ref="G31">IFERROR(INDEX('Measure List'!E:E,'Printable Report'!$A31),"")</f>
        <v/>
      </c>
      <c r="H31" s="127" t="str" cm="1">
        <f t="array" ref="H31">IFERROR(INDEX('Measure List'!F:F,'Printable Report'!$A31),"")</f>
        <v/>
      </c>
      <c r="I31" s="128" t="str" cm="1">
        <f t="array" ref="I31">IFERROR(INDEX('Measure List'!G:G,'Printable Report'!$A31),"")</f>
        <v/>
      </c>
      <c r="J31" s="127" t="str" cm="1">
        <f t="array" ref="J31">IFERROR(INDEX('Measure List'!I:I,'Printable Report'!$A31),"")</f>
        <v/>
      </c>
      <c r="K31" s="127" t="str" cm="1">
        <f t="array" ref="K31">IFERROR(INDEX('Measure List'!J:J,'Printable Report'!$A31),"")</f>
        <v/>
      </c>
      <c r="L31" s="127" t="str" cm="1">
        <f t="array" ref="L31">IFERROR(INDEX('Measure List'!K:K,'Printable Report'!$A31),"")</f>
        <v/>
      </c>
      <c r="M31" s="101"/>
      <c r="O31" s="120"/>
    </row>
    <row r="32" spans="1:15" ht="39.65" customHeight="1" x14ac:dyDescent="0.35">
      <c r="A32" s="121" t="str" cm="1">
        <f t="array" ref="A32">IFERROR(SMALL(IF('Measure List'!G$2:G$15&lt;&gt;0,'Measure List'!A$2:A$15),ROW()-26),"")</f>
        <v/>
      </c>
      <c r="B32" s="122"/>
      <c r="C32" s="122"/>
      <c r="D32" s="123" t="str" cm="1">
        <f t="array" ref="D32">IFERROR(INDEX('Measure List'!B:B,'Printable Report'!$A32),"")</f>
        <v/>
      </c>
      <c r="E32" s="124" t="str" cm="1">
        <f t="array" ref="E32">IFERROR(INDEX('Measure List'!C:C,'Printable Report'!$A32),"")</f>
        <v/>
      </c>
      <c r="F32" s="125" t="str" cm="1">
        <f t="array" ref="F32">IFERROR(INDEX('Measure List'!D:D,'Printable Report'!$A32),"")</f>
        <v/>
      </c>
      <c r="G32" s="126" t="str" cm="1">
        <f t="array" ref="G32">IFERROR(INDEX('Measure List'!E:E,'Printable Report'!$A32),"")</f>
        <v/>
      </c>
      <c r="H32" s="127" t="str" cm="1">
        <f t="array" ref="H32">IFERROR(INDEX('Measure List'!F:F,'Printable Report'!$A32),"")</f>
        <v/>
      </c>
      <c r="I32" s="128" t="str" cm="1">
        <f t="array" ref="I32">IFERROR(INDEX('Measure List'!G:G,'Printable Report'!$A32),"")</f>
        <v/>
      </c>
      <c r="J32" s="127" t="str" cm="1">
        <f t="array" ref="J32">IFERROR(INDEX('Measure List'!I:I,'Printable Report'!$A32),"")</f>
        <v/>
      </c>
      <c r="K32" s="127" t="str" cm="1">
        <f t="array" ref="K32">IFERROR(INDEX('Measure List'!J:J,'Printable Report'!$A32),"")</f>
        <v/>
      </c>
      <c r="L32" s="127" t="str" cm="1">
        <f t="array" ref="L32">IFERROR(INDEX('Measure List'!K:K,'Printable Report'!$A32),"")</f>
        <v/>
      </c>
      <c r="M32" s="101"/>
      <c r="O32" s="120"/>
    </row>
    <row r="33" spans="1:15" ht="39.65" customHeight="1" x14ac:dyDescent="0.35">
      <c r="A33" s="121" t="str" cm="1">
        <f t="array" ref="A33">IFERROR(SMALL(IF('Measure List'!G$2:G$15&lt;&gt;0,'Measure List'!A$2:A$15),ROW()-26),"")</f>
        <v/>
      </c>
      <c r="B33" s="122"/>
      <c r="C33" s="122"/>
      <c r="D33" s="123" t="str" cm="1">
        <f t="array" ref="D33">IFERROR(INDEX('Measure List'!B:B,'Printable Report'!$A33),"")</f>
        <v/>
      </c>
      <c r="E33" s="124" t="str" cm="1">
        <f t="array" ref="E33">IFERROR(INDEX('Measure List'!C:C,'Printable Report'!$A33),"")</f>
        <v/>
      </c>
      <c r="F33" s="125" t="str" cm="1">
        <f t="array" ref="F33">IFERROR(INDEX('Measure List'!D:D,'Printable Report'!$A33),"")</f>
        <v/>
      </c>
      <c r="G33" s="126" t="str" cm="1">
        <f t="array" ref="G33">IFERROR(INDEX('Measure List'!E:E,'Printable Report'!$A33),"")</f>
        <v/>
      </c>
      <c r="H33" s="127" t="str" cm="1">
        <f t="array" ref="H33">IFERROR(INDEX('Measure List'!F:F,'Printable Report'!$A33),"")</f>
        <v/>
      </c>
      <c r="I33" s="128" t="str" cm="1">
        <f t="array" ref="I33">IFERROR(INDEX('Measure List'!G:G,'Printable Report'!$A33),"")</f>
        <v/>
      </c>
      <c r="J33" s="127" t="str" cm="1">
        <f t="array" ref="J33">IFERROR(INDEX('Measure List'!I:I,'Printable Report'!$A33),"")</f>
        <v/>
      </c>
      <c r="K33" s="127" t="str" cm="1">
        <f t="array" ref="K33">IFERROR(INDEX('Measure List'!J:J,'Printable Report'!$A33),"")</f>
        <v/>
      </c>
      <c r="L33" s="127" t="str" cm="1">
        <f t="array" ref="L33">IFERROR(INDEX('Measure List'!K:K,'Printable Report'!$A33),"")</f>
        <v/>
      </c>
      <c r="M33" s="101"/>
      <c r="O33" s="120"/>
    </row>
    <row r="34" spans="1:15" ht="39.65" customHeight="1" x14ac:dyDescent="0.35">
      <c r="A34" s="121" t="str" cm="1">
        <f t="array" ref="A34">IFERROR(SMALL(IF('Measure List'!G$2:G$15&lt;&gt;0,'Measure List'!A$2:A$15),ROW()-26),"")</f>
        <v/>
      </c>
      <c r="B34" s="122"/>
      <c r="C34" s="122"/>
      <c r="D34" s="123" t="str" cm="1">
        <f t="array" ref="D34">IFERROR(INDEX('Measure List'!B:B,'Printable Report'!$A34),"")</f>
        <v/>
      </c>
      <c r="E34" s="124" t="str" cm="1">
        <f t="array" ref="E34">IFERROR(INDEX('Measure List'!C:C,'Printable Report'!$A34),"")</f>
        <v/>
      </c>
      <c r="F34" s="125" t="str" cm="1">
        <f t="array" ref="F34">IFERROR(INDEX('Measure List'!D:D,'Printable Report'!$A34),"")</f>
        <v/>
      </c>
      <c r="G34" s="126" t="str" cm="1">
        <f t="array" ref="G34">IFERROR(INDEX('Measure List'!E:E,'Printable Report'!$A34),"")</f>
        <v/>
      </c>
      <c r="H34" s="127" t="str" cm="1">
        <f t="array" ref="H34">IFERROR(INDEX('Measure List'!F:F,'Printable Report'!$A34),"")</f>
        <v/>
      </c>
      <c r="I34" s="128" t="str" cm="1">
        <f t="array" ref="I34">IFERROR(INDEX('Measure List'!G:G,'Printable Report'!$A34),"")</f>
        <v/>
      </c>
      <c r="J34" s="127" t="str" cm="1">
        <f t="array" ref="J34">IFERROR(INDEX('Measure List'!I:I,'Printable Report'!$A34),"")</f>
        <v/>
      </c>
      <c r="K34" s="127" t="str" cm="1">
        <f t="array" ref="K34">IFERROR(INDEX('Measure List'!J:J,'Printable Report'!$A34),"")</f>
        <v/>
      </c>
      <c r="L34" s="127" t="str" cm="1">
        <f t="array" ref="L34">IFERROR(INDEX('Measure List'!K:K,'Printable Report'!$A34),"")</f>
        <v/>
      </c>
      <c r="M34" s="101"/>
      <c r="O34" s="120"/>
    </row>
    <row r="35" spans="1:15" ht="39.65" customHeight="1" x14ac:dyDescent="0.35">
      <c r="A35" s="121" t="str" cm="1">
        <f t="array" ref="A35">IFERROR(SMALL(IF('Measure List'!G$2:G$15&lt;&gt;0,'Measure List'!A$2:A$15),ROW()-26),"")</f>
        <v/>
      </c>
      <c r="B35" s="122"/>
      <c r="C35" s="122"/>
      <c r="D35" s="123" t="str" cm="1">
        <f t="array" ref="D35">IFERROR(INDEX('Measure List'!B:B,'Printable Report'!$A35),"")</f>
        <v/>
      </c>
      <c r="E35" s="124" t="str" cm="1">
        <f t="array" ref="E35">IFERROR(INDEX('Measure List'!C:C,'Printable Report'!$A35),"")</f>
        <v/>
      </c>
      <c r="F35" s="125" t="str" cm="1">
        <f t="array" ref="F35">IFERROR(INDEX('Measure List'!D:D,'Printable Report'!$A35),"")</f>
        <v/>
      </c>
      <c r="G35" s="126" t="str" cm="1">
        <f t="array" ref="G35">IFERROR(INDEX('Measure List'!E:E,'Printable Report'!$A35),"")</f>
        <v/>
      </c>
      <c r="H35" s="127" t="str" cm="1">
        <f t="array" ref="H35">IFERROR(INDEX('Measure List'!F:F,'Printable Report'!$A35),"")</f>
        <v/>
      </c>
      <c r="I35" s="128" t="str" cm="1">
        <f t="array" ref="I35">IFERROR(INDEX('Measure List'!G:G,'Printable Report'!$A35),"")</f>
        <v/>
      </c>
      <c r="J35" s="127" t="str" cm="1">
        <f t="array" ref="J35">IFERROR(INDEX('Measure List'!I:I,'Printable Report'!$A35),"")</f>
        <v/>
      </c>
      <c r="K35" s="127" t="str" cm="1">
        <f t="array" ref="K35">IFERROR(INDEX('Measure List'!J:J,'Printable Report'!$A35),"")</f>
        <v/>
      </c>
      <c r="L35" s="127" t="str" cm="1">
        <f t="array" ref="L35">IFERROR(INDEX('Measure List'!K:K,'Printable Report'!$A35),"")</f>
        <v/>
      </c>
      <c r="M35" s="101"/>
      <c r="O35" s="120"/>
    </row>
    <row r="36" spans="1:15" ht="39.65" customHeight="1" x14ac:dyDescent="0.35">
      <c r="A36" s="121" t="str" cm="1">
        <f t="array" ref="A36">IFERROR(SMALL(IF('Measure List'!G$2:G$15&lt;&gt;0,'Measure List'!A$2:A$15),ROW()-26),"")</f>
        <v/>
      </c>
      <c r="B36" s="122"/>
      <c r="C36" s="122"/>
      <c r="D36" s="123" t="str" cm="1">
        <f t="array" ref="D36">IFERROR(INDEX('Measure List'!B:B,'Printable Report'!$A36),"")</f>
        <v/>
      </c>
      <c r="E36" s="124" t="str" cm="1">
        <f t="array" ref="E36">IFERROR(INDEX('Measure List'!C:C,'Printable Report'!$A36),"")</f>
        <v/>
      </c>
      <c r="F36" s="125" t="str" cm="1">
        <f t="array" ref="F36">IFERROR(INDEX('Measure List'!D:D,'Printable Report'!$A36),"")</f>
        <v/>
      </c>
      <c r="G36" s="126" t="str" cm="1">
        <f t="array" ref="G36">IFERROR(INDEX('Measure List'!E:E,'Printable Report'!$A36),"")</f>
        <v/>
      </c>
      <c r="H36" s="127" t="str" cm="1">
        <f t="array" ref="H36">IFERROR(INDEX('Measure List'!F:F,'Printable Report'!$A36),"")</f>
        <v/>
      </c>
      <c r="I36" s="128" t="str" cm="1">
        <f t="array" ref="I36">IFERROR(INDEX('Measure List'!G:G,'Printable Report'!$A36),"")</f>
        <v/>
      </c>
      <c r="J36" s="127" t="str" cm="1">
        <f t="array" ref="J36">IFERROR(INDEX('Measure List'!I:I,'Printable Report'!$A36),"")</f>
        <v/>
      </c>
      <c r="K36" s="127" t="str" cm="1">
        <f t="array" ref="K36">IFERROR(INDEX('Measure List'!J:J,'Printable Report'!$A36),"")</f>
        <v/>
      </c>
      <c r="L36" s="127" t="str" cm="1">
        <f t="array" ref="L36">IFERROR(INDEX('Measure List'!K:K,'Printable Report'!$A36),"")</f>
        <v/>
      </c>
      <c r="M36" s="101"/>
      <c r="O36" s="120"/>
    </row>
    <row r="37" spans="1:15" ht="39.65" customHeight="1" x14ac:dyDescent="0.35">
      <c r="A37" s="121" t="str" cm="1">
        <f t="array" ref="A37">IFERROR(SMALL(IF('Measure List'!G$2:G$15&lt;&gt;0,'Measure List'!A$2:A$15),ROW()-26),"")</f>
        <v/>
      </c>
      <c r="B37" s="122"/>
      <c r="C37" s="122"/>
      <c r="D37" s="123" t="str" cm="1">
        <f t="array" ref="D37">IFERROR(INDEX('Measure List'!B:B,'Printable Report'!$A37),"")</f>
        <v/>
      </c>
      <c r="E37" s="124" t="str" cm="1">
        <f t="array" ref="E37">IFERROR(INDEX('Measure List'!C:C,'Printable Report'!$A37),"")</f>
        <v/>
      </c>
      <c r="F37" s="125" t="str" cm="1">
        <f t="array" ref="F37">IFERROR(INDEX('Measure List'!D:D,'Printable Report'!$A37),"")</f>
        <v/>
      </c>
      <c r="G37" s="126" t="str" cm="1">
        <f t="array" ref="G37">IFERROR(INDEX('Measure List'!E:E,'Printable Report'!$A37),"")</f>
        <v/>
      </c>
      <c r="H37" s="127" t="str" cm="1">
        <f t="array" ref="H37">IFERROR(INDEX('Measure List'!F:F,'Printable Report'!$A37),"")</f>
        <v/>
      </c>
      <c r="I37" s="128" t="str" cm="1">
        <f t="array" ref="I37">IFERROR(INDEX('Measure List'!G:G,'Printable Report'!$A37),"")</f>
        <v/>
      </c>
      <c r="J37" s="127" t="str" cm="1">
        <f t="array" ref="J37">IFERROR(INDEX('Measure List'!I:I,'Printable Report'!$A37),"")</f>
        <v/>
      </c>
      <c r="K37" s="127" t="str" cm="1">
        <f t="array" ref="K37">IFERROR(INDEX('Measure List'!J:J,'Printable Report'!$A37),"")</f>
        <v/>
      </c>
      <c r="L37" s="127" t="str" cm="1">
        <f t="array" ref="L37">IFERROR(INDEX('Measure List'!K:K,'Printable Report'!$A37),"")</f>
        <v/>
      </c>
      <c r="M37" s="101"/>
      <c r="O37" s="120"/>
    </row>
    <row r="38" spans="1:15" ht="39.65" customHeight="1" x14ac:dyDescent="0.35">
      <c r="A38" s="121" t="str" cm="1">
        <f t="array" ref="A38">IFERROR(SMALL(IF('Measure List'!G$2:G$15&lt;&gt;0,'Measure List'!A$2:A$15),ROW()-26),"")</f>
        <v/>
      </c>
      <c r="B38" s="122"/>
      <c r="C38" s="122"/>
      <c r="D38" s="123" t="str" cm="1">
        <f t="array" ref="D38">IFERROR(INDEX('Measure List'!B:B,'Printable Report'!$A38),"")</f>
        <v/>
      </c>
      <c r="E38" s="124" t="str" cm="1">
        <f t="array" ref="E38">IFERROR(INDEX('Measure List'!C:C,'Printable Report'!$A38),"")</f>
        <v/>
      </c>
      <c r="F38" s="125" t="str" cm="1">
        <f t="array" ref="F38">IFERROR(INDEX('Measure List'!D:D,'Printable Report'!$A38),"")</f>
        <v/>
      </c>
      <c r="G38" s="126" t="str" cm="1">
        <f t="array" ref="G38">IFERROR(INDEX('Measure List'!E:E,'Printable Report'!$A38),"")</f>
        <v/>
      </c>
      <c r="H38" s="127" t="str" cm="1">
        <f t="array" ref="H38">IFERROR(INDEX('Measure List'!F:F,'Printable Report'!$A38),"")</f>
        <v/>
      </c>
      <c r="I38" s="128" t="str" cm="1">
        <f t="array" ref="I38">IFERROR(INDEX('Measure List'!G:G,'Printable Report'!$A38),"")</f>
        <v/>
      </c>
      <c r="J38" s="127" t="str" cm="1">
        <f t="array" ref="J38">IFERROR(INDEX('Measure List'!I:I,'Printable Report'!$A38),"")</f>
        <v/>
      </c>
      <c r="K38" s="127" t="str" cm="1">
        <f t="array" ref="K38">IFERROR(INDEX('Measure List'!J:J,'Printable Report'!$A38),"")</f>
        <v/>
      </c>
      <c r="L38" s="127" t="str" cm="1">
        <f t="array" ref="L38">IFERROR(INDEX('Measure List'!K:K,'Printable Report'!$A38),"")</f>
        <v/>
      </c>
      <c r="M38" s="101"/>
      <c r="O38" s="120"/>
    </row>
    <row r="39" spans="1:15" ht="39.65" customHeight="1" x14ac:dyDescent="0.35">
      <c r="A39" s="121" t="str" cm="1">
        <f t="array" ref="A39">IFERROR(SMALL(IF('Measure List'!G$2:G$15&lt;&gt;0,'Measure List'!A$2:A$15),ROW()-26),"")</f>
        <v/>
      </c>
      <c r="B39" s="122"/>
      <c r="C39" s="122"/>
      <c r="D39" s="123" t="str" cm="1">
        <f t="array" ref="D39">IFERROR(INDEX('Measure List'!B:B,'Printable Report'!$A39),"")</f>
        <v/>
      </c>
      <c r="E39" s="124" t="str" cm="1">
        <f t="array" ref="E39">IFERROR(INDEX('Measure List'!C:C,'Printable Report'!$A39),"")</f>
        <v/>
      </c>
      <c r="F39" s="125" t="str" cm="1">
        <f t="array" ref="F39">IFERROR(INDEX('Measure List'!D:D,'Printable Report'!$A39),"")</f>
        <v/>
      </c>
      <c r="G39" s="126" t="str" cm="1">
        <f t="array" ref="G39">IFERROR(INDEX('Measure List'!E:E,'Printable Report'!$A39),"")</f>
        <v/>
      </c>
      <c r="H39" s="127" t="str" cm="1">
        <f t="array" ref="H39">IFERROR(INDEX('Measure List'!F:F,'Printable Report'!$A39),"")</f>
        <v/>
      </c>
      <c r="I39" s="128" t="str" cm="1">
        <f t="array" ref="I39">IFERROR(INDEX('Measure List'!G:G,'Printable Report'!$A39),"")</f>
        <v/>
      </c>
      <c r="J39" s="127" t="str" cm="1">
        <f t="array" ref="J39">IFERROR(INDEX('Measure List'!I:I,'Printable Report'!$A39),"")</f>
        <v/>
      </c>
      <c r="K39" s="127" t="str" cm="1">
        <f t="array" ref="K39">IFERROR(INDEX('Measure List'!J:J,'Printable Report'!$A39),"")</f>
        <v/>
      </c>
      <c r="L39" s="127" t="str" cm="1">
        <f t="array" ref="L39">IFERROR(INDEX('Measure List'!K:K,'Printable Report'!$A39),"")</f>
        <v/>
      </c>
      <c r="M39" s="101"/>
      <c r="O39" s="120"/>
    </row>
    <row r="40" spans="1:15" ht="39.65" customHeight="1" x14ac:dyDescent="0.35">
      <c r="A40" s="121" t="str" cm="1">
        <f t="array" ref="A40">IFERROR(SMALL(IF('Measure List'!G$2:G$15&lt;&gt;0,'Measure List'!A$2:A$15),ROW()-26),"")</f>
        <v/>
      </c>
      <c r="B40" s="122"/>
      <c r="C40" s="122"/>
      <c r="D40" s="123" t="str" cm="1">
        <f t="array" ref="D40">IFERROR(INDEX('Measure List'!B:B,'Printable Report'!$A40),"")</f>
        <v/>
      </c>
      <c r="E40" s="124" t="str" cm="1">
        <f t="array" ref="E40">IFERROR(INDEX('Measure List'!C:C,'Printable Report'!$A40),"")</f>
        <v/>
      </c>
      <c r="F40" s="125" t="str" cm="1">
        <f t="array" ref="F40">IFERROR(INDEX('Measure List'!D:D,'Printable Report'!$A40),"")</f>
        <v/>
      </c>
      <c r="G40" s="126" t="str" cm="1">
        <f t="array" ref="G40">IFERROR(INDEX('Measure List'!E:E,'Printable Report'!$A40),"")</f>
        <v/>
      </c>
      <c r="H40" s="127" t="str" cm="1">
        <f t="array" ref="H40">IFERROR(INDEX('Measure List'!F:F,'Printable Report'!$A40),"")</f>
        <v/>
      </c>
      <c r="I40" s="128" t="str" cm="1">
        <f t="array" ref="I40">IFERROR(INDEX('Measure List'!G:G,'Printable Report'!$A40),"")</f>
        <v/>
      </c>
      <c r="J40" s="127" t="str" cm="1">
        <f t="array" ref="J40">IFERROR(INDEX('Measure List'!I:I,'Printable Report'!$A40),"")</f>
        <v/>
      </c>
      <c r="K40" s="127" t="str" cm="1">
        <f t="array" ref="K40">IFERROR(INDEX('Measure List'!J:J,'Printable Report'!$A40),"")</f>
        <v/>
      </c>
      <c r="L40" s="127" t="str" cm="1">
        <f t="array" ref="L40">IFERROR(INDEX('Measure List'!K:K,'Printable Report'!$A40),"")</f>
        <v/>
      </c>
      <c r="M40" s="101"/>
      <c r="O40" s="120"/>
    </row>
    <row r="41" spans="1:15" ht="39.65" customHeight="1" x14ac:dyDescent="0.35">
      <c r="A41" s="121" t="str" cm="1">
        <f t="array" ref="A41">IFERROR(SMALL(IF('Measure List'!G$2:G$15&lt;&gt;0,'Measure List'!A$2:A$15),ROW()-26),"")</f>
        <v/>
      </c>
      <c r="B41" s="122"/>
      <c r="C41" s="122"/>
      <c r="D41" s="123" t="str" cm="1">
        <f t="array" ref="D41">IFERROR(INDEX('Measure List'!B:B,'Printable Report'!$A41),"")</f>
        <v/>
      </c>
      <c r="E41" s="124" t="str" cm="1">
        <f t="array" ref="E41">IFERROR(INDEX('Measure List'!C:C,'Printable Report'!$A41),"")</f>
        <v/>
      </c>
      <c r="F41" s="125" t="str" cm="1">
        <f t="array" ref="F41">IFERROR(INDEX('Measure List'!D:D,'Printable Report'!$A41),"")</f>
        <v/>
      </c>
      <c r="G41" s="126" t="str" cm="1">
        <f t="array" ref="G41">IFERROR(INDEX('Measure List'!E:E,'Printable Report'!$A41),"")</f>
        <v/>
      </c>
      <c r="H41" s="127" t="str" cm="1">
        <f t="array" ref="H41">IFERROR(INDEX('Measure List'!F:F,'Printable Report'!$A41),"")</f>
        <v/>
      </c>
      <c r="I41" s="128" t="str" cm="1">
        <f t="array" ref="I41">IFERROR(INDEX('Measure List'!G:G,'Printable Report'!$A41),"")</f>
        <v/>
      </c>
      <c r="J41" s="127" t="str" cm="1">
        <f t="array" ref="J41">IFERROR(INDEX('Measure List'!I:I,'Printable Report'!$A41),"")</f>
        <v/>
      </c>
      <c r="K41" s="127" t="str" cm="1">
        <f t="array" ref="K41">IFERROR(INDEX('Measure List'!J:J,'Printable Report'!$A41),"")</f>
        <v/>
      </c>
      <c r="L41" s="127" t="str" cm="1">
        <f t="array" ref="L41">IFERROR(INDEX('Measure List'!K:K,'Printable Report'!$A41),"")</f>
        <v/>
      </c>
      <c r="M41" s="101"/>
      <c r="O41" s="120"/>
    </row>
    <row r="42" spans="1:15" ht="14.5" hidden="1" x14ac:dyDescent="0.35">
      <c r="M42" s="129"/>
    </row>
    <row r="43" spans="1:15" ht="14.5" hidden="1" x14ac:dyDescent="0.35">
      <c r="M43" s="129"/>
    </row>
    <row r="44" spans="1:15" ht="13" hidden="1" x14ac:dyDescent="0.3"/>
    <row r="45" spans="1:15" ht="13" hidden="1" x14ac:dyDescent="0.3"/>
    <row r="46" spans="1:15" ht="13" hidden="1" x14ac:dyDescent="0.3"/>
    <row r="47" spans="1:15" ht="13" hidden="1" x14ac:dyDescent="0.3"/>
    <row r="48" spans="1:15" ht="13" hidden="1" x14ac:dyDescent="0.3"/>
    <row r="49" spans="5:21" ht="13" hidden="1" x14ac:dyDescent="0.3"/>
    <row r="50" spans="5:21" ht="13" hidden="1" x14ac:dyDescent="0.3"/>
    <row r="51" spans="5:21" ht="13" hidden="1" x14ac:dyDescent="0.3"/>
    <row r="52" spans="5:21" ht="13" hidden="1" x14ac:dyDescent="0.3"/>
    <row r="53" spans="5:21" ht="13" hidden="1" x14ac:dyDescent="0.3"/>
    <row r="54" spans="5:21" ht="13" hidden="1" x14ac:dyDescent="0.3"/>
    <row r="55" spans="5:21" ht="13" hidden="1" x14ac:dyDescent="0.3"/>
    <row r="56" spans="5:21" ht="13" hidden="1" x14ac:dyDescent="0.3"/>
    <row r="57" spans="5:21" ht="13" hidden="1" x14ac:dyDescent="0.3"/>
    <row r="58" spans="5:21" ht="13" hidden="1" x14ac:dyDescent="0.3"/>
    <row r="59" spans="5:21" s="130" customFormat="1" ht="13" hidden="1" x14ac:dyDescent="0.3">
      <c r="E59" s="131"/>
      <c r="F59" s="111"/>
      <c r="H59" s="132"/>
      <c r="I59" s="133"/>
      <c r="J59" s="133"/>
      <c r="K59" s="132"/>
      <c r="L59" s="134"/>
      <c r="M59" s="131"/>
      <c r="N59" s="114"/>
      <c r="O59" s="135"/>
      <c r="P59" s="114"/>
      <c r="Q59" s="114"/>
      <c r="R59" s="114"/>
      <c r="S59" s="114"/>
      <c r="T59" s="114"/>
      <c r="U59" s="114"/>
    </row>
    <row r="60" spans="5:21" s="130" customFormat="1" ht="13" hidden="1" x14ac:dyDescent="0.3">
      <c r="E60" s="131"/>
      <c r="F60" s="111"/>
      <c r="H60" s="132"/>
      <c r="I60" s="133"/>
      <c r="J60" s="133"/>
      <c r="K60" s="132"/>
      <c r="L60" s="134"/>
      <c r="M60" s="131"/>
      <c r="N60" s="114"/>
      <c r="O60" s="135"/>
      <c r="P60" s="114"/>
      <c r="Q60" s="114"/>
      <c r="R60" s="114"/>
      <c r="S60" s="114"/>
      <c r="T60" s="114"/>
      <c r="U60" s="114"/>
    </row>
    <row r="61" spans="5:21" s="130" customFormat="1" ht="13" hidden="1" x14ac:dyDescent="0.3">
      <c r="E61" s="131"/>
      <c r="F61" s="111"/>
      <c r="H61" s="132"/>
      <c r="I61" s="133"/>
      <c r="J61" s="133"/>
      <c r="K61" s="132"/>
      <c r="L61" s="134"/>
      <c r="M61" s="131"/>
      <c r="N61" s="114"/>
      <c r="O61" s="135"/>
      <c r="P61" s="114"/>
      <c r="Q61" s="114"/>
      <c r="R61" s="114"/>
      <c r="S61" s="114"/>
      <c r="T61" s="114"/>
      <c r="U61" s="114"/>
    </row>
    <row r="62" spans="5:21" s="130" customFormat="1" ht="13" hidden="1" x14ac:dyDescent="0.3">
      <c r="E62" s="131"/>
      <c r="F62" s="111"/>
      <c r="H62" s="132"/>
      <c r="I62" s="133"/>
      <c r="J62" s="133"/>
      <c r="K62" s="132"/>
      <c r="L62" s="134"/>
      <c r="M62" s="131"/>
      <c r="N62" s="114"/>
      <c r="O62" s="135"/>
      <c r="P62" s="114"/>
      <c r="Q62" s="114"/>
      <c r="R62" s="114"/>
      <c r="S62" s="114"/>
      <c r="T62" s="114"/>
      <c r="U62" s="114"/>
    </row>
    <row r="63" spans="5:21" s="130" customFormat="1" ht="13" hidden="1" x14ac:dyDescent="0.3">
      <c r="E63" s="131"/>
      <c r="F63" s="111"/>
      <c r="H63" s="132"/>
      <c r="I63" s="133"/>
      <c r="J63" s="133"/>
      <c r="K63" s="132"/>
      <c r="L63" s="134"/>
      <c r="M63" s="131"/>
      <c r="N63" s="114"/>
      <c r="O63" s="135"/>
      <c r="P63" s="114"/>
      <c r="Q63" s="114"/>
      <c r="R63" s="114"/>
      <c r="S63" s="114"/>
      <c r="T63" s="114"/>
      <c r="U63" s="114"/>
    </row>
    <row r="64" spans="5:21" s="130" customFormat="1" ht="13" hidden="1" x14ac:dyDescent="0.3">
      <c r="E64" s="131"/>
      <c r="F64" s="111"/>
      <c r="H64" s="132"/>
      <c r="I64" s="133"/>
      <c r="J64" s="133"/>
      <c r="K64" s="132"/>
      <c r="L64" s="134"/>
      <c r="M64" s="131"/>
      <c r="N64" s="114"/>
      <c r="O64" s="135"/>
      <c r="P64" s="114"/>
      <c r="Q64" s="114"/>
      <c r="R64" s="114"/>
      <c r="S64" s="114"/>
      <c r="T64" s="114"/>
      <c r="U64" s="114"/>
    </row>
    <row r="65" spans="5:21" s="130" customFormat="1" ht="13" hidden="1" x14ac:dyDescent="0.3">
      <c r="E65" s="131"/>
      <c r="F65" s="111"/>
      <c r="H65" s="132"/>
      <c r="I65" s="133"/>
      <c r="J65" s="133"/>
      <c r="K65" s="132"/>
      <c r="L65" s="134"/>
      <c r="M65" s="131"/>
      <c r="N65" s="114"/>
      <c r="O65" s="135"/>
      <c r="P65" s="114"/>
      <c r="Q65" s="114"/>
      <c r="R65" s="114"/>
      <c r="S65" s="114"/>
      <c r="T65" s="114"/>
      <c r="U65" s="114"/>
    </row>
    <row r="66" spans="5:21" s="130" customFormat="1" ht="13" hidden="1" x14ac:dyDescent="0.3">
      <c r="E66" s="131"/>
      <c r="F66" s="111"/>
      <c r="H66" s="132"/>
      <c r="I66" s="133"/>
      <c r="J66" s="133"/>
      <c r="K66" s="132"/>
      <c r="L66" s="134"/>
      <c r="M66" s="131"/>
      <c r="N66" s="114"/>
      <c r="O66" s="135"/>
      <c r="P66" s="114"/>
      <c r="Q66" s="114"/>
      <c r="R66" s="114"/>
      <c r="S66" s="114"/>
      <c r="T66" s="114"/>
      <c r="U66" s="114"/>
    </row>
    <row r="67" spans="5:21" s="130" customFormat="1" ht="13" hidden="1" x14ac:dyDescent="0.3">
      <c r="E67" s="131"/>
      <c r="F67" s="111"/>
      <c r="H67" s="132"/>
      <c r="I67" s="133"/>
      <c r="J67" s="133"/>
      <c r="K67" s="132"/>
      <c r="L67" s="134"/>
      <c r="M67" s="131"/>
      <c r="N67" s="114"/>
      <c r="O67" s="135"/>
      <c r="P67" s="114"/>
      <c r="Q67" s="114"/>
      <c r="R67" s="114"/>
      <c r="S67" s="114"/>
      <c r="T67" s="114"/>
      <c r="U67" s="114"/>
    </row>
    <row r="68" spans="5:21" s="130" customFormat="1" ht="13" hidden="1" x14ac:dyDescent="0.3">
      <c r="E68" s="131"/>
      <c r="F68" s="111"/>
      <c r="H68" s="132"/>
      <c r="I68" s="133"/>
      <c r="J68" s="133"/>
      <c r="K68" s="132"/>
      <c r="L68" s="134"/>
      <c r="M68" s="131"/>
      <c r="N68" s="114"/>
      <c r="O68" s="135"/>
      <c r="P68" s="114"/>
      <c r="Q68" s="114"/>
      <c r="R68" s="114"/>
      <c r="S68" s="114"/>
      <c r="T68" s="114"/>
      <c r="U68" s="114"/>
    </row>
    <row r="69" spans="5:21" s="130" customFormat="1" ht="13" hidden="1" x14ac:dyDescent="0.3">
      <c r="E69" s="131"/>
      <c r="F69" s="111"/>
      <c r="H69" s="132"/>
      <c r="I69" s="133"/>
      <c r="J69" s="133"/>
      <c r="K69" s="132"/>
      <c r="L69" s="134"/>
      <c r="M69" s="131"/>
      <c r="N69" s="114"/>
      <c r="O69" s="135"/>
      <c r="P69" s="114"/>
      <c r="Q69" s="114"/>
      <c r="R69" s="114"/>
      <c r="S69" s="114"/>
      <c r="T69" s="114"/>
      <c r="U69" s="114"/>
    </row>
    <row r="70" spans="5:21" s="130" customFormat="1" ht="13" hidden="1" x14ac:dyDescent="0.3">
      <c r="E70" s="131"/>
      <c r="F70" s="111"/>
      <c r="H70" s="132"/>
      <c r="I70" s="133"/>
      <c r="J70" s="133"/>
      <c r="K70" s="132"/>
      <c r="L70" s="134"/>
      <c r="M70" s="131"/>
      <c r="N70" s="114"/>
      <c r="O70" s="135"/>
      <c r="P70" s="114"/>
      <c r="Q70" s="114"/>
      <c r="R70" s="114"/>
      <c r="S70" s="114"/>
      <c r="T70" s="114"/>
      <c r="U70" s="114"/>
    </row>
    <row r="71" spans="5:21" s="130" customFormat="1" ht="13" hidden="1" x14ac:dyDescent="0.3">
      <c r="E71" s="131"/>
      <c r="F71" s="111"/>
      <c r="H71" s="132"/>
      <c r="I71" s="133"/>
      <c r="J71" s="133"/>
      <c r="K71" s="132"/>
      <c r="L71" s="134"/>
      <c r="M71" s="131"/>
      <c r="N71" s="114"/>
      <c r="O71" s="135"/>
      <c r="P71" s="114"/>
      <c r="Q71" s="114"/>
      <c r="R71" s="114"/>
      <c r="S71" s="114"/>
      <c r="T71" s="114"/>
      <c r="U71" s="114"/>
    </row>
    <row r="72" spans="5:21" s="130" customFormat="1" ht="13" hidden="1" x14ac:dyDescent="0.3">
      <c r="E72" s="131"/>
      <c r="F72" s="111"/>
      <c r="H72" s="132"/>
      <c r="I72" s="133"/>
      <c r="J72" s="133"/>
      <c r="K72" s="132"/>
      <c r="L72" s="134"/>
      <c r="M72" s="131"/>
      <c r="N72" s="114"/>
      <c r="O72" s="135"/>
      <c r="P72" s="114"/>
      <c r="Q72" s="114"/>
      <c r="R72" s="114"/>
      <c r="S72" s="114"/>
      <c r="T72" s="114"/>
      <c r="U72" s="114"/>
    </row>
    <row r="73" spans="5:21" s="130" customFormat="1" ht="13" hidden="1" x14ac:dyDescent="0.3">
      <c r="E73" s="131"/>
      <c r="F73" s="111"/>
      <c r="H73" s="132"/>
      <c r="I73" s="133"/>
      <c r="J73" s="133"/>
      <c r="K73" s="132"/>
      <c r="L73" s="134"/>
      <c r="M73" s="131"/>
      <c r="N73" s="114"/>
      <c r="O73" s="135"/>
      <c r="P73" s="114"/>
      <c r="Q73" s="114"/>
      <c r="R73" s="114"/>
      <c r="S73" s="114"/>
      <c r="T73" s="114"/>
      <c r="U73" s="114"/>
    </row>
    <row r="74" spans="5:21" s="130" customFormat="1" ht="13" hidden="1" x14ac:dyDescent="0.3">
      <c r="E74" s="131"/>
      <c r="F74" s="111"/>
      <c r="H74" s="132"/>
      <c r="I74" s="133"/>
      <c r="J74" s="133"/>
      <c r="K74" s="132"/>
      <c r="L74" s="134"/>
      <c r="M74" s="131"/>
      <c r="N74" s="114"/>
      <c r="O74" s="135"/>
      <c r="P74" s="114"/>
      <c r="Q74" s="114"/>
      <c r="R74" s="114"/>
      <c r="S74" s="114"/>
      <c r="T74" s="114"/>
      <c r="U74" s="114"/>
    </row>
    <row r="75" spans="5:21" s="130" customFormat="1" ht="13" hidden="1" x14ac:dyDescent="0.3">
      <c r="E75" s="131"/>
      <c r="F75" s="111"/>
      <c r="H75" s="132"/>
      <c r="I75" s="133"/>
      <c r="J75" s="133"/>
      <c r="K75" s="132"/>
      <c r="L75" s="134"/>
      <c r="M75" s="131"/>
      <c r="N75" s="114"/>
      <c r="O75" s="135"/>
      <c r="P75" s="114"/>
      <c r="Q75" s="114"/>
      <c r="R75" s="114"/>
      <c r="S75" s="114"/>
      <c r="T75" s="114"/>
      <c r="U75" s="114"/>
    </row>
    <row r="76" spans="5:21" s="130" customFormat="1" ht="13" hidden="1" x14ac:dyDescent="0.3">
      <c r="E76" s="131"/>
      <c r="F76" s="111"/>
      <c r="H76" s="132"/>
      <c r="I76" s="133"/>
      <c r="J76" s="133"/>
      <c r="K76" s="132"/>
      <c r="L76" s="134"/>
      <c r="M76" s="131"/>
      <c r="N76" s="114"/>
      <c r="O76" s="135"/>
      <c r="P76" s="114"/>
      <c r="Q76" s="114"/>
      <c r="R76" s="114"/>
      <c r="S76" s="114"/>
      <c r="T76" s="114"/>
      <c r="U76" s="114"/>
    </row>
    <row r="77" spans="5:21" s="130" customFormat="1" ht="13" hidden="1" x14ac:dyDescent="0.3">
      <c r="E77" s="131"/>
      <c r="F77" s="111"/>
      <c r="H77" s="132"/>
      <c r="I77" s="133"/>
      <c r="J77" s="133"/>
      <c r="K77" s="132"/>
      <c r="L77" s="134"/>
      <c r="M77" s="131"/>
      <c r="N77" s="114"/>
      <c r="O77" s="135"/>
      <c r="P77" s="114"/>
      <c r="Q77" s="114"/>
      <c r="R77" s="114"/>
      <c r="S77" s="114"/>
      <c r="T77" s="114"/>
      <c r="U77" s="114"/>
    </row>
    <row r="78" spans="5:21" s="130" customFormat="1" ht="13" hidden="1" x14ac:dyDescent="0.3">
      <c r="E78" s="131"/>
      <c r="F78" s="111"/>
      <c r="H78" s="132"/>
      <c r="I78" s="133"/>
      <c r="J78" s="133"/>
      <c r="K78" s="132"/>
      <c r="L78" s="134"/>
      <c r="M78" s="131"/>
      <c r="N78" s="114"/>
      <c r="O78" s="135"/>
      <c r="P78" s="114"/>
      <c r="Q78" s="114"/>
      <c r="R78" s="114"/>
      <c r="S78" s="114"/>
      <c r="T78" s="114"/>
      <c r="U78" s="114"/>
    </row>
    <row r="79" spans="5:21" s="130" customFormat="1" ht="13" hidden="1" x14ac:dyDescent="0.3">
      <c r="E79" s="131"/>
      <c r="F79" s="111"/>
      <c r="H79" s="132"/>
      <c r="I79" s="133"/>
      <c r="J79" s="133"/>
      <c r="K79" s="132"/>
      <c r="L79" s="134"/>
      <c r="M79" s="131"/>
      <c r="N79" s="114"/>
      <c r="O79" s="135"/>
      <c r="P79" s="114"/>
      <c r="Q79" s="114"/>
      <c r="R79" s="114"/>
      <c r="S79" s="114"/>
      <c r="T79" s="114"/>
      <c r="U79" s="114"/>
    </row>
    <row r="80" spans="5:21" s="130" customFormat="1" ht="13" hidden="1" x14ac:dyDescent="0.3">
      <c r="E80" s="131"/>
      <c r="F80" s="111"/>
      <c r="H80" s="132"/>
      <c r="I80" s="133"/>
      <c r="J80" s="133"/>
      <c r="K80" s="132"/>
      <c r="L80" s="134"/>
      <c r="M80" s="131"/>
      <c r="N80" s="114"/>
      <c r="O80" s="135"/>
      <c r="P80" s="114"/>
      <c r="Q80" s="114"/>
      <c r="R80" s="114"/>
      <c r="S80" s="114"/>
      <c r="T80" s="114"/>
      <c r="U80" s="114"/>
    </row>
    <row r="81" spans="5:21" s="130" customFormat="1" ht="13" hidden="1" x14ac:dyDescent="0.3">
      <c r="E81" s="131"/>
      <c r="F81" s="111"/>
      <c r="H81" s="132"/>
      <c r="I81" s="133"/>
      <c r="J81" s="133"/>
      <c r="K81" s="132"/>
      <c r="L81" s="134"/>
      <c r="M81" s="131"/>
      <c r="N81" s="114"/>
      <c r="O81" s="135"/>
      <c r="P81" s="114"/>
      <c r="Q81" s="114"/>
      <c r="R81" s="114"/>
      <c r="S81" s="114"/>
      <c r="T81" s="114"/>
      <c r="U81" s="114"/>
    </row>
    <row r="82" spans="5:21" s="130" customFormat="1" ht="13" hidden="1" x14ac:dyDescent="0.3">
      <c r="E82" s="131"/>
      <c r="F82" s="111"/>
      <c r="H82" s="132"/>
      <c r="I82" s="133"/>
      <c r="J82" s="133"/>
      <c r="K82" s="132"/>
      <c r="L82" s="134"/>
      <c r="M82" s="131"/>
      <c r="N82" s="114"/>
      <c r="O82" s="135"/>
      <c r="P82" s="114"/>
      <c r="Q82" s="114"/>
      <c r="R82" s="114"/>
      <c r="S82" s="114"/>
      <c r="T82" s="114"/>
      <c r="U82" s="114"/>
    </row>
    <row r="83" spans="5:21" s="130" customFormat="1" ht="13" hidden="1" x14ac:dyDescent="0.3">
      <c r="E83" s="131"/>
      <c r="F83" s="111"/>
      <c r="H83" s="132"/>
      <c r="I83" s="133"/>
      <c r="J83" s="133"/>
      <c r="K83" s="132"/>
      <c r="L83" s="134"/>
      <c r="M83" s="131"/>
      <c r="N83" s="114"/>
      <c r="O83" s="135"/>
      <c r="P83" s="114"/>
      <c r="Q83" s="114"/>
      <c r="R83" s="114"/>
      <c r="S83" s="114"/>
      <c r="T83" s="114"/>
      <c r="U83" s="114"/>
    </row>
    <row r="84" spans="5:21" s="130" customFormat="1" ht="13" hidden="1" x14ac:dyDescent="0.3">
      <c r="E84" s="131"/>
      <c r="F84" s="111"/>
      <c r="H84" s="132"/>
      <c r="I84" s="133"/>
      <c r="J84" s="133"/>
      <c r="K84" s="132"/>
      <c r="L84" s="134"/>
      <c r="M84" s="131"/>
      <c r="N84" s="114"/>
      <c r="O84" s="135"/>
      <c r="P84" s="114"/>
      <c r="Q84" s="114"/>
      <c r="R84" s="114"/>
      <c r="S84" s="114"/>
      <c r="T84" s="114"/>
      <c r="U84" s="114"/>
    </row>
    <row r="85" spans="5:21" s="130" customFormat="1" ht="13" hidden="1" x14ac:dyDescent="0.3">
      <c r="E85" s="131"/>
      <c r="F85" s="111"/>
      <c r="H85" s="132"/>
      <c r="I85" s="133"/>
      <c r="J85" s="133"/>
      <c r="K85" s="132"/>
      <c r="L85" s="134"/>
      <c r="M85" s="131"/>
      <c r="N85" s="114"/>
      <c r="O85" s="135"/>
      <c r="P85" s="114"/>
      <c r="Q85" s="114"/>
      <c r="R85" s="114"/>
      <c r="S85" s="114"/>
      <c r="T85" s="114"/>
      <c r="U85" s="114"/>
    </row>
    <row r="86" spans="5:21" s="130" customFormat="1" ht="13" hidden="1" x14ac:dyDescent="0.3">
      <c r="E86" s="131"/>
      <c r="F86" s="111"/>
      <c r="H86" s="132"/>
      <c r="I86" s="133"/>
      <c r="J86" s="133"/>
      <c r="K86" s="132"/>
      <c r="L86" s="134"/>
      <c r="M86" s="131"/>
      <c r="N86" s="114"/>
      <c r="O86" s="135"/>
      <c r="P86" s="114"/>
      <c r="Q86" s="114"/>
      <c r="R86" s="114"/>
      <c r="S86" s="114"/>
      <c r="T86" s="114"/>
      <c r="U86" s="114"/>
    </row>
    <row r="87" spans="5:21" s="130" customFormat="1" ht="13" hidden="1" x14ac:dyDescent="0.3">
      <c r="E87" s="131"/>
      <c r="F87" s="111"/>
      <c r="H87" s="132"/>
      <c r="I87" s="133"/>
      <c r="J87" s="133"/>
      <c r="K87" s="132"/>
      <c r="L87" s="134"/>
      <c r="M87" s="131"/>
      <c r="N87" s="114"/>
      <c r="O87" s="135"/>
      <c r="P87" s="114"/>
      <c r="Q87" s="114"/>
      <c r="R87" s="114"/>
      <c r="S87" s="114"/>
      <c r="T87" s="114"/>
      <c r="U87" s="114"/>
    </row>
    <row r="88" spans="5:21" s="130" customFormat="1" ht="13" hidden="1" x14ac:dyDescent="0.3">
      <c r="E88" s="131"/>
      <c r="F88" s="111"/>
      <c r="H88" s="132"/>
      <c r="I88" s="133"/>
      <c r="J88" s="133"/>
      <c r="K88" s="132"/>
      <c r="L88" s="134"/>
      <c r="M88" s="131"/>
      <c r="N88" s="114"/>
      <c r="O88" s="135"/>
      <c r="P88" s="114"/>
      <c r="Q88" s="114"/>
      <c r="R88" s="114"/>
      <c r="S88" s="114"/>
      <c r="T88" s="114"/>
      <c r="U88" s="114"/>
    </row>
    <row r="89" spans="5:21" s="130" customFormat="1" ht="13" hidden="1" x14ac:dyDescent="0.3">
      <c r="E89" s="131"/>
      <c r="F89" s="111"/>
      <c r="H89" s="132"/>
      <c r="I89" s="133"/>
      <c r="J89" s="133"/>
      <c r="K89" s="132"/>
      <c r="L89" s="134"/>
      <c r="M89" s="131"/>
      <c r="N89" s="114"/>
      <c r="O89" s="135"/>
      <c r="P89" s="114"/>
      <c r="Q89" s="114"/>
      <c r="R89" s="114"/>
      <c r="S89" s="114"/>
      <c r="T89" s="114"/>
      <c r="U89" s="114"/>
    </row>
    <row r="90" spans="5:21" s="130" customFormat="1" ht="13" hidden="1" x14ac:dyDescent="0.3">
      <c r="E90" s="131"/>
      <c r="F90" s="111"/>
      <c r="H90" s="132"/>
      <c r="I90" s="133"/>
      <c r="J90" s="133"/>
      <c r="K90" s="132"/>
      <c r="L90" s="134"/>
      <c r="M90" s="131"/>
      <c r="N90" s="114"/>
      <c r="O90" s="135"/>
      <c r="P90" s="114"/>
      <c r="Q90" s="114"/>
      <c r="R90" s="114"/>
      <c r="S90" s="114"/>
      <c r="T90" s="114"/>
      <c r="U90" s="114"/>
    </row>
    <row r="91" spans="5:21" s="130" customFormat="1" ht="13" hidden="1" x14ac:dyDescent="0.3">
      <c r="E91" s="131"/>
      <c r="F91" s="111"/>
      <c r="H91" s="132"/>
      <c r="I91" s="133"/>
      <c r="J91" s="133"/>
      <c r="K91" s="132"/>
      <c r="L91" s="134"/>
      <c r="M91" s="131"/>
      <c r="N91" s="114"/>
      <c r="O91" s="135"/>
      <c r="P91" s="114"/>
      <c r="Q91" s="114"/>
      <c r="R91" s="114"/>
      <c r="S91" s="114"/>
      <c r="T91" s="114"/>
      <c r="U91" s="114"/>
    </row>
    <row r="92" spans="5:21" s="130" customFormat="1" ht="13" hidden="1" x14ac:dyDescent="0.3">
      <c r="E92" s="131"/>
      <c r="F92" s="111"/>
      <c r="H92" s="132"/>
      <c r="I92" s="133"/>
      <c r="J92" s="133"/>
      <c r="K92" s="132"/>
      <c r="L92" s="134"/>
      <c r="M92" s="131"/>
      <c r="N92" s="114"/>
      <c r="O92" s="135"/>
      <c r="P92" s="114"/>
      <c r="Q92" s="114"/>
      <c r="R92" s="114"/>
      <c r="S92" s="114"/>
      <c r="T92" s="114"/>
      <c r="U92" s="114"/>
    </row>
    <row r="93" spans="5:21" s="130" customFormat="1" ht="13" hidden="1" x14ac:dyDescent="0.3">
      <c r="E93" s="131"/>
      <c r="F93" s="111"/>
      <c r="H93" s="132"/>
      <c r="I93" s="133"/>
      <c r="J93" s="133"/>
      <c r="K93" s="132"/>
      <c r="L93" s="134"/>
      <c r="M93" s="131"/>
      <c r="N93" s="114"/>
      <c r="O93" s="135"/>
      <c r="P93" s="114"/>
      <c r="Q93" s="114"/>
      <c r="R93" s="114"/>
      <c r="S93" s="114"/>
      <c r="T93" s="114"/>
      <c r="U93" s="114"/>
    </row>
    <row r="94" spans="5:21" s="130" customFormat="1" ht="13" hidden="1" x14ac:dyDescent="0.3">
      <c r="E94" s="131"/>
      <c r="F94" s="111"/>
      <c r="H94" s="132"/>
      <c r="I94" s="133"/>
      <c r="J94" s="133"/>
      <c r="K94" s="132"/>
      <c r="L94" s="134"/>
      <c r="M94" s="131"/>
      <c r="N94" s="114"/>
      <c r="O94" s="135"/>
      <c r="P94" s="114"/>
      <c r="Q94" s="114"/>
      <c r="R94" s="114"/>
      <c r="S94" s="114"/>
      <c r="T94" s="114"/>
      <c r="U94" s="114"/>
    </row>
    <row r="95" spans="5:21" s="130" customFormat="1" ht="13" hidden="1" x14ac:dyDescent="0.3">
      <c r="E95" s="131"/>
      <c r="F95" s="111"/>
      <c r="H95" s="132"/>
      <c r="I95" s="133"/>
      <c r="J95" s="133"/>
      <c r="K95" s="132"/>
      <c r="L95" s="134"/>
      <c r="M95" s="131"/>
      <c r="N95" s="114"/>
      <c r="O95" s="135"/>
      <c r="P95" s="114"/>
      <c r="Q95" s="114"/>
      <c r="R95" s="114"/>
      <c r="S95" s="114"/>
      <c r="T95" s="114"/>
      <c r="U95" s="114"/>
    </row>
    <row r="96" spans="5:21" s="130" customFormat="1" ht="13" hidden="1" x14ac:dyDescent="0.3">
      <c r="E96" s="131"/>
      <c r="F96" s="111"/>
      <c r="H96" s="132"/>
      <c r="I96" s="133"/>
      <c r="J96" s="133"/>
      <c r="K96" s="132"/>
      <c r="L96" s="134"/>
      <c r="M96" s="131"/>
      <c r="N96" s="114"/>
      <c r="O96" s="135"/>
      <c r="P96" s="114"/>
      <c r="Q96" s="114"/>
      <c r="R96" s="114"/>
      <c r="S96" s="114"/>
      <c r="T96" s="114"/>
      <c r="U96" s="114"/>
    </row>
    <row r="97" spans="5:21" s="130" customFormat="1" ht="13" hidden="1" x14ac:dyDescent="0.3">
      <c r="E97" s="131"/>
      <c r="F97" s="111"/>
      <c r="H97" s="132"/>
      <c r="I97" s="133"/>
      <c r="J97" s="133"/>
      <c r="K97" s="132"/>
      <c r="L97" s="134"/>
      <c r="M97" s="131"/>
      <c r="N97" s="114"/>
      <c r="O97" s="135"/>
      <c r="P97" s="114"/>
      <c r="Q97" s="114"/>
      <c r="R97" s="114"/>
      <c r="S97" s="114"/>
      <c r="T97" s="114"/>
      <c r="U97" s="114"/>
    </row>
    <row r="98" spans="5:21" s="130" customFormat="1" ht="13" hidden="1" x14ac:dyDescent="0.3">
      <c r="E98" s="131"/>
      <c r="F98" s="111"/>
      <c r="H98" s="132"/>
      <c r="I98" s="133"/>
      <c r="J98" s="133"/>
      <c r="K98" s="132"/>
      <c r="L98" s="134"/>
      <c r="M98" s="131"/>
      <c r="N98" s="114"/>
      <c r="O98" s="135"/>
      <c r="P98" s="114"/>
      <c r="Q98" s="114"/>
      <c r="R98" s="114"/>
      <c r="S98" s="114"/>
      <c r="T98" s="114"/>
      <c r="U98" s="114"/>
    </row>
    <row r="99" spans="5:21" s="130" customFormat="1" ht="13" hidden="1" x14ac:dyDescent="0.3">
      <c r="E99" s="131"/>
      <c r="F99" s="111"/>
      <c r="H99" s="132"/>
      <c r="I99" s="133"/>
      <c r="J99" s="133"/>
      <c r="K99" s="132"/>
      <c r="L99" s="134"/>
      <c r="M99" s="131"/>
      <c r="N99" s="114"/>
      <c r="O99" s="135"/>
      <c r="P99" s="114"/>
      <c r="Q99" s="114"/>
      <c r="R99" s="114"/>
      <c r="S99" s="114"/>
      <c r="T99" s="114"/>
      <c r="U99" s="114"/>
    </row>
    <row r="100" spans="5:21" s="130" customFormat="1" ht="13" hidden="1" x14ac:dyDescent="0.3">
      <c r="E100" s="131"/>
      <c r="F100" s="111"/>
      <c r="H100" s="132"/>
      <c r="I100" s="133"/>
      <c r="J100" s="133"/>
      <c r="K100" s="132"/>
      <c r="L100" s="134"/>
      <c r="M100" s="131"/>
      <c r="N100" s="114"/>
      <c r="O100" s="135"/>
      <c r="P100" s="114"/>
      <c r="Q100" s="114"/>
      <c r="R100" s="114"/>
      <c r="S100" s="114"/>
      <c r="T100" s="114"/>
      <c r="U100" s="114"/>
    </row>
    <row r="101" spans="5:21" s="130" customFormat="1" ht="13" hidden="1" x14ac:dyDescent="0.3">
      <c r="E101" s="131"/>
      <c r="F101" s="111"/>
      <c r="H101" s="132"/>
      <c r="I101" s="133"/>
      <c r="J101" s="133"/>
      <c r="K101" s="132"/>
      <c r="L101" s="134"/>
      <c r="M101" s="131"/>
      <c r="N101" s="114"/>
      <c r="O101" s="135"/>
      <c r="P101" s="114"/>
      <c r="Q101" s="114"/>
      <c r="R101" s="114"/>
      <c r="S101" s="114"/>
      <c r="T101" s="114"/>
      <c r="U101" s="114"/>
    </row>
    <row r="102" spans="5:21" s="130" customFormat="1" ht="13" hidden="1" x14ac:dyDescent="0.3">
      <c r="E102" s="131"/>
      <c r="F102" s="111"/>
      <c r="H102" s="132"/>
      <c r="I102" s="133"/>
      <c r="J102" s="133"/>
      <c r="K102" s="132"/>
      <c r="L102" s="134"/>
      <c r="M102" s="131"/>
      <c r="N102" s="114"/>
      <c r="O102" s="135"/>
      <c r="P102" s="114"/>
      <c r="Q102" s="114"/>
      <c r="R102" s="114"/>
      <c r="S102" s="114"/>
      <c r="T102" s="114"/>
      <c r="U102" s="114"/>
    </row>
    <row r="103" spans="5:21" s="130" customFormat="1" ht="13" hidden="1" x14ac:dyDescent="0.3">
      <c r="E103" s="131"/>
      <c r="F103" s="111"/>
      <c r="H103" s="132"/>
      <c r="I103" s="133"/>
      <c r="J103" s="133"/>
      <c r="K103" s="132"/>
      <c r="L103" s="134"/>
      <c r="M103" s="131"/>
      <c r="N103" s="114"/>
      <c r="O103" s="135"/>
      <c r="P103" s="114"/>
      <c r="Q103" s="114"/>
      <c r="R103" s="114"/>
      <c r="S103" s="114"/>
      <c r="T103" s="114"/>
      <c r="U103" s="114"/>
    </row>
    <row r="104" spans="5:21" s="130" customFormat="1" ht="13" hidden="1" x14ac:dyDescent="0.3">
      <c r="E104" s="131"/>
      <c r="F104" s="111"/>
      <c r="H104" s="132"/>
      <c r="I104" s="133"/>
      <c r="J104" s="133"/>
      <c r="K104" s="132"/>
      <c r="L104" s="134"/>
      <c r="M104" s="131"/>
      <c r="N104" s="114"/>
      <c r="O104" s="135"/>
      <c r="P104" s="114"/>
      <c r="Q104" s="114"/>
      <c r="R104" s="114"/>
      <c r="S104" s="114"/>
      <c r="T104" s="114"/>
      <c r="U104" s="114"/>
    </row>
    <row r="105" spans="5:21" s="130" customFormat="1" ht="13" hidden="1" x14ac:dyDescent="0.3">
      <c r="E105" s="131"/>
      <c r="F105" s="111"/>
      <c r="H105" s="132"/>
      <c r="I105" s="133"/>
      <c r="J105" s="133"/>
      <c r="K105" s="132"/>
      <c r="L105" s="134"/>
      <c r="M105" s="131"/>
      <c r="N105" s="114"/>
      <c r="O105" s="135"/>
      <c r="P105" s="114"/>
      <c r="Q105" s="114"/>
      <c r="R105" s="114"/>
      <c r="S105" s="114"/>
      <c r="T105" s="114"/>
      <c r="U105" s="114"/>
    </row>
    <row r="106" spans="5:21" s="130" customFormat="1" ht="13" hidden="1" x14ac:dyDescent="0.3">
      <c r="E106" s="131"/>
      <c r="F106" s="111"/>
      <c r="H106" s="132"/>
      <c r="I106" s="133"/>
      <c r="J106" s="133"/>
      <c r="K106" s="132"/>
      <c r="L106" s="134"/>
      <c r="M106" s="131"/>
      <c r="N106" s="114"/>
      <c r="O106" s="135"/>
      <c r="P106" s="114"/>
      <c r="Q106" s="114"/>
      <c r="R106" s="114"/>
      <c r="S106" s="114"/>
      <c r="T106" s="114"/>
      <c r="U106" s="114"/>
    </row>
    <row r="107" spans="5:21" s="130" customFormat="1" ht="13" hidden="1" x14ac:dyDescent="0.3">
      <c r="E107" s="131"/>
      <c r="F107" s="111"/>
      <c r="H107" s="132"/>
      <c r="I107" s="133"/>
      <c r="J107" s="133"/>
      <c r="K107" s="132"/>
      <c r="L107" s="134"/>
      <c r="M107" s="131"/>
      <c r="N107" s="114"/>
      <c r="O107" s="135"/>
      <c r="P107" s="114"/>
      <c r="Q107" s="114"/>
      <c r="R107" s="114"/>
      <c r="S107" s="114"/>
      <c r="T107" s="114"/>
      <c r="U107" s="114"/>
    </row>
    <row r="108" spans="5:21" s="130" customFormat="1" ht="13" hidden="1" x14ac:dyDescent="0.3">
      <c r="E108" s="131"/>
      <c r="F108" s="111"/>
      <c r="H108" s="132"/>
      <c r="I108" s="133"/>
      <c r="J108" s="133"/>
      <c r="K108" s="132"/>
      <c r="L108" s="134"/>
      <c r="M108" s="131"/>
      <c r="N108" s="114"/>
      <c r="O108" s="135"/>
      <c r="P108" s="114"/>
      <c r="Q108" s="114"/>
      <c r="R108" s="114"/>
      <c r="S108" s="114"/>
      <c r="T108" s="114"/>
      <c r="U108" s="114"/>
    </row>
    <row r="109" spans="5:21" s="130" customFormat="1" ht="13" hidden="1" x14ac:dyDescent="0.3">
      <c r="E109" s="131"/>
      <c r="F109" s="111"/>
      <c r="H109" s="132"/>
      <c r="I109" s="133"/>
      <c r="J109" s="133"/>
      <c r="K109" s="132"/>
      <c r="L109" s="134"/>
      <c r="M109" s="131"/>
      <c r="N109" s="114"/>
      <c r="O109" s="135"/>
      <c r="P109" s="114"/>
      <c r="Q109" s="114"/>
      <c r="R109" s="114"/>
      <c r="S109" s="114"/>
      <c r="T109" s="114"/>
      <c r="U109" s="114"/>
    </row>
    <row r="110" spans="5:21" s="130" customFormat="1" ht="13" hidden="1" x14ac:dyDescent="0.3">
      <c r="E110" s="131"/>
      <c r="F110" s="111"/>
      <c r="H110" s="132"/>
      <c r="I110" s="133"/>
      <c r="J110" s="133"/>
      <c r="K110" s="132"/>
      <c r="L110" s="134"/>
      <c r="M110" s="131"/>
      <c r="N110" s="114"/>
      <c r="O110" s="135"/>
      <c r="P110" s="114"/>
      <c r="Q110" s="114"/>
      <c r="R110" s="114"/>
      <c r="S110" s="114"/>
      <c r="T110" s="114"/>
      <c r="U110" s="114"/>
    </row>
    <row r="111" spans="5:21" s="130" customFormat="1" ht="13" hidden="1" x14ac:dyDescent="0.3">
      <c r="E111" s="131"/>
      <c r="F111" s="111"/>
      <c r="H111" s="132"/>
      <c r="I111" s="133"/>
      <c r="J111" s="133"/>
      <c r="K111" s="132"/>
      <c r="L111" s="134"/>
      <c r="M111" s="131"/>
      <c r="N111" s="114"/>
      <c r="O111" s="135"/>
      <c r="P111" s="114"/>
      <c r="Q111" s="114"/>
      <c r="R111" s="114"/>
      <c r="S111" s="114"/>
      <c r="T111" s="114"/>
      <c r="U111" s="114"/>
    </row>
    <row r="112" spans="5:21" s="130" customFormat="1" ht="13" hidden="1" x14ac:dyDescent="0.3">
      <c r="E112" s="131"/>
      <c r="F112" s="111"/>
      <c r="H112" s="132"/>
      <c r="I112" s="133"/>
      <c r="J112" s="133"/>
      <c r="K112" s="132"/>
      <c r="L112" s="134"/>
      <c r="M112" s="131"/>
      <c r="N112" s="114"/>
      <c r="O112" s="135"/>
      <c r="P112" s="114"/>
      <c r="Q112" s="114"/>
      <c r="R112" s="114"/>
      <c r="S112" s="114"/>
      <c r="T112" s="114"/>
      <c r="U112" s="114"/>
    </row>
    <row r="113" spans="5:21" s="130" customFormat="1" ht="13" hidden="1" x14ac:dyDescent="0.3">
      <c r="E113" s="131"/>
      <c r="F113" s="111"/>
      <c r="H113" s="132"/>
      <c r="I113" s="133"/>
      <c r="J113" s="133"/>
      <c r="K113" s="132"/>
      <c r="L113" s="134"/>
      <c r="M113" s="131"/>
      <c r="N113" s="114"/>
      <c r="O113" s="135"/>
      <c r="P113" s="114"/>
      <c r="Q113" s="114"/>
      <c r="R113" s="114"/>
      <c r="S113" s="114"/>
      <c r="T113" s="114"/>
      <c r="U113" s="114"/>
    </row>
    <row r="114" spans="5:21" s="130" customFormat="1" ht="13" hidden="1" x14ac:dyDescent="0.3">
      <c r="E114" s="131"/>
      <c r="F114" s="111"/>
      <c r="H114" s="132"/>
      <c r="I114" s="133"/>
      <c r="J114" s="133"/>
      <c r="K114" s="132"/>
      <c r="L114" s="134"/>
      <c r="M114" s="131"/>
      <c r="N114" s="114"/>
      <c r="O114" s="135"/>
      <c r="P114" s="114"/>
      <c r="Q114" s="114"/>
      <c r="R114" s="114"/>
      <c r="S114" s="114"/>
      <c r="T114" s="114"/>
      <c r="U114" s="114"/>
    </row>
    <row r="115" spans="5:21" s="130" customFormat="1" ht="13" hidden="1" x14ac:dyDescent="0.3">
      <c r="E115" s="131"/>
      <c r="F115" s="111"/>
      <c r="H115" s="132"/>
      <c r="I115" s="133"/>
      <c r="J115" s="133"/>
      <c r="K115" s="132"/>
      <c r="L115" s="134"/>
      <c r="M115" s="131"/>
      <c r="N115" s="114"/>
      <c r="O115" s="135"/>
      <c r="P115" s="114"/>
      <c r="Q115" s="114"/>
      <c r="R115" s="114"/>
      <c r="S115" s="114"/>
      <c r="T115" s="114"/>
      <c r="U115" s="114"/>
    </row>
    <row r="116" spans="5:21" s="130" customFormat="1" ht="13" hidden="1" x14ac:dyDescent="0.3">
      <c r="E116" s="131"/>
      <c r="F116" s="111"/>
      <c r="H116" s="132"/>
      <c r="I116" s="133"/>
      <c r="J116" s="133"/>
      <c r="K116" s="132"/>
      <c r="L116" s="134"/>
      <c r="M116" s="131"/>
      <c r="N116" s="114"/>
      <c r="O116" s="135"/>
      <c r="P116" s="114"/>
      <c r="Q116" s="114"/>
      <c r="R116" s="114"/>
      <c r="S116" s="114"/>
      <c r="T116" s="114"/>
      <c r="U116" s="114"/>
    </row>
    <row r="117" spans="5:21" s="130" customFormat="1" ht="13" hidden="1" x14ac:dyDescent="0.3">
      <c r="E117" s="131"/>
      <c r="F117" s="111"/>
      <c r="H117" s="132"/>
      <c r="I117" s="133"/>
      <c r="J117" s="133"/>
      <c r="K117" s="132"/>
      <c r="L117" s="134"/>
      <c r="M117" s="131"/>
      <c r="N117" s="114"/>
      <c r="O117" s="135"/>
      <c r="P117" s="114"/>
      <c r="Q117" s="114"/>
      <c r="R117" s="114"/>
      <c r="S117" s="114"/>
      <c r="T117" s="114"/>
      <c r="U117" s="114"/>
    </row>
    <row r="118" spans="5:21" s="130" customFormat="1" ht="13" hidden="1" x14ac:dyDescent="0.3">
      <c r="E118" s="131"/>
      <c r="F118" s="111"/>
      <c r="H118" s="132"/>
      <c r="I118" s="133"/>
      <c r="J118" s="133"/>
      <c r="K118" s="132"/>
      <c r="L118" s="134"/>
      <c r="M118" s="131"/>
      <c r="N118" s="114"/>
      <c r="O118" s="135"/>
      <c r="P118" s="114"/>
      <c r="Q118" s="114"/>
      <c r="R118" s="114"/>
      <c r="S118" s="114"/>
      <c r="T118" s="114"/>
      <c r="U118" s="114"/>
    </row>
    <row r="119" spans="5:21" s="130" customFormat="1" ht="13" hidden="1" x14ac:dyDescent="0.3">
      <c r="E119" s="131"/>
      <c r="F119" s="111"/>
      <c r="H119" s="132"/>
      <c r="I119" s="133"/>
      <c r="J119" s="133"/>
      <c r="K119" s="132"/>
      <c r="L119" s="134"/>
      <c r="M119" s="131"/>
      <c r="N119" s="114"/>
      <c r="O119" s="135"/>
      <c r="P119" s="114"/>
      <c r="Q119" s="114"/>
      <c r="R119" s="114"/>
      <c r="S119" s="114"/>
      <c r="T119" s="114"/>
      <c r="U119" s="114"/>
    </row>
    <row r="120" spans="5:21" s="130" customFormat="1" ht="13" hidden="1" x14ac:dyDescent="0.3">
      <c r="E120" s="131"/>
      <c r="F120" s="111"/>
      <c r="H120" s="132"/>
      <c r="I120" s="133"/>
      <c r="J120" s="133"/>
      <c r="K120" s="132"/>
      <c r="L120" s="134"/>
      <c r="M120" s="131"/>
      <c r="N120" s="114"/>
      <c r="O120" s="135"/>
      <c r="P120" s="114"/>
      <c r="Q120" s="114"/>
      <c r="R120" s="114"/>
      <c r="S120" s="114"/>
      <c r="T120" s="114"/>
      <c r="U120" s="114"/>
    </row>
    <row r="121" spans="5:21" s="130" customFormat="1" ht="13" hidden="1" x14ac:dyDescent="0.3">
      <c r="E121" s="131"/>
      <c r="F121" s="111"/>
      <c r="H121" s="132"/>
      <c r="I121" s="133"/>
      <c r="J121" s="133"/>
      <c r="K121" s="132"/>
      <c r="L121" s="134"/>
      <c r="M121" s="131"/>
      <c r="N121" s="114"/>
      <c r="O121" s="135"/>
      <c r="P121" s="114"/>
      <c r="Q121" s="114"/>
      <c r="R121" s="114"/>
      <c r="S121" s="114"/>
      <c r="T121" s="114"/>
      <c r="U121" s="114"/>
    </row>
    <row r="122" spans="5:21" s="130" customFormat="1" ht="13" hidden="1" x14ac:dyDescent="0.3">
      <c r="E122" s="131"/>
      <c r="F122" s="111"/>
      <c r="H122" s="132"/>
      <c r="I122" s="133"/>
      <c r="J122" s="133"/>
      <c r="K122" s="132"/>
      <c r="L122" s="134"/>
      <c r="M122" s="131"/>
      <c r="N122" s="114"/>
      <c r="O122" s="135"/>
      <c r="P122" s="114"/>
      <c r="Q122" s="114"/>
      <c r="R122" s="114"/>
      <c r="S122" s="114"/>
      <c r="T122" s="114"/>
      <c r="U122" s="114"/>
    </row>
    <row r="123" spans="5:21" s="130" customFormat="1" ht="13" hidden="1" x14ac:dyDescent="0.3">
      <c r="E123" s="131"/>
      <c r="F123" s="111"/>
      <c r="H123" s="132"/>
      <c r="I123" s="133"/>
      <c r="J123" s="133"/>
      <c r="K123" s="132"/>
      <c r="L123" s="134"/>
      <c r="M123" s="131"/>
      <c r="N123" s="114"/>
      <c r="O123" s="135"/>
      <c r="P123" s="114"/>
      <c r="Q123" s="114"/>
      <c r="R123" s="114"/>
      <c r="S123" s="114"/>
      <c r="T123" s="114"/>
      <c r="U123" s="114"/>
    </row>
    <row r="124" spans="5:21" s="130" customFormat="1" ht="13" hidden="1" x14ac:dyDescent="0.3">
      <c r="E124" s="131"/>
      <c r="F124" s="111"/>
      <c r="H124" s="132"/>
      <c r="I124" s="133"/>
      <c r="J124" s="133"/>
      <c r="K124" s="132"/>
      <c r="L124" s="134"/>
      <c r="M124" s="131"/>
      <c r="N124" s="114"/>
      <c r="O124" s="135"/>
      <c r="P124" s="114"/>
      <c r="Q124" s="114"/>
      <c r="R124" s="114"/>
      <c r="S124" s="114"/>
      <c r="T124" s="114"/>
      <c r="U124" s="114"/>
    </row>
    <row r="125" spans="5:21" s="130" customFormat="1" ht="13" hidden="1" x14ac:dyDescent="0.3">
      <c r="E125" s="131"/>
      <c r="F125" s="111"/>
      <c r="H125" s="132"/>
      <c r="I125" s="133"/>
      <c r="J125" s="133"/>
      <c r="K125" s="132"/>
      <c r="L125" s="134"/>
      <c r="M125" s="131"/>
      <c r="N125" s="114"/>
      <c r="O125" s="135"/>
      <c r="P125" s="114"/>
      <c r="Q125" s="114"/>
      <c r="R125" s="114"/>
      <c r="S125" s="114"/>
      <c r="T125" s="114"/>
      <c r="U125" s="114"/>
    </row>
    <row r="126" spans="5:21" s="130" customFormat="1" ht="13" hidden="1" x14ac:dyDescent="0.3">
      <c r="E126" s="131"/>
      <c r="F126" s="111"/>
      <c r="H126" s="132"/>
      <c r="I126" s="133"/>
      <c r="J126" s="133"/>
      <c r="K126" s="132"/>
      <c r="L126" s="134"/>
      <c r="M126" s="131"/>
      <c r="N126" s="114"/>
      <c r="O126" s="135"/>
      <c r="P126" s="114"/>
      <c r="Q126" s="114"/>
      <c r="R126" s="114"/>
      <c r="S126" s="114"/>
      <c r="T126" s="114"/>
      <c r="U126" s="114"/>
    </row>
    <row r="127" spans="5:21" s="130" customFormat="1" ht="13" hidden="1" x14ac:dyDescent="0.3">
      <c r="E127" s="131"/>
      <c r="F127" s="111"/>
      <c r="H127" s="132"/>
      <c r="I127" s="133"/>
      <c r="J127" s="133"/>
      <c r="K127" s="132"/>
      <c r="L127" s="134"/>
      <c r="M127" s="131"/>
      <c r="N127" s="114"/>
      <c r="O127" s="135"/>
      <c r="P127" s="114"/>
      <c r="Q127" s="114"/>
      <c r="R127" s="114"/>
      <c r="S127" s="114"/>
      <c r="T127" s="114"/>
      <c r="U127" s="114"/>
    </row>
    <row r="128" spans="5:21" s="130" customFormat="1" ht="13" hidden="1" x14ac:dyDescent="0.3">
      <c r="E128" s="131"/>
      <c r="F128" s="111"/>
      <c r="H128" s="132"/>
      <c r="I128" s="133"/>
      <c r="J128" s="133"/>
      <c r="K128" s="132"/>
      <c r="L128" s="134"/>
      <c r="M128" s="131"/>
      <c r="N128" s="114"/>
      <c r="O128" s="135"/>
      <c r="P128" s="114"/>
      <c r="Q128" s="114"/>
      <c r="R128" s="114"/>
      <c r="S128" s="114"/>
      <c r="T128" s="114"/>
      <c r="U128" s="114"/>
    </row>
    <row r="129" spans="5:21" s="130" customFormat="1" ht="13" hidden="1" x14ac:dyDescent="0.3">
      <c r="E129" s="131"/>
      <c r="F129" s="111"/>
      <c r="H129" s="132"/>
      <c r="I129" s="133"/>
      <c r="J129" s="133"/>
      <c r="K129" s="132"/>
      <c r="L129" s="134"/>
      <c r="M129" s="131"/>
      <c r="N129" s="114"/>
      <c r="O129" s="135"/>
      <c r="P129" s="114"/>
      <c r="Q129" s="114"/>
      <c r="R129" s="114"/>
      <c r="S129" s="114"/>
      <c r="T129" s="114"/>
      <c r="U129" s="114"/>
    </row>
    <row r="130" spans="5:21" s="130" customFormat="1" ht="13" hidden="1" x14ac:dyDescent="0.3">
      <c r="E130" s="131"/>
      <c r="F130" s="111"/>
      <c r="H130" s="132"/>
      <c r="I130" s="133"/>
      <c r="J130" s="133"/>
      <c r="K130" s="132"/>
      <c r="L130" s="134"/>
      <c r="M130" s="131"/>
      <c r="N130" s="114"/>
      <c r="O130" s="135"/>
      <c r="P130" s="114"/>
      <c r="Q130" s="114"/>
      <c r="R130" s="114"/>
      <c r="S130" s="114"/>
      <c r="T130" s="114"/>
      <c r="U130" s="114"/>
    </row>
    <row r="131" spans="5:21" s="130" customFormat="1" ht="13" hidden="1" x14ac:dyDescent="0.3">
      <c r="E131" s="131"/>
      <c r="F131" s="111"/>
      <c r="H131" s="132"/>
      <c r="I131" s="133"/>
      <c r="J131" s="133"/>
      <c r="K131" s="132"/>
      <c r="L131" s="134"/>
      <c r="M131" s="131"/>
      <c r="N131" s="114"/>
      <c r="O131" s="135"/>
      <c r="P131" s="114"/>
      <c r="Q131" s="114"/>
      <c r="R131" s="114"/>
      <c r="S131" s="114"/>
      <c r="T131" s="114"/>
      <c r="U131" s="114"/>
    </row>
    <row r="132" spans="5:21" s="130" customFormat="1" ht="13" hidden="1" x14ac:dyDescent="0.3">
      <c r="E132" s="131"/>
      <c r="F132" s="111"/>
      <c r="H132" s="132"/>
      <c r="I132" s="133"/>
      <c r="J132" s="133"/>
      <c r="K132" s="132"/>
      <c r="L132" s="134"/>
      <c r="M132" s="131"/>
      <c r="N132" s="114"/>
      <c r="O132" s="135"/>
      <c r="P132" s="114"/>
      <c r="Q132" s="114"/>
      <c r="R132" s="114"/>
      <c r="S132" s="114"/>
      <c r="T132" s="114"/>
      <c r="U132" s="114"/>
    </row>
    <row r="133" spans="5:21" s="130" customFormat="1" ht="13" hidden="1" x14ac:dyDescent="0.3">
      <c r="E133" s="131"/>
      <c r="F133" s="111"/>
      <c r="H133" s="132"/>
      <c r="I133" s="133"/>
      <c r="J133" s="133"/>
      <c r="K133" s="132"/>
      <c r="L133" s="134"/>
      <c r="M133" s="131"/>
      <c r="N133" s="114"/>
      <c r="O133" s="135"/>
      <c r="P133" s="114"/>
      <c r="Q133" s="114"/>
      <c r="R133" s="114"/>
      <c r="S133" s="114"/>
      <c r="T133" s="114"/>
      <c r="U133" s="114"/>
    </row>
    <row r="134" spans="5:21" s="130" customFormat="1" ht="13" hidden="1" x14ac:dyDescent="0.3">
      <c r="E134" s="131"/>
      <c r="F134" s="111"/>
      <c r="H134" s="132"/>
      <c r="I134" s="133"/>
      <c r="J134" s="133"/>
      <c r="K134" s="132"/>
      <c r="L134" s="134"/>
      <c r="M134" s="131"/>
      <c r="N134" s="114"/>
      <c r="O134" s="135"/>
      <c r="P134" s="114"/>
      <c r="Q134" s="114"/>
      <c r="R134" s="114"/>
      <c r="S134" s="114"/>
      <c r="T134" s="114"/>
      <c r="U134" s="114"/>
    </row>
    <row r="135" spans="5:21" s="130" customFormat="1" ht="13" hidden="1" x14ac:dyDescent="0.3">
      <c r="E135" s="131"/>
      <c r="F135" s="111"/>
      <c r="H135" s="132"/>
      <c r="I135" s="133"/>
      <c r="J135" s="133"/>
      <c r="K135" s="132"/>
      <c r="L135" s="134"/>
      <c r="M135" s="131"/>
      <c r="N135" s="114"/>
      <c r="O135" s="135"/>
      <c r="P135" s="114"/>
      <c r="Q135" s="114"/>
      <c r="R135" s="114"/>
      <c r="S135" s="114"/>
      <c r="T135" s="114"/>
      <c r="U135" s="114"/>
    </row>
    <row r="136" spans="5:21" s="130" customFormat="1" ht="13" hidden="1" x14ac:dyDescent="0.3">
      <c r="E136" s="131"/>
      <c r="F136" s="111"/>
      <c r="H136" s="132"/>
      <c r="I136" s="133"/>
      <c r="J136" s="133"/>
      <c r="K136" s="132"/>
      <c r="L136" s="134"/>
      <c r="M136" s="131"/>
      <c r="N136" s="114"/>
      <c r="O136" s="135"/>
      <c r="P136" s="114"/>
      <c r="Q136" s="114"/>
      <c r="R136" s="114"/>
      <c r="S136" s="114"/>
      <c r="T136" s="114"/>
      <c r="U136" s="114"/>
    </row>
    <row r="137" spans="5:21" s="130" customFormat="1" ht="13" hidden="1" x14ac:dyDescent="0.3">
      <c r="E137" s="131"/>
      <c r="F137" s="111"/>
      <c r="H137" s="132"/>
      <c r="I137" s="133"/>
      <c r="J137" s="133"/>
      <c r="K137" s="132"/>
      <c r="L137" s="134"/>
      <c r="M137" s="131"/>
      <c r="N137" s="114"/>
      <c r="O137" s="135"/>
      <c r="P137" s="114"/>
      <c r="Q137" s="114"/>
      <c r="R137" s="114"/>
      <c r="S137" s="114"/>
      <c r="T137" s="114"/>
      <c r="U137" s="114"/>
    </row>
    <row r="138" spans="5:21" s="130" customFormat="1" ht="13" hidden="1" x14ac:dyDescent="0.3">
      <c r="E138" s="131"/>
      <c r="F138" s="111"/>
      <c r="H138" s="132"/>
      <c r="I138" s="133"/>
      <c r="J138" s="133"/>
      <c r="K138" s="132"/>
      <c r="L138" s="134"/>
      <c r="M138" s="131"/>
      <c r="N138" s="114"/>
      <c r="O138" s="135"/>
      <c r="P138" s="114"/>
      <c r="Q138" s="114"/>
      <c r="R138" s="114"/>
      <c r="S138" s="114"/>
      <c r="T138" s="114"/>
      <c r="U138" s="114"/>
    </row>
    <row r="139" spans="5:21" s="130" customFormat="1" ht="13" hidden="1" x14ac:dyDescent="0.3">
      <c r="E139" s="131"/>
      <c r="F139" s="111"/>
      <c r="H139" s="132"/>
      <c r="I139" s="133"/>
      <c r="J139" s="133"/>
      <c r="K139" s="132"/>
      <c r="L139" s="134"/>
      <c r="M139" s="131"/>
      <c r="N139" s="114"/>
      <c r="O139" s="135"/>
      <c r="P139" s="114"/>
      <c r="Q139" s="114"/>
      <c r="R139" s="114"/>
      <c r="S139" s="114"/>
      <c r="T139" s="114"/>
      <c r="U139" s="114"/>
    </row>
    <row r="140" spans="5:21" s="130" customFormat="1" ht="13" hidden="1" x14ac:dyDescent="0.3">
      <c r="E140" s="131"/>
      <c r="F140" s="111"/>
      <c r="H140" s="132"/>
      <c r="I140" s="133"/>
      <c r="J140" s="133"/>
      <c r="K140" s="132"/>
      <c r="L140" s="134"/>
      <c r="M140" s="131"/>
      <c r="N140" s="114"/>
      <c r="O140" s="135"/>
      <c r="P140" s="114"/>
      <c r="Q140" s="114"/>
      <c r="R140" s="114"/>
      <c r="S140" s="114"/>
      <c r="T140" s="114"/>
      <c r="U140" s="114"/>
    </row>
    <row r="141" spans="5:21" s="130" customFormat="1" ht="13" hidden="1" x14ac:dyDescent="0.3">
      <c r="E141" s="131"/>
      <c r="F141" s="111"/>
      <c r="H141" s="132"/>
      <c r="I141" s="133"/>
      <c r="J141" s="133"/>
      <c r="K141" s="132"/>
      <c r="L141" s="134"/>
      <c r="M141" s="131"/>
      <c r="N141" s="114"/>
      <c r="O141" s="135"/>
      <c r="P141" s="114"/>
      <c r="Q141" s="114"/>
      <c r="R141" s="114"/>
      <c r="S141" s="114"/>
      <c r="T141" s="114"/>
      <c r="U141" s="114"/>
    </row>
    <row r="142" spans="5:21" s="130" customFormat="1" ht="13" hidden="1" x14ac:dyDescent="0.3">
      <c r="E142" s="131"/>
      <c r="F142" s="111"/>
      <c r="H142" s="132"/>
      <c r="I142" s="133"/>
      <c r="J142" s="133"/>
      <c r="K142" s="132"/>
      <c r="L142" s="134"/>
      <c r="M142" s="131"/>
      <c r="N142" s="114"/>
      <c r="O142" s="135"/>
      <c r="P142" s="114"/>
      <c r="Q142" s="114"/>
      <c r="R142" s="114"/>
      <c r="S142" s="114"/>
      <c r="T142" s="114"/>
      <c r="U142" s="114"/>
    </row>
    <row r="143" spans="5:21" s="130" customFormat="1" ht="13" hidden="1" x14ac:dyDescent="0.3">
      <c r="E143" s="131"/>
      <c r="F143" s="111"/>
      <c r="H143" s="132"/>
      <c r="I143" s="133"/>
      <c r="J143" s="133"/>
      <c r="K143" s="132"/>
      <c r="L143" s="134"/>
      <c r="M143" s="131"/>
      <c r="N143" s="114"/>
      <c r="O143" s="135"/>
      <c r="P143" s="114"/>
      <c r="Q143" s="114"/>
      <c r="R143" s="114"/>
      <c r="S143" s="114"/>
      <c r="T143" s="114"/>
      <c r="U143" s="114"/>
    </row>
    <row r="144" spans="5:21" s="130" customFormat="1" ht="13" hidden="1" x14ac:dyDescent="0.3">
      <c r="E144" s="131"/>
      <c r="F144" s="111"/>
      <c r="H144" s="132"/>
      <c r="I144" s="133"/>
      <c r="J144" s="133"/>
      <c r="K144" s="132"/>
      <c r="L144" s="134"/>
      <c r="M144" s="131"/>
      <c r="N144" s="114"/>
      <c r="O144" s="135"/>
      <c r="P144" s="114"/>
      <c r="Q144" s="114"/>
      <c r="R144" s="114"/>
      <c r="S144" s="114"/>
      <c r="T144" s="114"/>
      <c r="U144" s="114"/>
    </row>
    <row r="145" spans="5:21" s="130" customFormat="1" ht="13" hidden="1" x14ac:dyDescent="0.3">
      <c r="E145" s="131"/>
      <c r="F145" s="111"/>
      <c r="H145" s="132"/>
      <c r="I145" s="133"/>
      <c r="J145" s="133"/>
      <c r="K145" s="132"/>
      <c r="L145" s="134"/>
      <c r="M145" s="131"/>
      <c r="N145" s="114"/>
      <c r="O145" s="135"/>
      <c r="P145" s="114"/>
      <c r="Q145" s="114"/>
      <c r="R145" s="114"/>
      <c r="S145" s="114"/>
      <c r="T145" s="114"/>
      <c r="U145" s="114"/>
    </row>
    <row r="146" spans="5:21" s="130" customFormat="1" ht="13" hidden="1" x14ac:dyDescent="0.3">
      <c r="E146" s="131"/>
      <c r="F146" s="111"/>
      <c r="H146" s="132"/>
      <c r="I146" s="133"/>
      <c r="J146" s="133"/>
      <c r="K146" s="132"/>
      <c r="L146" s="134"/>
      <c r="M146" s="131"/>
      <c r="N146" s="114"/>
      <c r="O146" s="135"/>
      <c r="P146" s="114"/>
      <c r="Q146" s="114"/>
      <c r="R146" s="114"/>
      <c r="S146" s="114"/>
      <c r="T146" s="114"/>
      <c r="U146" s="114"/>
    </row>
    <row r="147" spans="5:21" s="130" customFormat="1" ht="13" hidden="1" x14ac:dyDescent="0.3">
      <c r="E147" s="131"/>
      <c r="F147" s="111"/>
      <c r="H147" s="132"/>
      <c r="I147" s="133"/>
      <c r="J147" s="133"/>
      <c r="K147" s="132"/>
      <c r="L147" s="134"/>
      <c r="M147" s="131"/>
      <c r="N147" s="114"/>
      <c r="O147" s="135"/>
      <c r="P147" s="114"/>
      <c r="Q147" s="114"/>
      <c r="R147" s="114"/>
      <c r="S147" s="114"/>
      <c r="T147" s="114"/>
      <c r="U147" s="114"/>
    </row>
    <row r="148" spans="5:21" s="130" customFormat="1" ht="13" hidden="1" x14ac:dyDescent="0.3">
      <c r="E148" s="131"/>
      <c r="F148" s="111"/>
      <c r="H148" s="132"/>
      <c r="I148" s="133"/>
      <c r="J148" s="133"/>
      <c r="K148" s="132"/>
      <c r="L148" s="134"/>
      <c r="M148" s="131"/>
      <c r="N148" s="114"/>
      <c r="O148" s="135"/>
      <c r="P148" s="114"/>
      <c r="Q148" s="114"/>
      <c r="R148" s="114"/>
      <c r="S148" s="114"/>
      <c r="T148" s="114"/>
      <c r="U148" s="114"/>
    </row>
    <row r="149" spans="5:21" s="130" customFormat="1" ht="13" hidden="1" x14ac:dyDescent="0.3">
      <c r="E149" s="131"/>
      <c r="F149" s="111"/>
      <c r="H149" s="132"/>
      <c r="I149" s="133"/>
      <c r="J149" s="133"/>
      <c r="K149" s="132"/>
      <c r="L149" s="134"/>
      <c r="M149" s="131"/>
      <c r="N149" s="114"/>
      <c r="O149" s="135"/>
      <c r="P149" s="114"/>
      <c r="Q149" s="114"/>
      <c r="R149" s="114"/>
      <c r="S149" s="114"/>
      <c r="T149" s="114"/>
      <c r="U149" s="114"/>
    </row>
    <row r="150" spans="5:21" s="130" customFormat="1" ht="13" hidden="1" x14ac:dyDescent="0.3">
      <c r="E150" s="131"/>
      <c r="F150" s="111"/>
      <c r="H150" s="132"/>
      <c r="I150" s="133"/>
      <c r="J150" s="133"/>
      <c r="K150" s="132"/>
      <c r="L150" s="134"/>
      <c r="M150" s="131"/>
      <c r="N150" s="114"/>
      <c r="O150" s="135"/>
      <c r="P150" s="114"/>
      <c r="Q150" s="114"/>
      <c r="R150" s="114"/>
      <c r="S150" s="114"/>
      <c r="T150" s="114"/>
      <c r="U150" s="114"/>
    </row>
    <row r="151" spans="5:21" s="130" customFormat="1" ht="13" hidden="1" x14ac:dyDescent="0.3">
      <c r="E151" s="131"/>
      <c r="F151" s="111"/>
      <c r="H151" s="132"/>
      <c r="I151" s="133"/>
      <c r="J151" s="133"/>
      <c r="K151" s="132"/>
      <c r="L151" s="134"/>
      <c r="M151" s="131"/>
      <c r="N151" s="114"/>
      <c r="O151" s="135"/>
      <c r="P151" s="114"/>
      <c r="Q151" s="114"/>
      <c r="R151" s="114"/>
      <c r="S151" s="114"/>
      <c r="T151" s="114"/>
      <c r="U151" s="114"/>
    </row>
    <row r="152" spans="5:21" s="130" customFormat="1" ht="13" hidden="1" x14ac:dyDescent="0.3">
      <c r="E152" s="131"/>
      <c r="F152" s="111"/>
      <c r="H152" s="132"/>
      <c r="I152" s="133"/>
      <c r="J152" s="133"/>
      <c r="K152" s="132"/>
      <c r="L152" s="134"/>
      <c r="M152" s="131"/>
      <c r="N152" s="114"/>
      <c r="O152" s="135"/>
      <c r="P152" s="114"/>
      <c r="Q152" s="114"/>
      <c r="R152" s="114"/>
      <c r="S152" s="114"/>
      <c r="T152" s="114"/>
      <c r="U152" s="114"/>
    </row>
    <row r="153" spans="5:21" s="130" customFormat="1" ht="13" hidden="1" x14ac:dyDescent="0.3">
      <c r="E153" s="131"/>
      <c r="F153" s="111"/>
      <c r="H153" s="132"/>
      <c r="I153" s="133"/>
      <c r="J153" s="133"/>
      <c r="K153" s="132"/>
      <c r="L153" s="134"/>
      <c r="M153" s="131"/>
      <c r="N153" s="114"/>
      <c r="O153" s="135"/>
      <c r="P153" s="114"/>
      <c r="Q153" s="114"/>
      <c r="R153" s="114"/>
      <c r="S153" s="114"/>
      <c r="T153" s="114"/>
      <c r="U153" s="114"/>
    </row>
    <row r="154" spans="5:21" s="130" customFormat="1" ht="13" hidden="1" x14ac:dyDescent="0.3">
      <c r="E154" s="131"/>
      <c r="F154" s="111"/>
      <c r="H154" s="132"/>
      <c r="I154" s="133"/>
      <c r="J154" s="133"/>
      <c r="K154" s="132"/>
      <c r="L154" s="134"/>
      <c r="M154" s="131"/>
      <c r="N154" s="114"/>
      <c r="O154" s="135"/>
      <c r="P154" s="114"/>
      <c r="Q154" s="114"/>
      <c r="R154" s="114"/>
      <c r="S154" s="114"/>
      <c r="T154" s="114"/>
      <c r="U154" s="114"/>
    </row>
    <row r="155" spans="5:21" s="130" customFormat="1" ht="13" hidden="1" x14ac:dyDescent="0.3">
      <c r="E155" s="131"/>
      <c r="F155" s="111"/>
      <c r="H155" s="132"/>
      <c r="I155" s="133"/>
      <c r="J155" s="133"/>
      <c r="K155" s="132"/>
      <c r="L155" s="134"/>
      <c r="M155" s="131"/>
      <c r="N155" s="114"/>
      <c r="O155" s="135"/>
      <c r="P155" s="114"/>
      <c r="Q155" s="114"/>
      <c r="R155" s="114"/>
      <c r="S155" s="114"/>
      <c r="T155" s="114"/>
      <c r="U155" s="114"/>
    </row>
    <row r="156" spans="5:21" s="130" customFormat="1" ht="13" hidden="1" x14ac:dyDescent="0.3">
      <c r="E156" s="131"/>
      <c r="F156" s="111"/>
      <c r="H156" s="132"/>
      <c r="I156" s="133"/>
      <c r="J156" s="133"/>
      <c r="K156" s="132"/>
      <c r="L156" s="134"/>
      <c r="M156" s="131"/>
      <c r="N156" s="114"/>
      <c r="O156" s="135"/>
      <c r="P156" s="114"/>
      <c r="Q156" s="114"/>
      <c r="R156" s="114"/>
      <c r="S156" s="114"/>
      <c r="T156" s="114"/>
      <c r="U156" s="114"/>
    </row>
    <row r="157" spans="5:21" s="130" customFormat="1" ht="13" hidden="1" x14ac:dyDescent="0.3">
      <c r="E157" s="131"/>
      <c r="F157" s="111"/>
      <c r="H157" s="132"/>
      <c r="I157" s="133"/>
      <c r="J157" s="133"/>
      <c r="K157" s="132"/>
      <c r="L157" s="134"/>
      <c r="M157" s="131"/>
      <c r="N157" s="114"/>
      <c r="O157" s="135"/>
      <c r="P157" s="114"/>
      <c r="Q157" s="114"/>
      <c r="R157" s="114"/>
      <c r="S157" s="114"/>
      <c r="T157" s="114"/>
      <c r="U157" s="114"/>
    </row>
    <row r="158" spans="5:21" s="130" customFormat="1" ht="13" hidden="1" x14ac:dyDescent="0.3">
      <c r="E158" s="131"/>
      <c r="F158" s="111"/>
      <c r="H158" s="132"/>
      <c r="I158" s="133"/>
      <c r="J158" s="133"/>
      <c r="K158" s="132"/>
      <c r="L158" s="134"/>
      <c r="M158" s="131"/>
      <c r="N158" s="114"/>
      <c r="O158" s="135"/>
      <c r="P158" s="114"/>
      <c r="Q158" s="114"/>
      <c r="R158" s="114"/>
      <c r="S158" s="114"/>
      <c r="T158" s="114"/>
      <c r="U158" s="114"/>
    </row>
    <row r="159" spans="5:21" s="130" customFormat="1" ht="13" hidden="1" x14ac:dyDescent="0.3">
      <c r="E159" s="131"/>
      <c r="F159" s="111"/>
      <c r="H159" s="132"/>
      <c r="I159" s="133"/>
      <c r="J159" s="133"/>
      <c r="K159" s="132"/>
      <c r="L159" s="134"/>
      <c r="M159" s="131"/>
      <c r="N159" s="114"/>
      <c r="O159" s="135"/>
      <c r="P159" s="114"/>
      <c r="Q159" s="114"/>
      <c r="R159" s="114"/>
      <c r="S159" s="114"/>
      <c r="T159" s="114"/>
      <c r="U159" s="114"/>
    </row>
    <row r="160" spans="5:21" s="130" customFormat="1" ht="13" hidden="1" x14ac:dyDescent="0.3">
      <c r="E160" s="131"/>
      <c r="F160" s="111"/>
      <c r="H160" s="132"/>
      <c r="I160" s="133"/>
      <c r="J160" s="133"/>
      <c r="K160" s="132"/>
      <c r="L160" s="134"/>
      <c r="M160" s="131"/>
      <c r="N160" s="114"/>
      <c r="O160" s="135"/>
      <c r="P160" s="114"/>
      <c r="Q160" s="114"/>
      <c r="R160" s="114"/>
      <c r="S160" s="114"/>
      <c r="T160" s="114"/>
      <c r="U160" s="114"/>
    </row>
    <row r="161" spans="5:21" s="130" customFormat="1" ht="13" hidden="1" x14ac:dyDescent="0.3">
      <c r="E161" s="131"/>
      <c r="F161" s="111"/>
      <c r="H161" s="132"/>
      <c r="I161" s="133"/>
      <c r="J161" s="133"/>
      <c r="K161" s="132"/>
      <c r="L161" s="134"/>
      <c r="M161" s="131"/>
      <c r="N161" s="114"/>
      <c r="O161" s="135"/>
      <c r="P161" s="114"/>
      <c r="Q161" s="114"/>
      <c r="R161" s="114"/>
      <c r="S161" s="114"/>
      <c r="T161" s="114"/>
      <c r="U161" s="114"/>
    </row>
    <row r="162" spans="5:21" s="130" customFormat="1" ht="13" hidden="1" x14ac:dyDescent="0.3">
      <c r="E162" s="131"/>
      <c r="F162" s="111"/>
      <c r="H162" s="132"/>
      <c r="I162" s="133"/>
      <c r="J162" s="133"/>
      <c r="K162" s="132"/>
      <c r="L162" s="134"/>
      <c r="M162" s="131"/>
      <c r="N162" s="114"/>
      <c r="O162" s="135"/>
      <c r="P162" s="114"/>
      <c r="Q162" s="114"/>
      <c r="R162" s="114"/>
      <c r="S162" s="114"/>
      <c r="T162" s="114"/>
      <c r="U162" s="114"/>
    </row>
    <row r="163" spans="5:21" s="130" customFormat="1" ht="13" hidden="1" x14ac:dyDescent="0.3">
      <c r="E163" s="131"/>
      <c r="F163" s="111"/>
      <c r="H163" s="132"/>
      <c r="I163" s="133"/>
      <c r="J163" s="133"/>
      <c r="K163" s="132"/>
      <c r="L163" s="134"/>
      <c r="M163" s="131"/>
      <c r="N163" s="114"/>
      <c r="O163" s="135"/>
      <c r="P163" s="114"/>
      <c r="Q163" s="114"/>
      <c r="R163" s="114"/>
      <c r="S163" s="114"/>
      <c r="T163" s="114"/>
      <c r="U163" s="114"/>
    </row>
    <row r="164" spans="5:21" s="130" customFormat="1" ht="13" hidden="1" x14ac:dyDescent="0.3">
      <c r="E164" s="131"/>
      <c r="F164" s="111"/>
      <c r="H164" s="132"/>
      <c r="I164" s="133"/>
      <c r="J164" s="133"/>
      <c r="K164" s="132"/>
      <c r="L164" s="134"/>
      <c r="M164" s="131"/>
      <c r="N164" s="114"/>
      <c r="O164" s="135"/>
      <c r="P164" s="114"/>
      <c r="Q164" s="114"/>
      <c r="R164" s="114"/>
      <c r="S164" s="114"/>
      <c r="T164" s="114"/>
      <c r="U164" s="114"/>
    </row>
    <row r="165" spans="5:21" s="130" customFormat="1" ht="13" hidden="1" x14ac:dyDescent="0.3">
      <c r="E165" s="131"/>
      <c r="F165" s="111"/>
      <c r="H165" s="132"/>
      <c r="I165" s="133"/>
      <c r="J165" s="133"/>
      <c r="K165" s="132"/>
      <c r="L165" s="134"/>
      <c r="M165" s="131"/>
      <c r="N165" s="114"/>
      <c r="O165" s="135"/>
      <c r="P165" s="114"/>
      <c r="Q165" s="114"/>
      <c r="R165" s="114"/>
      <c r="S165" s="114"/>
      <c r="T165" s="114"/>
      <c r="U165" s="114"/>
    </row>
    <row r="166" spans="5:21" s="130" customFormat="1" ht="13" hidden="1" x14ac:dyDescent="0.3">
      <c r="E166" s="131"/>
      <c r="F166" s="111"/>
      <c r="H166" s="132"/>
      <c r="I166" s="133"/>
      <c r="J166" s="133"/>
      <c r="K166" s="132"/>
      <c r="L166" s="134"/>
      <c r="M166" s="131"/>
      <c r="N166" s="114"/>
      <c r="O166" s="135"/>
      <c r="P166" s="114"/>
      <c r="Q166" s="114"/>
      <c r="R166" s="114"/>
      <c r="S166" s="114"/>
      <c r="T166" s="114"/>
      <c r="U166" s="114"/>
    </row>
    <row r="167" spans="5:21" s="130" customFormat="1" ht="13" hidden="1" x14ac:dyDescent="0.3">
      <c r="E167" s="131"/>
      <c r="F167" s="111"/>
      <c r="H167" s="132"/>
      <c r="I167" s="133"/>
      <c r="J167" s="133"/>
      <c r="K167" s="132"/>
      <c r="L167" s="134"/>
      <c r="M167" s="131"/>
      <c r="N167" s="114"/>
      <c r="O167" s="135"/>
      <c r="P167" s="114"/>
      <c r="Q167" s="114"/>
      <c r="R167" s="114"/>
      <c r="S167" s="114"/>
      <c r="T167" s="114"/>
      <c r="U167" s="114"/>
    </row>
    <row r="168" spans="5:21" s="130" customFormat="1" ht="13" hidden="1" x14ac:dyDescent="0.3">
      <c r="E168" s="131"/>
      <c r="F168" s="111"/>
      <c r="H168" s="132"/>
      <c r="I168" s="133"/>
      <c r="J168" s="133"/>
      <c r="K168" s="132"/>
      <c r="L168" s="134"/>
      <c r="M168" s="131"/>
      <c r="N168" s="114"/>
      <c r="O168" s="135"/>
      <c r="P168" s="114"/>
      <c r="Q168" s="114"/>
      <c r="R168" s="114"/>
      <c r="S168" s="114"/>
      <c r="T168" s="114"/>
      <c r="U168" s="114"/>
    </row>
    <row r="169" spans="5:21" s="130" customFormat="1" ht="13" hidden="1" x14ac:dyDescent="0.3">
      <c r="E169" s="131"/>
      <c r="F169" s="111"/>
      <c r="H169" s="132"/>
      <c r="I169" s="133"/>
      <c r="J169" s="133"/>
      <c r="K169" s="132"/>
      <c r="L169" s="134"/>
      <c r="M169" s="131"/>
      <c r="N169" s="114"/>
      <c r="O169" s="135"/>
      <c r="P169" s="114"/>
      <c r="Q169" s="114"/>
      <c r="R169" s="114"/>
      <c r="S169" s="114"/>
      <c r="T169" s="114"/>
      <c r="U169" s="114"/>
    </row>
    <row r="170" spans="5:21" s="130" customFormat="1" ht="13" hidden="1" x14ac:dyDescent="0.3">
      <c r="E170" s="131"/>
      <c r="F170" s="111"/>
      <c r="H170" s="132"/>
      <c r="I170" s="133"/>
      <c r="J170" s="133"/>
      <c r="K170" s="132"/>
      <c r="L170" s="134"/>
      <c r="M170" s="131"/>
      <c r="N170" s="114"/>
      <c r="O170" s="135"/>
      <c r="P170" s="114"/>
      <c r="Q170" s="114"/>
      <c r="R170" s="114"/>
      <c r="S170" s="114"/>
      <c r="T170" s="114"/>
      <c r="U170" s="114"/>
    </row>
    <row r="171" spans="5:21" s="130" customFormat="1" ht="13" hidden="1" x14ac:dyDescent="0.3">
      <c r="E171" s="131"/>
      <c r="F171" s="111"/>
      <c r="H171" s="132"/>
      <c r="I171" s="133"/>
      <c r="J171" s="133"/>
      <c r="K171" s="132"/>
      <c r="L171" s="134"/>
      <c r="M171" s="131"/>
      <c r="N171" s="114"/>
      <c r="O171" s="135"/>
      <c r="P171" s="114"/>
      <c r="Q171" s="114"/>
      <c r="R171" s="114"/>
      <c r="S171" s="114"/>
      <c r="T171" s="114"/>
      <c r="U171" s="114"/>
    </row>
    <row r="172" spans="5:21" s="130" customFormat="1" ht="13" hidden="1" x14ac:dyDescent="0.3">
      <c r="E172" s="131"/>
      <c r="F172" s="111"/>
      <c r="H172" s="132"/>
      <c r="I172" s="133"/>
      <c r="J172" s="133"/>
      <c r="K172" s="132"/>
      <c r="L172" s="134"/>
      <c r="M172" s="131"/>
      <c r="N172" s="114"/>
      <c r="O172" s="135"/>
      <c r="P172" s="114"/>
      <c r="Q172" s="114"/>
      <c r="R172" s="114"/>
      <c r="S172" s="114"/>
      <c r="T172" s="114"/>
      <c r="U172" s="114"/>
    </row>
    <row r="173" spans="5:21" s="130" customFormat="1" ht="13" hidden="1" x14ac:dyDescent="0.3">
      <c r="E173" s="131"/>
      <c r="F173" s="111"/>
      <c r="H173" s="132"/>
      <c r="I173" s="133"/>
      <c r="J173" s="133"/>
      <c r="K173" s="132"/>
      <c r="L173" s="134"/>
      <c r="M173" s="131"/>
      <c r="N173" s="114"/>
      <c r="O173" s="135"/>
      <c r="P173" s="114"/>
      <c r="Q173" s="114"/>
      <c r="R173" s="114"/>
      <c r="S173" s="114"/>
      <c r="T173" s="114"/>
      <c r="U173" s="114"/>
    </row>
    <row r="174" spans="5:21" s="130" customFormat="1" ht="13" hidden="1" x14ac:dyDescent="0.3">
      <c r="E174" s="131"/>
      <c r="F174" s="111"/>
      <c r="H174" s="132"/>
      <c r="I174" s="133"/>
      <c r="J174" s="133"/>
      <c r="K174" s="132"/>
      <c r="L174" s="134"/>
      <c r="M174" s="131"/>
      <c r="N174" s="114"/>
      <c r="O174" s="135"/>
      <c r="P174" s="114"/>
      <c r="Q174" s="114"/>
      <c r="R174" s="114"/>
      <c r="S174" s="114"/>
      <c r="T174" s="114"/>
      <c r="U174" s="114"/>
    </row>
    <row r="175" spans="5:21" s="130" customFormat="1" ht="13" hidden="1" x14ac:dyDescent="0.3">
      <c r="E175" s="131"/>
      <c r="F175" s="111"/>
      <c r="H175" s="132"/>
      <c r="I175" s="133"/>
      <c r="J175" s="133"/>
      <c r="K175" s="132"/>
      <c r="L175" s="134"/>
      <c r="M175" s="131"/>
      <c r="N175" s="114"/>
      <c r="O175" s="135"/>
      <c r="P175" s="114"/>
      <c r="Q175" s="114"/>
      <c r="R175" s="114"/>
      <c r="S175" s="114"/>
      <c r="T175" s="114"/>
      <c r="U175" s="114"/>
    </row>
    <row r="176" spans="5:21" s="130" customFormat="1" ht="13" hidden="1" x14ac:dyDescent="0.3">
      <c r="E176" s="131"/>
      <c r="F176" s="111"/>
      <c r="H176" s="132"/>
      <c r="I176" s="133"/>
      <c r="J176" s="133"/>
      <c r="K176" s="132"/>
      <c r="L176" s="134"/>
      <c r="M176" s="131"/>
      <c r="N176" s="114"/>
      <c r="O176" s="135"/>
      <c r="P176" s="114"/>
      <c r="Q176" s="114"/>
      <c r="R176" s="114"/>
      <c r="S176" s="114"/>
      <c r="T176" s="114"/>
      <c r="U176" s="114"/>
    </row>
    <row r="177" spans="5:21" s="130" customFormat="1" ht="13" hidden="1" x14ac:dyDescent="0.3">
      <c r="E177" s="131"/>
      <c r="F177" s="111"/>
      <c r="H177" s="132"/>
      <c r="I177" s="133"/>
      <c r="J177" s="133"/>
      <c r="K177" s="132"/>
      <c r="L177" s="134"/>
      <c r="M177" s="131"/>
      <c r="N177" s="114"/>
      <c r="O177" s="135"/>
      <c r="P177" s="114"/>
      <c r="Q177" s="114"/>
      <c r="R177" s="114"/>
      <c r="S177" s="114"/>
      <c r="T177" s="114"/>
      <c r="U177" s="114"/>
    </row>
    <row r="178" spans="5:21" s="130" customFormat="1" ht="13" hidden="1" x14ac:dyDescent="0.3">
      <c r="E178" s="131"/>
      <c r="F178" s="111"/>
      <c r="H178" s="132"/>
      <c r="I178" s="133"/>
      <c r="J178" s="133"/>
      <c r="K178" s="132"/>
      <c r="L178" s="134"/>
      <c r="M178" s="131"/>
      <c r="N178" s="114"/>
      <c r="O178" s="135"/>
      <c r="P178" s="114"/>
      <c r="Q178" s="114"/>
      <c r="R178" s="114"/>
      <c r="S178" s="114"/>
      <c r="T178" s="114"/>
      <c r="U178" s="114"/>
    </row>
    <row r="179" spans="5:21" s="130" customFormat="1" ht="13" hidden="1" x14ac:dyDescent="0.3">
      <c r="E179" s="131"/>
      <c r="F179" s="111"/>
      <c r="H179" s="132"/>
      <c r="I179" s="133"/>
      <c r="J179" s="133"/>
      <c r="K179" s="132"/>
      <c r="L179" s="134"/>
      <c r="M179" s="131"/>
      <c r="N179" s="114"/>
      <c r="O179" s="135"/>
      <c r="P179" s="114"/>
      <c r="Q179" s="114"/>
      <c r="R179" s="114"/>
      <c r="S179" s="114"/>
      <c r="T179" s="114"/>
      <c r="U179" s="114"/>
    </row>
    <row r="180" spans="5:21" s="130" customFormat="1" ht="13" hidden="1" x14ac:dyDescent="0.3">
      <c r="E180" s="131"/>
      <c r="F180" s="111"/>
      <c r="H180" s="132"/>
      <c r="I180" s="133"/>
      <c r="J180" s="133"/>
      <c r="K180" s="132"/>
      <c r="L180" s="134"/>
      <c r="M180" s="131"/>
      <c r="N180" s="114"/>
      <c r="O180" s="135"/>
      <c r="P180" s="114"/>
      <c r="Q180" s="114"/>
      <c r="R180" s="114"/>
      <c r="S180" s="114"/>
      <c r="T180" s="114"/>
      <c r="U180" s="114"/>
    </row>
    <row r="181" spans="5:21" s="130" customFormat="1" ht="13" hidden="1" x14ac:dyDescent="0.3">
      <c r="E181" s="131"/>
      <c r="F181" s="111"/>
      <c r="H181" s="132"/>
      <c r="I181" s="133"/>
      <c r="J181" s="133"/>
      <c r="K181" s="132"/>
      <c r="L181" s="134"/>
      <c r="M181" s="131"/>
      <c r="N181" s="114"/>
      <c r="O181" s="135"/>
      <c r="P181" s="114"/>
      <c r="Q181" s="114"/>
      <c r="R181" s="114"/>
      <c r="S181" s="114"/>
      <c r="T181" s="114"/>
      <c r="U181" s="114"/>
    </row>
    <row r="182" spans="5:21" s="130" customFormat="1" ht="13" hidden="1" x14ac:dyDescent="0.3">
      <c r="E182" s="131"/>
      <c r="F182" s="111"/>
      <c r="H182" s="132"/>
      <c r="I182" s="133"/>
      <c r="J182" s="133"/>
      <c r="K182" s="132"/>
      <c r="L182" s="134"/>
      <c r="M182" s="131"/>
      <c r="N182" s="114"/>
      <c r="O182" s="135"/>
      <c r="P182" s="114"/>
      <c r="Q182" s="114"/>
      <c r="R182" s="114"/>
      <c r="S182" s="114"/>
      <c r="T182" s="114"/>
      <c r="U182" s="114"/>
    </row>
    <row r="183" spans="5:21" s="130" customFormat="1" ht="13" hidden="1" x14ac:dyDescent="0.3">
      <c r="E183" s="131"/>
      <c r="F183" s="111"/>
      <c r="H183" s="132"/>
      <c r="I183" s="133"/>
      <c r="J183" s="133"/>
      <c r="K183" s="132"/>
      <c r="L183" s="134"/>
      <c r="M183" s="131"/>
      <c r="N183" s="114"/>
      <c r="O183" s="135"/>
      <c r="P183" s="114"/>
      <c r="Q183" s="114"/>
      <c r="R183" s="114"/>
      <c r="S183" s="114"/>
      <c r="T183" s="114"/>
      <c r="U183" s="114"/>
    </row>
    <row r="184" spans="5:21" s="130" customFormat="1" ht="13" hidden="1" x14ac:dyDescent="0.3">
      <c r="E184" s="131"/>
      <c r="F184" s="111"/>
      <c r="H184" s="132"/>
      <c r="I184" s="133"/>
      <c r="J184" s="133"/>
      <c r="K184" s="132"/>
      <c r="L184" s="134"/>
      <c r="M184" s="131"/>
      <c r="N184" s="114"/>
      <c r="O184" s="135"/>
      <c r="P184" s="114"/>
      <c r="Q184" s="114"/>
      <c r="R184" s="114"/>
      <c r="S184" s="114"/>
      <c r="T184" s="114"/>
      <c r="U184" s="114"/>
    </row>
    <row r="185" spans="5:21" s="130" customFormat="1" ht="13" hidden="1" x14ac:dyDescent="0.3">
      <c r="E185" s="131"/>
      <c r="F185" s="111"/>
      <c r="H185" s="132"/>
      <c r="I185" s="133"/>
      <c r="J185" s="133"/>
      <c r="K185" s="132"/>
      <c r="L185" s="134"/>
      <c r="M185" s="131"/>
      <c r="N185" s="114"/>
      <c r="O185" s="135"/>
      <c r="P185" s="114"/>
      <c r="Q185" s="114"/>
      <c r="R185" s="114"/>
      <c r="S185" s="114"/>
      <c r="T185" s="114"/>
      <c r="U185" s="114"/>
    </row>
    <row r="186" spans="5:21" s="130" customFormat="1" ht="13" hidden="1" x14ac:dyDescent="0.3">
      <c r="E186" s="131"/>
      <c r="F186" s="111"/>
      <c r="H186" s="132"/>
      <c r="I186" s="133"/>
      <c r="J186" s="133"/>
      <c r="K186" s="132"/>
      <c r="L186" s="134"/>
      <c r="M186" s="131"/>
      <c r="N186" s="114"/>
      <c r="O186" s="135"/>
      <c r="P186" s="114"/>
      <c r="Q186" s="114"/>
      <c r="R186" s="114"/>
      <c r="S186" s="114"/>
      <c r="T186" s="114"/>
      <c r="U186" s="114"/>
    </row>
    <row r="187" spans="5:21" s="130" customFormat="1" ht="13" hidden="1" x14ac:dyDescent="0.3">
      <c r="E187" s="131"/>
      <c r="F187" s="111"/>
      <c r="H187" s="132"/>
      <c r="I187" s="133"/>
      <c r="J187" s="133"/>
      <c r="K187" s="132"/>
      <c r="L187" s="134"/>
      <c r="M187" s="131"/>
      <c r="N187" s="114"/>
      <c r="O187" s="135"/>
      <c r="P187" s="114"/>
      <c r="Q187" s="114"/>
      <c r="R187" s="114"/>
      <c r="S187" s="114"/>
      <c r="T187" s="114"/>
      <c r="U187" s="114"/>
    </row>
    <row r="188" spans="5:21" s="130" customFormat="1" ht="13" hidden="1" x14ac:dyDescent="0.3">
      <c r="E188" s="131"/>
      <c r="F188" s="111"/>
      <c r="H188" s="132"/>
      <c r="I188" s="133"/>
      <c r="J188" s="133"/>
      <c r="K188" s="132"/>
      <c r="L188" s="134"/>
      <c r="M188" s="131"/>
      <c r="N188" s="114"/>
      <c r="O188" s="135"/>
      <c r="P188" s="114"/>
      <c r="Q188" s="114"/>
      <c r="R188" s="114"/>
      <c r="S188" s="114"/>
      <c r="T188" s="114"/>
      <c r="U188" s="114"/>
    </row>
    <row r="189" spans="5:21" s="130" customFormat="1" ht="13" hidden="1" x14ac:dyDescent="0.3">
      <c r="E189" s="131"/>
      <c r="F189" s="111"/>
      <c r="H189" s="132"/>
      <c r="I189" s="133"/>
      <c r="J189" s="133"/>
      <c r="K189" s="132"/>
      <c r="L189" s="134"/>
      <c r="M189" s="131"/>
      <c r="N189" s="114"/>
      <c r="O189" s="135"/>
      <c r="P189" s="114"/>
      <c r="Q189" s="114"/>
      <c r="R189" s="114"/>
      <c r="S189" s="114"/>
      <c r="T189" s="114"/>
      <c r="U189" s="114"/>
    </row>
    <row r="190" spans="5:21" s="130" customFormat="1" ht="13" hidden="1" x14ac:dyDescent="0.3">
      <c r="E190" s="131"/>
      <c r="F190" s="111"/>
      <c r="H190" s="132"/>
      <c r="I190" s="133"/>
      <c r="J190" s="133"/>
      <c r="K190" s="132"/>
      <c r="L190" s="134"/>
      <c r="M190" s="131"/>
      <c r="N190" s="114"/>
      <c r="O190" s="135"/>
      <c r="P190" s="114"/>
      <c r="Q190" s="114"/>
      <c r="R190" s="114"/>
      <c r="S190" s="114"/>
      <c r="T190" s="114"/>
      <c r="U190" s="114"/>
    </row>
    <row r="191" spans="5:21" s="130" customFormat="1" ht="13" hidden="1" x14ac:dyDescent="0.3">
      <c r="E191" s="131"/>
      <c r="F191" s="111"/>
      <c r="H191" s="132"/>
      <c r="I191" s="133"/>
      <c r="J191" s="133"/>
      <c r="K191" s="132"/>
      <c r="L191" s="134"/>
      <c r="M191" s="131"/>
      <c r="N191" s="114"/>
      <c r="O191" s="135"/>
      <c r="P191" s="114"/>
      <c r="Q191" s="114"/>
      <c r="R191" s="114"/>
      <c r="S191" s="114"/>
      <c r="T191" s="114"/>
      <c r="U191" s="114"/>
    </row>
    <row r="192" spans="5:21" s="130" customFormat="1" ht="13" hidden="1" x14ac:dyDescent="0.3">
      <c r="E192" s="131"/>
      <c r="F192" s="111"/>
      <c r="H192" s="132"/>
      <c r="I192" s="133"/>
      <c r="J192" s="133"/>
      <c r="K192" s="132"/>
      <c r="L192" s="134"/>
      <c r="M192" s="131"/>
      <c r="N192" s="114"/>
      <c r="O192" s="135"/>
      <c r="P192" s="114"/>
      <c r="Q192" s="114"/>
      <c r="R192" s="114"/>
      <c r="S192" s="114"/>
      <c r="T192" s="114"/>
      <c r="U192" s="114"/>
    </row>
    <row r="193" spans="5:21" s="130" customFormat="1" ht="13" hidden="1" x14ac:dyDescent="0.3">
      <c r="E193" s="131"/>
      <c r="F193" s="111"/>
      <c r="H193" s="132"/>
      <c r="I193" s="133"/>
      <c r="J193" s="133"/>
      <c r="K193" s="132"/>
      <c r="L193" s="134"/>
      <c r="M193" s="131"/>
      <c r="N193" s="114"/>
      <c r="O193" s="135"/>
      <c r="P193" s="114"/>
      <c r="Q193" s="114"/>
      <c r="R193" s="114"/>
      <c r="S193" s="114"/>
      <c r="T193" s="114"/>
      <c r="U193" s="114"/>
    </row>
    <row r="194" spans="5:21" s="130" customFormat="1" ht="13" hidden="1" x14ac:dyDescent="0.3">
      <c r="E194" s="131"/>
      <c r="F194" s="111"/>
      <c r="H194" s="132"/>
      <c r="I194" s="133"/>
      <c r="J194" s="133"/>
      <c r="K194" s="132"/>
      <c r="L194" s="134"/>
      <c r="M194" s="131"/>
      <c r="N194" s="114"/>
      <c r="O194" s="135"/>
      <c r="P194" s="114"/>
      <c r="Q194" s="114"/>
      <c r="R194" s="114"/>
      <c r="S194" s="114"/>
      <c r="T194" s="114"/>
      <c r="U194" s="114"/>
    </row>
    <row r="195" spans="5:21" s="130" customFormat="1" ht="13" hidden="1" x14ac:dyDescent="0.3">
      <c r="E195" s="131"/>
      <c r="F195" s="111"/>
      <c r="H195" s="132"/>
      <c r="I195" s="133"/>
      <c r="J195" s="133"/>
      <c r="K195" s="132"/>
      <c r="L195" s="134"/>
      <c r="M195" s="131"/>
      <c r="N195" s="114"/>
      <c r="O195" s="135"/>
      <c r="P195" s="114"/>
      <c r="Q195" s="114"/>
      <c r="R195" s="114"/>
      <c r="S195" s="114"/>
      <c r="T195" s="114"/>
      <c r="U195" s="114"/>
    </row>
    <row r="196" spans="5:21" s="130" customFormat="1" ht="13" hidden="1" x14ac:dyDescent="0.3">
      <c r="E196" s="131"/>
      <c r="F196" s="111"/>
      <c r="H196" s="132"/>
      <c r="I196" s="133"/>
      <c r="J196" s="133"/>
      <c r="K196" s="132"/>
      <c r="L196" s="134"/>
      <c r="M196" s="131"/>
      <c r="N196" s="114"/>
      <c r="O196" s="135"/>
      <c r="P196" s="114"/>
      <c r="Q196" s="114"/>
      <c r="R196" s="114"/>
      <c r="S196" s="114"/>
      <c r="T196" s="114"/>
      <c r="U196" s="114"/>
    </row>
    <row r="197" spans="5:21" s="130" customFormat="1" ht="13" hidden="1" x14ac:dyDescent="0.3">
      <c r="E197" s="131"/>
      <c r="F197" s="111"/>
      <c r="H197" s="132"/>
      <c r="I197" s="133"/>
      <c r="J197" s="133"/>
      <c r="K197" s="132"/>
      <c r="L197" s="134"/>
      <c r="M197" s="131"/>
      <c r="N197" s="114"/>
      <c r="O197" s="135"/>
      <c r="P197" s="114"/>
      <c r="Q197" s="114"/>
      <c r="R197" s="114"/>
      <c r="S197" s="114"/>
      <c r="T197" s="114"/>
      <c r="U197" s="114"/>
    </row>
    <row r="198" spans="5:21" s="130" customFormat="1" ht="13" hidden="1" x14ac:dyDescent="0.3">
      <c r="E198" s="131"/>
      <c r="F198" s="111"/>
      <c r="H198" s="132"/>
      <c r="I198" s="133"/>
      <c r="J198" s="133"/>
      <c r="K198" s="132"/>
      <c r="L198" s="134"/>
      <c r="M198" s="131"/>
      <c r="N198" s="114"/>
      <c r="O198" s="135"/>
      <c r="P198" s="114"/>
      <c r="Q198" s="114"/>
      <c r="R198" s="114"/>
      <c r="S198" s="114"/>
      <c r="T198" s="114"/>
      <c r="U198" s="114"/>
    </row>
    <row r="199" spans="5:21" s="130" customFormat="1" ht="13" hidden="1" x14ac:dyDescent="0.3">
      <c r="E199" s="131"/>
      <c r="F199" s="111"/>
      <c r="H199" s="132"/>
      <c r="I199" s="133"/>
      <c r="J199" s="133"/>
      <c r="K199" s="132"/>
      <c r="L199" s="134"/>
      <c r="M199" s="131"/>
      <c r="N199" s="114"/>
      <c r="O199" s="135"/>
      <c r="P199" s="114"/>
      <c r="Q199" s="114"/>
      <c r="R199" s="114"/>
      <c r="S199" s="114"/>
      <c r="T199" s="114"/>
      <c r="U199" s="114"/>
    </row>
    <row r="200" spans="5:21" s="130" customFormat="1" ht="13" hidden="1" x14ac:dyDescent="0.3">
      <c r="E200" s="131"/>
      <c r="F200" s="111"/>
      <c r="H200" s="132"/>
      <c r="I200" s="133"/>
      <c r="J200" s="133"/>
      <c r="K200" s="132"/>
      <c r="L200" s="134"/>
      <c r="M200" s="131"/>
      <c r="N200" s="114"/>
      <c r="O200" s="135"/>
      <c r="P200" s="114"/>
      <c r="Q200" s="114"/>
      <c r="R200" s="114"/>
      <c r="S200" s="114"/>
      <c r="T200" s="114"/>
      <c r="U200" s="114"/>
    </row>
    <row r="201" spans="5:21" s="130" customFormat="1" ht="13" hidden="1" x14ac:dyDescent="0.3">
      <c r="E201" s="131"/>
      <c r="F201" s="111"/>
      <c r="H201" s="132"/>
      <c r="I201" s="133"/>
      <c r="J201" s="133"/>
      <c r="K201" s="132"/>
      <c r="L201" s="134"/>
      <c r="M201" s="131"/>
      <c r="N201" s="114"/>
      <c r="O201" s="135"/>
      <c r="P201" s="114"/>
      <c r="Q201" s="114"/>
      <c r="R201" s="114"/>
      <c r="S201" s="114"/>
      <c r="T201" s="114"/>
      <c r="U201" s="114"/>
    </row>
    <row r="202" spans="5:21" s="130" customFormat="1" ht="13" hidden="1" x14ac:dyDescent="0.3">
      <c r="E202" s="131"/>
      <c r="F202" s="111"/>
      <c r="H202" s="132"/>
      <c r="I202" s="133"/>
      <c r="J202" s="133"/>
      <c r="K202" s="132"/>
      <c r="L202" s="134"/>
      <c r="M202" s="131"/>
      <c r="N202" s="114"/>
      <c r="O202" s="135"/>
      <c r="P202" s="114"/>
      <c r="Q202" s="114"/>
      <c r="R202" s="114"/>
      <c r="S202" s="114"/>
      <c r="T202" s="114"/>
      <c r="U202" s="114"/>
    </row>
    <row r="203" spans="5:21" s="130" customFormat="1" ht="13" hidden="1" x14ac:dyDescent="0.3">
      <c r="E203" s="131"/>
      <c r="F203" s="111"/>
      <c r="H203" s="132"/>
      <c r="I203" s="133"/>
      <c r="J203" s="133"/>
      <c r="K203" s="132"/>
      <c r="L203" s="134"/>
      <c r="M203" s="131"/>
      <c r="N203" s="114"/>
      <c r="O203" s="135"/>
      <c r="P203" s="114"/>
      <c r="Q203" s="114"/>
      <c r="R203" s="114"/>
      <c r="S203" s="114"/>
      <c r="T203" s="114"/>
      <c r="U203" s="114"/>
    </row>
    <row r="204" spans="5:21" s="130" customFormat="1" ht="13" hidden="1" x14ac:dyDescent="0.3">
      <c r="E204" s="131"/>
      <c r="F204" s="111"/>
      <c r="H204" s="132"/>
      <c r="I204" s="133"/>
      <c r="J204" s="133"/>
      <c r="K204" s="132"/>
      <c r="L204" s="134"/>
      <c r="M204" s="131"/>
      <c r="N204" s="114"/>
      <c r="O204" s="135"/>
      <c r="P204" s="114"/>
      <c r="Q204" s="114"/>
      <c r="R204" s="114"/>
      <c r="S204" s="114"/>
      <c r="T204" s="114"/>
      <c r="U204" s="114"/>
    </row>
    <row r="205" spans="5:21" s="130" customFormat="1" ht="13" hidden="1" x14ac:dyDescent="0.3">
      <c r="E205" s="131"/>
      <c r="F205" s="111"/>
      <c r="H205" s="132"/>
      <c r="I205" s="133"/>
      <c r="J205" s="133"/>
      <c r="K205" s="132"/>
      <c r="L205" s="134"/>
      <c r="M205" s="131"/>
      <c r="N205" s="114"/>
      <c r="O205" s="135"/>
      <c r="P205" s="114"/>
      <c r="Q205" s="114"/>
      <c r="R205" s="114"/>
      <c r="S205" s="114"/>
      <c r="T205" s="114"/>
      <c r="U205" s="114"/>
    </row>
    <row r="206" spans="5:21" s="130" customFormat="1" ht="13" hidden="1" x14ac:dyDescent="0.3">
      <c r="E206" s="131"/>
      <c r="F206" s="111"/>
      <c r="H206" s="132"/>
      <c r="I206" s="133"/>
      <c r="J206" s="133"/>
      <c r="K206" s="132"/>
      <c r="L206" s="134"/>
      <c r="M206" s="131"/>
      <c r="N206" s="114"/>
      <c r="O206" s="135"/>
      <c r="P206" s="114"/>
      <c r="Q206" s="114"/>
      <c r="R206" s="114"/>
      <c r="S206" s="114"/>
      <c r="T206" s="114"/>
      <c r="U206" s="114"/>
    </row>
    <row r="207" spans="5:21" s="130" customFormat="1" ht="13" hidden="1" x14ac:dyDescent="0.3">
      <c r="E207" s="131"/>
      <c r="F207" s="111"/>
      <c r="H207" s="132"/>
      <c r="I207" s="133"/>
      <c r="J207" s="133"/>
      <c r="K207" s="132"/>
      <c r="L207" s="134"/>
      <c r="M207" s="131"/>
      <c r="N207" s="114"/>
      <c r="O207" s="135"/>
      <c r="P207" s="114"/>
      <c r="Q207" s="114"/>
      <c r="R207" s="114"/>
      <c r="S207" s="114"/>
      <c r="T207" s="114"/>
      <c r="U207" s="114"/>
    </row>
    <row r="208" spans="5:21" s="130" customFormat="1" ht="13" hidden="1" x14ac:dyDescent="0.3">
      <c r="E208" s="131"/>
      <c r="F208" s="111"/>
      <c r="H208" s="132"/>
      <c r="I208" s="133"/>
      <c r="J208" s="133"/>
      <c r="K208" s="132"/>
      <c r="L208" s="134"/>
      <c r="M208" s="131"/>
      <c r="N208" s="114"/>
      <c r="O208" s="135"/>
      <c r="P208" s="114"/>
      <c r="Q208" s="114"/>
      <c r="R208" s="114"/>
      <c r="S208" s="114"/>
      <c r="T208" s="114"/>
      <c r="U208" s="114"/>
    </row>
    <row r="209" spans="5:21" s="130" customFormat="1" ht="13" hidden="1" x14ac:dyDescent="0.3">
      <c r="E209" s="131"/>
      <c r="F209" s="111"/>
      <c r="H209" s="132"/>
      <c r="I209" s="133"/>
      <c r="J209" s="133"/>
      <c r="K209" s="132"/>
      <c r="L209" s="134"/>
      <c r="M209" s="131"/>
      <c r="N209" s="114"/>
      <c r="O209" s="135"/>
      <c r="P209" s="114"/>
      <c r="Q209" s="114"/>
      <c r="R209" s="114"/>
      <c r="S209" s="114"/>
      <c r="T209" s="114"/>
      <c r="U209" s="114"/>
    </row>
    <row r="210" spans="5:21" s="130" customFormat="1" ht="13" hidden="1" x14ac:dyDescent="0.3">
      <c r="E210" s="131"/>
      <c r="F210" s="111"/>
      <c r="H210" s="132"/>
      <c r="I210" s="133"/>
      <c r="J210" s="133"/>
      <c r="K210" s="132"/>
      <c r="L210" s="134"/>
      <c r="M210" s="131"/>
      <c r="N210" s="114"/>
      <c r="O210" s="135"/>
      <c r="P210" s="114"/>
      <c r="Q210" s="114"/>
      <c r="R210" s="114"/>
      <c r="S210" s="114"/>
      <c r="T210" s="114"/>
      <c r="U210" s="114"/>
    </row>
    <row r="211" spans="5:21" s="130" customFormat="1" ht="13" hidden="1" x14ac:dyDescent="0.3">
      <c r="E211" s="131"/>
      <c r="F211" s="111"/>
      <c r="H211" s="132"/>
      <c r="I211" s="133"/>
      <c r="J211" s="133"/>
      <c r="K211" s="132"/>
      <c r="L211" s="134"/>
      <c r="M211" s="131"/>
      <c r="N211" s="114"/>
      <c r="O211" s="135"/>
      <c r="P211" s="114"/>
      <c r="Q211" s="114"/>
      <c r="R211" s="114"/>
      <c r="S211" s="114"/>
      <c r="T211" s="114"/>
      <c r="U211" s="114"/>
    </row>
    <row r="212" spans="5:21" s="130" customFormat="1" ht="13" hidden="1" x14ac:dyDescent="0.3">
      <c r="E212" s="131"/>
      <c r="F212" s="111"/>
      <c r="H212" s="132"/>
      <c r="I212" s="133"/>
      <c r="J212" s="133"/>
      <c r="K212" s="132"/>
      <c r="L212" s="134"/>
      <c r="M212" s="131"/>
      <c r="N212" s="114"/>
      <c r="O212" s="135"/>
      <c r="P212" s="114"/>
      <c r="Q212" s="114"/>
      <c r="R212" s="114"/>
      <c r="S212" s="114"/>
      <c r="T212" s="114"/>
      <c r="U212" s="114"/>
    </row>
    <row r="213" spans="5:21" s="130" customFormat="1" ht="13" hidden="1" x14ac:dyDescent="0.3">
      <c r="E213" s="131"/>
      <c r="F213" s="111"/>
      <c r="H213" s="132"/>
      <c r="I213" s="133"/>
      <c r="J213" s="133"/>
      <c r="K213" s="132"/>
      <c r="L213" s="134"/>
      <c r="M213" s="131"/>
      <c r="N213" s="114"/>
      <c r="O213" s="135"/>
      <c r="P213" s="114"/>
      <c r="Q213" s="114"/>
      <c r="R213" s="114"/>
      <c r="S213" s="114"/>
      <c r="T213" s="114"/>
      <c r="U213" s="114"/>
    </row>
    <row r="214" spans="5:21" s="130" customFormat="1" ht="13" hidden="1" x14ac:dyDescent="0.3">
      <c r="E214" s="131"/>
      <c r="F214" s="111"/>
      <c r="H214" s="132"/>
      <c r="I214" s="133"/>
      <c r="J214" s="133"/>
      <c r="K214" s="132"/>
      <c r="L214" s="134"/>
      <c r="M214" s="131"/>
      <c r="N214" s="114"/>
      <c r="O214" s="135"/>
      <c r="P214" s="114"/>
      <c r="Q214" s="114"/>
      <c r="R214" s="114"/>
      <c r="S214" s="114"/>
      <c r="T214" s="114"/>
      <c r="U214" s="114"/>
    </row>
    <row r="215" spans="5:21" s="130" customFormat="1" ht="13" hidden="1" x14ac:dyDescent="0.3">
      <c r="E215" s="131"/>
      <c r="F215" s="111"/>
      <c r="H215" s="132"/>
      <c r="I215" s="133"/>
      <c r="J215" s="133"/>
      <c r="K215" s="132"/>
      <c r="L215" s="134"/>
      <c r="M215" s="131"/>
      <c r="N215" s="114"/>
      <c r="O215" s="135"/>
      <c r="P215" s="114"/>
      <c r="Q215" s="114"/>
      <c r="R215" s="114"/>
      <c r="S215" s="114"/>
      <c r="T215" s="114"/>
      <c r="U215" s="114"/>
    </row>
    <row r="216" spans="5:21" s="130" customFormat="1" ht="13" hidden="1" x14ac:dyDescent="0.3">
      <c r="E216" s="131"/>
      <c r="F216" s="111"/>
      <c r="H216" s="132"/>
      <c r="I216" s="133"/>
      <c r="J216" s="133"/>
      <c r="K216" s="132"/>
      <c r="L216" s="134"/>
      <c r="M216" s="131"/>
      <c r="N216" s="114"/>
      <c r="O216" s="135"/>
      <c r="P216" s="114"/>
      <c r="Q216" s="114"/>
      <c r="R216" s="114"/>
      <c r="S216" s="114"/>
      <c r="T216" s="114"/>
      <c r="U216" s="114"/>
    </row>
    <row r="217" spans="5:21" s="130" customFormat="1" ht="13" hidden="1" x14ac:dyDescent="0.3">
      <c r="E217" s="131"/>
      <c r="F217" s="111"/>
      <c r="H217" s="132"/>
      <c r="I217" s="133"/>
      <c r="J217" s="133"/>
      <c r="K217" s="132"/>
      <c r="L217" s="134"/>
      <c r="M217" s="131"/>
      <c r="N217" s="114"/>
      <c r="O217" s="135"/>
      <c r="P217" s="114"/>
      <c r="Q217" s="114"/>
      <c r="R217" s="114"/>
      <c r="S217" s="114"/>
      <c r="T217" s="114"/>
      <c r="U217" s="114"/>
    </row>
    <row r="218" spans="5:21" s="130" customFormat="1" ht="13" hidden="1" x14ac:dyDescent="0.3">
      <c r="E218" s="131"/>
      <c r="F218" s="111"/>
      <c r="H218" s="132"/>
      <c r="I218" s="133"/>
      <c r="J218" s="133"/>
      <c r="K218" s="132"/>
      <c r="L218" s="134"/>
      <c r="M218" s="131"/>
      <c r="N218" s="114"/>
      <c r="O218" s="135"/>
      <c r="P218" s="114"/>
      <c r="Q218" s="114"/>
      <c r="R218" s="114"/>
      <c r="S218" s="114"/>
      <c r="T218" s="114"/>
      <c r="U218" s="114"/>
    </row>
    <row r="219" spans="5:21" s="130" customFormat="1" ht="13" hidden="1" x14ac:dyDescent="0.3">
      <c r="E219" s="131"/>
      <c r="F219" s="111"/>
      <c r="H219" s="132"/>
      <c r="I219" s="133"/>
      <c r="J219" s="133"/>
      <c r="K219" s="132"/>
      <c r="L219" s="134"/>
      <c r="M219" s="131"/>
      <c r="N219" s="114"/>
      <c r="O219" s="135"/>
      <c r="P219" s="114"/>
      <c r="Q219" s="114"/>
      <c r="R219" s="114"/>
      <c r="S219" s="114"/>
      <c r="T219" s="114"/>
      <c r="U219" s="114"/>
    </row>
    <row r="220" spans="5:21" s="130" customFormat="1" ht="13" hidden="1" x14ac:dyDescent="0.3">
      <c r="E220" s="131"/>
      <c r="F220" s="111"/>
      <c r="H220" s="132"/>
      <c r="I220" s="133"/>
      <c r="J220" s="133"/>
      <c r="K220" s="132"/>
      <c r="L220" s="134"/>
      <c r="M220" s="131"/>
      <c r="N220" s="114"/>
      <c r="O220" s="135"/>
      <c r="P220" s="114"/>
      <c r="Q220" s="114"/>
      <c r="R220" s="114"/>
      <c r="S220" s="114"/>
      <c r="T220" s="114"/>
      <c r="U220" s="114"/>
    </row>
    <row r="221" spans="5:21" s="130" customFormat="1" ht="13" hidden="1" x14ac:dyDescent="0.3">
      <c r="E221" s="131"/>
      <c r="F221" s="111"/>
      <c r="H221" s="132"/>
      <c r="I221" s="133"/>
      <c r="J221" s="133"/>
      <c r="K221" s="132"/>
      <c r="L221" s="134"/>
      <c r="M221" s="131"/>
      <c r="N221" s="114"/>
      <c r="O221" s="135"/>
      <c r="P221" s="114"/>
      <c r="Q221" s="114"/>
      <c r="R221" s="114"/>
      <c r="S221" s="114"/>
      <c r="T221" s="114"/>
      <c r="U221" s="114"/>
    </row>
    <row r="222" spans="5:21" s="130" customFormat="1" ht="13" hidden="1" x14ac:dyDescent="0.3">
      <c r="E222" s="131"/>
      <c r="F222" s="111"/>
      <c r="H222" s="132"/>
      <c r="I222" s="133"/>
      <c r="J222" s="133"/>
      <c r="K222" s="132"/>
      <c r="L222" s="134"/>
      <c r="M222" s="131"/>
      <c r="N222" s="114"/>
      <c r="O222" s="135"/>
      <c r="P222" s="114"/>
      <c r="Q222" s="114"/>
      <c r="R222" s="114"/>
      <c r="S222" s="114"/>
      <c r="T222" s="114"/>
      <c r="U222" s="114"/>
    </row>
    <row r="223" spans="5:21" s="130" customFormat="1" ht="13" hidden="1" x14ac:dyDescent="0.3">
      <c r="E223" s="131"/>
      <c r="F223" s="111"/>
      <c r="H223" s="132"/>
      <c r="I223" s="133"/>
      <c r="J223" s="133"/>
      <c r="K223" s="132"/>
      <c r="L223" s="134"/>
      <c r="M223" s="131"/>
      <c r="N223" s="114"/>
      <c r="O223" s="135"/>
      <c r="P223" s="114"/>
      <c r="Q223" s="114"/>
      <c r="R223" s="114"/>
      <c r="S223" s="114"/>
      <c r="T223" s="114"/>
      <c r="U223" s="114"/>
    </row>
    <row r="224" spans="5:21" s="130" customFormat="1" ht="13" hidden="1" x14ac:dyDescent="0.3">
      <c r="E224" s="131"/>
      <c r="F224" s="111"/>
      <c r="H224" s="132"/>
      <c r="I224" s="133"/>
      <c r="J224" s="133"/>
      <c r="K224" s="132"/>
      <c r="L224" s="134"/>
      <c r="M224" s="131"/>
      <c r="N224" s="114"/>
      <c r="O224" s="135"/>
      <c r="P224" s="114"/>
      <c r="Q224" s="114"/>
      <c r="R224" s="114"/>
      <c r="S224" s="114"/>
      <c r="T224" s="114"/>
      <c r="U224" s="114"/>
    </row>
    <row r="225" spans="5:21" s="130" customFormat="1" ht="13" hidden="1" x14ac:dyDescent="0.3">
      <c r="E225" s="131"/>
      <c r="F225" s="111"/>
      <c r="H225" s="132"/>
      <c r="I225" s="133"/>
      <c r="J225" s="133"/>
      <c r="K225" s="132"/>
      <c r="L225" s="134"/>
      <c r="M225" s="131"/>
      <c r="N225" s="114"/>
      <c r="O225" s="135"/>
      <c r="P225" s="114"/>
      <c r="Q225" s="114"/>
      <c r="R225" s="114"/>
      <c r="S225" s="114"/>
      <c r="T225" s="114"/>
      <c r="U225" s="114"/>
    </row>
    <row r="226" spans="5:21" s="130" customFormat="1" ht="13" hidden="1" x14ac:dyDescent="0.3">
      <c r="E226" s="131"/>
      <c r="F226" s="111"/>
      <c r="H226" s="132"/>
      <c r="I226" s="133"/>
      <c r="J226" s="133"/>
      <c r="K226" s="132"/>
      <c r="L226" s="134"/>
      <c r="M226" s="131"/>
      <c r="N226" s="114"/>
      <c r="O226" s="135"/>
      <c r="P226" s="114"/>
      <c r="Q226" s="114"/>
      <c r="R226" s="114"/>
      <c r="S226" s="114"/>
      <c r="T226" s="114"/>
      <c r="U226" s="114"/>
    </row>
    <row r="227" spans="5:21" s="130" customFormat="1" ht="13" hidden="1" x14ac:dyDescent="0.3">
      <c r="E227" s="131"/>
      <c r="F227" s="111"/>
      <c r="H227" s="132"/>
      <c r="I227" s="133"/>
      <c r="J227" s="133"/>
      <c r="K227" s="132"/>
      <c r="L227" s="134"/>
      <c r="M227" s="131"/>
      <c r="N227" s="114"/>
      <c r="O227" s="135"/>
      <c r="P227" s="114"/>
      <c r="Q227" s="114"/>
      <c r="R227" s="114"/>
      <c r="S227" s="114"/>
      <c r="T227" s="114"/>
      <c r="U227" s="114"/>
    </row>
    <row r="228" spans="5:21" s="130" customFormat="1" ht="13" hidden="1" x14ac:dyDescent="0.3">
      <c r="E228" s="131"/>
      <c r="F228" s="111"/>
      <c r="H228" s="132"/>
      <c r="I228" s="133"/>
      <c r="J228" s="133"/>
      <c r="K228" s="132"/>
      <c r="L228" s="134"/>
      <c r="M228" s="131"/>
      <c r="N228" s="114"/>
      <c r="O228" s="135"/>
      <c r="P228" s="114"/>
      <c r="Q228" s="114"/>
      <c r="R228" s="114"/>
      <c r="S228" s="114"/>
      <c r="T228" s="114"/>
      <c r="U228" s="114"/>
    </row>
    <row r="229" spans="5:21" s="130" customFormat="1" ht="13" hidden="1" x14ac:dyDescent="0.3">
      <c r="E229" s="131"/>
      <c r="F229" s="111"/>
      <c r="H229" s="132"/>
      <c r="I229" s="133"/>
      <c r="J229" s="133"/>
      <c r="K229" s="132"/>
      <c r="L229" s="134"/>
      <c r="M229" s="131"/>
      <c r="N229" s="114"/>
      <c r="O229" s="135"/>
      <c r="P229" s="114"/>
      <c r="Q229" s="114"/>
      <c r="R229" s="114"/>
      <c r="S229" s="114"/>
      <c r="T229" s="114"/>
      <c r="U229" s="114"/>
    </row>
    <row r="230" spans="5:21" s="130" customFormat="1" ht="13" hidden="1" x14ac:dyDescent="0.3">
      <c r="E230" s="131"/>
      <c r="F230" s="111"/>
      <c r="H230" s="132"/>
      <c r="I230" s="133"/>
      <c r="J230" s="133"/>
      <c r="K230" s="132"/>
      <c r="L230" s="134"/>
      <c r="M230" s="131"/>
      <c r="N230" s="114"/>
      <c r="O230" s="135"/>
      <c r="P230" s="114"/>
      <c r="Q230" s="114"/>
      <c r="R230" s="114"/>
      <c r="S230" s="114"/>
      <c r="T230" s="114"/>
      <c r="U230" s="114"/>
    </row>
    <row r="231" spans="5:21" s="130" customFormat="1" ht="13" hidden="1" x14ac:dyDescent="0.3">
      <c r="E231" s="131"/>
      <c r="F231" s="111"/>
      <c r="H231" s="132"/>
      <c r="I231" s="133"/>
      <c r="J231" s="133"/>
      <c r="K231" s="132"/>
      <c r="L231" s="134"/>
      <c r="M231" s="131"/>
      <c r="N231" s="114"/>
      <c r="O231" s="135"/>
      <c r="P231" s="114"/>
      <c r="Q231" s="114"/>
      <c r="R231" s="114"/>
      <c r="S231" s="114"/>
      <c r="T231" s="114"/>
      <c r="U231" s="114"/>
    </row>
    <row r="232" spans="5:21" s="130" customFormat="1" ht="13" hidden="1" x14ac:dyDescent="0.3">
      <c r="E232" s="131"/>
      <c r="F232" s="111"/>
      <c r="H232" s="132"/>
      <c r="I232" s="133"/>
      <c r="J232" s="133"/>
      <c r="K232" s="132"/>
      <c r="L232" s="134"/>
      <c r="M232" s="131"/>
      <c r="N232" s="114"/>
      <c r="O232" s="135"/>
      <c r="P232" s="114"/>
      <c r="Q232" s="114"/>
      <c r="R232" s="114"/>
      <c r="S232" s="114"/>
      <c r="T232" s="114"/>
      <c r="U232" s="114"/>
    </row>
    <row r="233" spans="5:21" s="130" customFormat="1" ht="13" hidden="1" x14ac:dyDescent="0.3">
      <c r="E233" s="131"/>
      <c r="F233" s="111"/>
      <c r="H233" s="132"/>
      <c r="I233" s="133"/>
      <c r="J233" s="133"/>
      <c r="K233" s="132"/>
      <c r="L233" s="134"/>
      <c r="M233" s="131"/>
      <c r="N233" s="114"/>
      <c r="O233" s="135"/>
      <c r="P233" s="114"/>
      <c r="Q233" s="114"/>
      <c r="R233" s="114"/>
      <c r="S233" s="114"/>
      <c r="T233" s="114"/>
      <c r="U233" s="114"/>
    </row>
    <row r="234" spans="5:21" s="130" customFormat="1" ht="13" hidden="1" x14ac:dyDescent="0.3">
      <c r="E234" s="131"/>
      <c r="F234" s="111"/>
      <c r="H234" s="132"/>
      <c r="I234" s="133"/>
      <c r="J234" s="133"/>
      <c r="K234" s="132"/>
      <c r="L234" s="134"/>
      <c r="M234" s="131"/>
      <c r="N234" s="114"/>
      <c r="O234" s="135"/>
      <c r="P234" s="114"/>
      <c r="Q234" s="114"/>
      <c r="R234" s="114"/>
      <c r="S234" s="114"/>
      <c r="T234" s="114"/>
      <c r="U234" s="114"/>
    </row>
    <row r="235" spans="5:21" s="130" customFormat="1" ht="13" hidden="1" x14ac:dyDescent="0.3">
      <c r="E235" s="131"/>
      <c r="F235" s="111"/>
      <c r="H235" s="132"/>
      <c r="I235" s="133"/>
      <c r="J235" s="133"/>
      <c r="K235" s="132"/>
      <c r="L235" s="134"/>
      <c r="M235" s="131"/>
      <c r="N235" s="114"/>
      <c r="O235" s="135"/>
      <c r="P235" s="114"/>
      <c r="Q235" s="114"/>
      <c r="R235" s="114"/>
      <c r="S235" s="114"/>
      <c r="T235" s="114"/>
      <c r="U235" s="114"/>
    </row>
    <row r="236" spans="5:21" s="130" customFormat="1" ht="13" hidden="1" x14ac:dyDescent="0.3">
      <c r="E236" s="131"/>
      <c r="F236" s="111"/>
      <c r="H236" s="132"/>
      <c r="I236" s="133"/>
      <c r="J236" s="133"/>
      <c r="K236" s="132"/>
      <c r="L236" s="134"/>
      <c r="M236" s="131"/>
      <c r="N236" s="114"/>
      <c r="O236" s="135"/>
      <c r="P236" s="114"/>
      <c r="Q236" s="114"/>
      <c r="R236" s="114"/>
      <c r="S236" s="114"/>
      <c r="T236" s="114"/>
      <c r="U236" s="114"/>
    </row>
    <row r="237" spans="5:21" s="130" customFormat="1" ht="13" hidden="1" x14ac:dyDescent="0.3">
      <c r="E237" s="131"/>
      <c r="F237" s="111"/>
      <c r="H237" s="132"/>
      <c r="I237" s="133"/>
      <c r="J237" s="133"/>
      <c r="K237" s="132"/>
      <c r="L237" s="134"/>
      <c r="M237" s="131"/>
      <c r="N237" s="114"/>
      <c r="O237" s="135"/>
      <c r="P237" s="114"/>
      <c r="Q237" s="114"/>
      <c r="R237" s="114"/>
      <c r="S237" s="114"/>
      <c r="T237" s="114"/>
      <c r="U237" s="114"/>
    </row>
    <row r="238" spans="5:21" s="130" customFormat="1" ht="13" hidden="1" x14ac:dyDescent="0.3">
      <c r="E238" s="131"/>
      <c r="F238" s="111"/>
      <c r="H238" s="132"/>
      <c r="I238" s="133"/>
      <c r="J238" s="133"/>
      <c r="K238" s="132"/>
      <c r="L238" s="134"/>
      <c r="M238" s="131"/>
      <c r="N238" s="114"/>
      <c r="O238" s="135"/>
      <c r="P238" s="114"/>
      <c r="Q238" s="114"/>
      <c r="R238" s="114"/>
      <c r="S238" s="114"/>
      <c r="T238" s="114"/>
      <c r="U238" s="114"/>
    </row>
    <row r="239" spans="5:21" s="130" customFormat="1" ht="13" hidden="1" x14ac:dyDescent="0.3">
      <c r="E239" s="131"/>
      <c r="F239" s="111"/>
      <c r="H239" s="132"/>
      <c r="I239" s="133"/>
      <c r="J239" s="133"/>
      <c r="K239" s="132"/>
      <c r="L239" s="134"/>
      <c r="M239" s="131"/>
      <c r="N239" s="114"/>
      <c r="O239" s="135"/>
      <c r="P239" s="114"/>
      <c r="Q239" s="114"/>
      <c r="R239" s="114"/>
      <c r="S239" s="114"/>
      <c r="T239" s="114"/>
      <c r="U239" s="114"/>
    </row>
    <row r="240" spans="5:21" s="130" customFormat="1" ht="13" hidden="1" x14ac:dyDescent="0.3">
      <c r="E240" s="131"/>
      <c r="F240" s="111"/>
      <c r="H240" s="132"/>
      <c r="I240" s="133"/>
      <c r="J240" s="133"/>
      <c r="K240" s="132"/>
      <c r="L240" s="134"/>
      <c r="M240" s="131"/>
      <c r="N240" s="114"/>
      <c r="O240" s="135"/>
      <c r="P240" s="114"/>
      <c r="Q240" s="114"/>
      <c r="R240" s="114"/>
      <c r="S240" s="114"/>
      <c r="T240" s="114"/>
      <c r="U240" s="114"/>
    </row>
    <row r="241" spans="5:21" s="130" customFormat="1" ht="13" hidden="1" x14ac:dyDescent="0.3">
      <c r="E241" s="131"/>
      <c r="F241" s="111"/>
      <c r="H241" s="132"/>
      <c r="I241" s="133"/>
      <c r="J241" s="133"/>
      <c r="K241" s="132"/>
      <c r="L241" s="134"/>
      <c r="M241" s="131"/>
      <c r="N241" s="114"/>
      <c r="O241" s="135"/>
      <c r="P241" s="114"/>
      <c r="Q241" s="114"/>
      <c r="R241" s="114"/>
      <c r="S241" s="114"/>
      <c r="T241" s="114"/>
      <c r="U241" s="114"/>
    </row>
    <row r="242" spans="5:21" s="130" customFormat="1" ht="13" hidden="1" x14ac:dyDescent="0.3">
      <c r="E242" s="131"/>
      <c r="F242" s="111"/>
      <c r="H242" s="132"/>
      <c r="I242" s="133"/>
      <c r="J242" s="133"/>
      <c r="K242" s="132"/>
      <c r="L242" s="134"/>
      <c r="M242" s="131"/>
      <c r="N242" s="114"/>
      <c r="O242" s="135"/>
      <c r="P242" s="114"/>
      <c r="Q242" s="114"/>
      <c r="R242" s="114"/>
      <c r="S242" s="114"/>
      <c r="T242" s="114"/>
      <c r="U242" s="114"/>
    </row>
    <row r="243" spans="5:21" s="130" customFormat="1" ht="13" hidden="1" x14ac:dyDescent="0.3">
      <c r="E243" s="131"/>
      <c r="F243" s="111"/>
      <c r="H243" s="132"/>
      <c r="I243" s="133"/>
      <c r="J243" s="133"/>
      <c r="K243" s="132"/>
      <c r="L243" s="134"/>
      <c r="M243" s="131"/>
      <c r="N243" s="114"/>
      <c r="O243" s="135"/>
      <c r="P243" s="114"/>
      <c r="Q243" s="114"/>
      <c r="R243" s="114"/>
      <c r="S243" s="114"/>
      <c r="T243" s="114"/>
      <c r="U243" s="114"/>
    </row>
    <row r="244" spans="5:21" s="130" customFormat="1" ht="13" hidden="1" x14ac:dyDescent="0.3">
      <c r="E244" s="131"/>
      <c r="F244" s="111"/>
      <c r="H244" s="132"/>
      <c r="I244" s="133"/>
      <c r="J244" s="133"/>
      <c r="K244" s="132"/>
      <c r="L244" s="134"/>
      <c r="M244" s="131"/>
      <c r="N244" s="114"/>
      <c r="O244" s="135"/>
      <c r="P244" s="114"/>
      <c r="Q244" s="114"/>
      <c r="R244" s="114"/>
      <c r="S244" s="114"/>
      <c r="T244" s="114"/>
      <c r="U244" s="114"/>
    </row>
    <row r="245" spans="5:21" s="130" customFormat="1" ht="13" hidden="1" x14ac:dyDescent="0.3">
      <c r="E245" s="131"/>
      <c r="F245" s="111"/>
      <c r="H245" s="132"/>
      <c r="I245" s="133"/>
      <c r="J245" s="133"/>
      <c r="K245" s="132"/>
      <c r="L245" s="134"/>
      <c r="M245" s="131"/>
      <c r="N245" s="114"/>
      <c r="O245" s="135"/>
      <c r="P245" s="114"/>
      <c r="Q245" s="114"/>
      <c r="R245" s="114"/>
      <c r="S245" s="114"/>
      <c r="T245" s="114"/>
      <c r="U245" s="114"/>
    </row>
    <row r="246" spans="5:21" s="130" customFormat="1" ht="13" hidden="1" x14ac:dyDescent="0.3">
      <c r="E246" s="131"/>
      <c r="F246" s="111"/>
      <c r="H246" s="132"/>
      <c r="I246" s="133"/>
      <c r="J246" s="133"/>
      <c r="K246" s="132"/>
      <c r="L246" s="134"/>
      <c r="M246" s="131"/>
      <c r="N246" s="114"/>
      <c r="O246" s="135"/>
      <c r="P246" s="114"/>
      <c r="Q246" s="114"/>
      <c r="R246" s="114"/>
      <c r="S246" s="114"/>
      <c r="T246" s="114"/>
      <c r="U246" s="114"/>
    </row>
    <row r="247" spans="5:21" s="130" customFormat="1" ht="13" hidden="1" x14ac:dyDescent="0.3">
      <c r="E247" s="131"/>
      <c r="F247" s="111"/>
      <c r="H247" s="132"/>
      <c r="I247" s="133"/>
      <c r="J247" s="133"/>
      <c r="K247" s="132"/>
      <c r="L247" s="134"/>
      <c r="M247" s="131"/>
      <c r="N247" s="114"/>
      <c r="O247" s="135"/>
      <c r="P247" s="114"/>
      <c r="Q247" s="114"/>
      <c r="R247" s="114"/>
      <c r="S247" s="114"/>
      <c r="T247" s="114"/>
      <c r="U247" s="114"/>
    </row>
    <row r="248" spans="5:21" s="130" customFormat="1" ht="13" hidden="1" x14ac:dyDescent="0.3">
      <c r="E248" s="131"/>
      <c r="F248" s="111"/>
      <c r="H248" s="132"/>
      <c r="I248" s="133"/>
      <c r="J248" s="133"/>
      <c r="K248" s="132"/>
      <c r="L248" s="134"/>
      <c r="M248" s="131"/>
      <c r="N248" s="114"/>
      <c r="O248" s="135"/>
      <c r="P248" s="114"/>
      <c r="Q248" s="114"/>
      <c r="R248" s="114"/>
      <c r="S248" s="114"/>
      <c r="T248" s="114"/>
      <c r="U248" s="114"/>
    </row>
    <row r="249" spans="5:21" s="130" customFormat="1" ht="13" hidden="1" x14ac:dyDescent="0.3">
      <c r="E249" s="131"/>
      <c r="F249" s="111"/>
      <c r="H249" s="132"/>
      <c r="I249" s="133"/>
      <c r="J249" s="133"/>
      <c r="K249" s="132"/>
      <c r="L249" s="134"/>
      <c r="M249" s="131"/>
      <c r="N249" s="114"/>
      <c r="O249" s="135"/>
      <c r="P249" s="114"/>
      <c r="Q249" s="114"/>
      <c r="R249" s="114"/>
      <c r="S249" s="114"/>
      <c r="T249" s="114"/>
      <c r="U249" s="114"/>
    </row>
    <row r="250" spans="5:21" s="130" customFormat="1" ht="13" hidden="1" x14ac:dyDescent="0.3">
      <c r="E250" s="131"/>
      <c r="F250" s="111"/>
      <c r="H250" s="132"/>
      <c r="I250" s="133"/>
      <c r="J250" s="133"/>
      <c r="K250" s="132"/>
      <c r="L250" s="134"/>
      <c r="M250" s="131"/>
      <c r="N250" s="114"/>
      <c r="O250" s="135"/>
      <c r="P250" s="114"/>
      <c r="Q250" s="114"/>
      <c r="R250" s="114"/>
      <c r="S250" s="114"/>
      <c r="T250" s="114"/>
      <c r="U250" s="114"/>
    </row>
    <row r="251" spans="5:21" s="130" customFormat="1" ht="13" hidden="1" x14ac:dyDescent="0.3">
      <c r="E251" s="131"/>
      <c r="F251" s="111"/>
      <c r="H251" s="132"/>
      <c r="I251" s="133"/>
      <c r="J251" s="133"/>
      <c r="K251" s="132"/>
      <c r="L251" s="134"/>
      <c r="M251" s="131"/>
      <c r="N251" s="114"/>
      <c r="O251" s="135"/>
      <c r="P251" s="114"/>
      <c r="Q251" s="114"/>
      <c r="R251" s="114"/>
      <c r="S251" s="114"/>
      <c r="T251" s="114"/>
      <c r="U251" s="114"/>
    </row>
    <row r="252" spans="5:21" s="130" customFormat="1" ht="13" hidden="1" x14ac:dyDescent="0.3">
      <c r="E252" s="131"/>
      <c r="F252" s="111"/>
      <c r="H252" s="132"/>
      <c r="I252" s="133"/>
      <c r="J252" s="133"/>
      <c r="K252" s="132"/>
      <c r="L252" s="134"/>
      <c r="M252" s="131"/>
      <c r="N252" s="114"/>
      <c r="O252" s="135"/>
      <c r="P252" s="114"/>
      <c r="Q252" s="114"/>
      <c r="R252" s="114"/>
      <c r="S252" s="114"/>
      <c r="T252" s="114"/>
      <c r="U252" s="114"/>
    </row>
    <row r="253" spans="5:21" s="130" customFormat="1" ht="13" hidden="1" x14ac:dyDescent="0.3">
      <c r="E253" s="131"/>
      <c r="F253" s="111"/>
      <c r="H253" s="132"/>
      <c r="I253" s="133"/>
      <c r="J253" s="133"/>
      <c r="K253" s="132"/>
      <c r="L253" s="134"/>
      <c r="M253" s="131"/>
      <c r="N253" s="114"/>
      <c r="O253" s="135"/>
      <c r="P253" s="114"/>
      <c r="Q253" s="114"/>
      <c r="R253" s="114"/>
      <c r="S253" s="114"/>
      <c r="T253" s="114"/>
      <c r="U253" s="114"/>
    </row>
    <row r="254" spans="5:21" s="130" customFormat="1" ht="13" hidden="1" x14ac:dyDescent="0.3">
      <c r="E254" s="131"/>
      <c r="F254" s="111"/>
      <c r="H254" s="132"/>
      <c r="I254" s="133"/>
      <c r="J254" s="133"/>
      <c r="K254" s="132"/>
      <c r="L254" s="134"/>
      <c r="M254" s="131"/>
      <c r="N254" s="114"/>
      <c r="O254" s="135"/>
      <c r="P254" s="114"/>
      <c r="Q254" s="114"/>
      <c r="R254" s="114"/>
      <c r="S254" s="114"/>
      <c r="T254" s="114"/>
      <c r="U254" s="114"/>
    </row>
    <row r="255" spans="5:21" s="130" customFormat="1" ht="13" hidden="1" x14ac:dyDescent="0.3">
      <c r="E255" s="131"/>
      <c r="F255" s="111"/>
      <c r="H255" s="132"/>
      <c r="I255" s="133"/>
      <c r="J255" s="133"/>
      <c r="K255" s="132"/>
      <c r="L255" s="134"/>
      <c r="M255" s="131"/>
      <c r="N255" s="114"/>
      <c r="O255" s="135"/>
      <c r="P255" s="114"/>
      <c r="Q255" s="114"/>
      <c r="R255" s="114"/>
      <c r="S255" s="114"/>
      <c r="T255" s="114"/>
      <c r="U255" s="114"/>
    </row>
    <row r="256" spans="5:21" s="130" customFormat="1" ht="13" hidden="1" x14ac:dyDescent="0.3">
      <c r="E256" s="131"/>
      <c r="F256" s="111"/>
      <c r="H256" s="132"/>
      <c r="I256" s="133"/>
      <c r="J256" s="133"/>
      <c r="K256" s="132"/>
      <c r="L256" s="134"/>
      <c r="M256" s="131"/>
      <c r="N256" s="114"/>
      <c r="O256" s="135"/>
      <c r="P256" s="114"/>
      <c r="Q256" s="114"/>
      <c r="R256" s="114"/>
      <c r="S256" s="114"/>
      <c r="T256" s="114"/>
      <c r="U256" s="114"/>
    </row>
    <row r="257" spans="5:21" s="130" customFormat="1" ht="13" hidden="1" x14ac:dyDescent="0.3">
      <c r="E257" s="131"/>
      <c r="F257" s="111"/>
      <c r="H257" s="132"/>
      <c r="I257" s="133"/>
      <c r="J257" s="133"/>
      <c r="K257" s="132"/>
      <c r="L257" s="134"/>
      <c r="M257" s="131"/>
      <c r="N257" s="114"/>
      <c r="O257" s="135"/>
      <c r="P257" s="114"/>
      <c r="Q257" s="114"/>
      <c r="R257" s="114"/>
      <c r="S257" s="114"/>
      <c r="T257" s="114"/>
      <c r="U257" s="114"/>
    </row>
    <row r="258" spans="5:21" s="130" customFormat="1" ht="13" hidden="1" x14ac:dyDescent="0.3">
      <c r="E258" s="131"/>
      <c r="F258" s="111"/>
      <c r="H258" s="132"/>
      <c r="I258" s="133"/>
      <c r="J258" s="133"/>
      <c r="K258" s="132"/>
      <c r="L258" s="134"/>
      <c r="M258" s="131"/>
      <c r="N258" s="114"/>
      <c r="O258" s="135"/>
      <c r="P258" s="114"/>
      <c r="Q258" s="114"/>
      <c r="R258" s="114"/>
      <c r="S258" s="114"/>
      <c r="T258" s="114"/>
      <c r="U258" s="114"/>
    </row>
    <row r="259" spans="5:21" s="130" customFormat="1" ht="13" hidden="1" x14ac:dyDescent="0.3">
      <c r="E259" s="131"/>
      <c r="F259" s="111"/>
      <c r="H259" s="132"/>
      <c r="I259" s="133"/>
      <c r="J259" s="133"/>
      <c r="K259" s="132"/>
      <c r="L259" s="134"/>
      <c r="M259" s="131"/>
      <c r="N259" s="114"/>
      <c r="O259" s="135"/>
      <c r="P259" s="114"/>
      <c r="Q259" s="114"/>
      <c r="R259" s="114"/>
      <c r="S259" s="114"/>
      <c r="T259" s="114"/>
      <c r="U259" s="114"/>
    </row>
    <row r="260" spans="5:21" s="130" customFormat="1" ht="13" hidden="1" x14ac:dyDescent="0.3">
      <c r="E260" s="131"/>
      <c r="F260" s="111"/>
      <c r="H260" s="132"/>
      <c r="I260" s="133"/>
      <c r="J260" s="133"/>
      <c r="K260" s="132"/>
      <c r="L260" s="134"/>
      <c r="M260" s="131"/>
      <c r="N260" s="114"/>
      <c r="O260" s="135"/>
      <c r="P260" s="114"/>
      <c r="Q260" s="114"/>
      <c r="R260" s="114"/>
      <c r="S260" s="114"/>
      <c r="T260" s="114"/>
      <c r="U260" s="114"/>
    </row>
    <row r="261" spans="5:21" s="130" customFormat="1" ht="13" hidden="1" x14ac:dyDescent="0.3">
      <c r="E261" s="131"/>
      <c r="F261" s="111"/>
      <c r="H261" s="132"/>
      <c r="I261" s="133"/>
      <c r="J261" s="133"/>
      <c r="K261" s="132"/>
      <c r="L261" s="134"/>
      <c r="M261" s="131"/>
      <c r="N261" s="114"/>
      <c r="O261" s="135"/>
      <c r="P261" s="114"/>
      <c r="Q261" s="114"/>
      <c r="R261" s="114"/>
      <c r="S261" s="114"/>
      <c r="T261" s="114"/>
      <c r="U261" s="114"/>
    </row>
    <row r="262" spans="5:21" s="130" customFormat="1" ht="13" hidden="1" x14ac:dyDescent="0.3">
      <c r="E262" s="131"/>
      <c r="F262" s="111"/>
      <c r="H262" s="132"/>
      <c r="I262" s="133"/>
      <c r="J262" s="133"/>
      <c r="K262" s="132"/>
      <c r="L262" s="134"/>
      <c r="M262" s="131"/>
      <c r="N262" s="114"/>
      <c r="O262" s="135"/>
      <c r="P262" s="114"/>
      <c r="Q262" s="114"/>
      <c r="R262" s="114"/>
      <c r="S262" s="114"/>
      <c r="T262" s="114"/>
      <c r="U262" s="114"/>
    </row>
    <row r="263" spans="5:21" s="130" customFormat="1" ht="13" hidden="1" x14ac:dyDescent="0.3">
      <c r="E263" s="131"/>
      <c r="F263" s="111"/>
      <c r="H263" s="132"/>
      <c r="I263" s="133"/>
      <c r="J263" s="133"/>
      <c r="K263" s="132"/>
      <c r="L263" s="134"/>
      <c r="M263" s="131"/>
      <c r="N263" s="114"/>
      <c r="O263" s="135"/>
      <c r="P263" s="114"/>
      <c r="Q263" s="114"/>
      <c r="R263" s="114"/>
      <c r="S263" s="114"/>
      <c r="T263" s="114"/>
      <c r="U263" s="114"/>
    </row>
    <row r="264" spans="5:21" s="130" customFormat="1" ht="13" hidden="1" x14ac:dyDescent="0.3">
      <c r="E264" s="131"/>
      <c r="F264" s="111"/>
      <c r="H264" s="132"/>
      <c r="I264" s="133"/>
      <c r="J264" s="133"/>
      <c r="K264" s="132"/>
      <c r="L264" s="134"/>
      <c r="M264" s="131"/>
      <c r="N264" s="114"/>
      <c r="O264" s="135"/>
      <c r="P264" s="114"/>
      <c r="Q264" s="114"/>
      <c r="R264" s="114"/>
      <c r="S264" s="114"/>
      <c r="T264" s="114"/>
      <c r="U264" s="114"/>
    </row>
    <row r="265" spans="5:21" s="130" customFormat="1" ht="13" hidden="1" x14ac:dyDescent="0.3">
      <c r="E265" s="131"/>
      <c r="F265" s="111"/>
      <c r="H265" s="132"/>
      <c r="I265" s="133"/>
      <c r="J265" s="133"/>
      <c r="K265" s="132"/>
      <c r="L265" s="134"/>
      <c r="M265" s="131"/>
      <c r="N265" s="114"/>
      <c r="O265" s="135"/>
      <c r="P265" s="114"/>
      <c r="Q265" s="114"/>
      <c r="R265" s="114"/>
      <c r="S265" s="114"/>
      <c r="T265" s="114"/>
      <c r="U265" s="114"/>
    </row>
    <row r="266" spans="5:21" s="130" customFormat="1" ht="13" hidden="1" x14ac:dyDescent="0.3">
      <c r="E266" s="131"/>
      <c r="F266" s="111"/>
      <c r="H266" s="132"/>
      <c r="I266" s="133"/>
      <c r="J266" s="133"/>
      <c r="K266" s="132"/>
      <c r="L266" s="134"/>
      <c r="M266" s="131"/>
      <c r="N266" s="114"/>
      <c r="O266" s="135"/>
      <c r="P266" s="114"/>
      <c r="Q266" s="114"/>
      <c r="R266" s="114"/>
      <c r="S266" s="114"/>
      <c r="T266" s="114"/>
      <c r="U266" s="114"/>
    </row>
    <row r="267" spans="5:21" s="130" customFormat="1" ht="13" hidden="1" x14ac:dyDescent="0.3">
      <c r="E267" s="131"/>
      <c r="F267" s="111"/>
      <c r="H267" s="132"/>
      <c r="I267" s="133"/>
      <c r="J267" s="133"/>
      <c r="K267" s="132"/>
      <c r="L267" s="134"/>
      <c r="M267" s="131"/>
      <c r="N267" s="114"/>
      <c r="O267" s="135"/>
      <c r="P267" s="114"/>
      <c r="Q267" s="114"/>
      <c r="R267" s="114"/>
      <c r="S267" s="114"/>
      <c r="T267" s="114"/>
      <c r="U267" s="114"/>
    </row>
    <row r="268" spans="5:21" s="130" customFormat="1" ht="13" hidden="1" x14ac:dyDescent="0.3">
      <c r="E268" s="131"/>
      <c r="F268" s="111"/>
      <c r="H268" s="132"/>
      <c r="I268" s="133"/>
      <c r="J268" s="133"/>
      <c r="K268" s="132"/>
      <c r="L268" s="134"/>
      <c r="M268" s="131"/>
      <c r="N268" s="114"/>
      <c r="O268" s="135"/>
      <c r="P268" s="114"/>
      <c r="Q268" s="114"/>
      <c r="R268" s="114"/>
      <c r="S268" s="114"/>
      <c r="T268" s="114"/>
      <c r="U268" s="114"/>
    </row>
    <row r="269" spans="5:21" s="130" customFormat="1" ht="13" hidden="1" x14ac:dyDescent="0.3">
      <c r="E269" s="131"/>
      <c r="F269" s="111"/>
      <c r="H269" s="132"/>
      <c r="I269" s="133"/>
      <c r="J269" s="133"/>
      <c r="K269" s="132"/>
      <c r="L269" s="134"/>
      <c r="M269" s="131"/>
      <c r="N269" s="114"/>
      <c r="O269" s="135"/>
      <c r="P269" s="114"/>
      <c r="Q269" s="114"/>
      <c r="R269" s="114"/>
      <c r="S269" s="114"/>
      <c r="T269" s="114"/>
      <c r="U269" s="114"/>
    </row>
    <row r="270" spans="5:21" s="130" customFormat="1" ht="13" hidden="1" x14ac:dyDescent="0.3">
      <c r="E270" s="131"/>
      <c r="F270" s="111"/>
      <c r="H270" s="132"/>
      <c r="I270" s="133"/>
      <c r="J270" s="133"/>
      <c r="K270" s="132"/>
      <c r="L270" s="134"/>
      <c r="M270" s="131"/>
      <c r="N270" s="114"/>
      <c r="O270" s="135"/>
      <c r="P270" s="114"/>
      <c r="Q270" s="114"/>
      <c r="R270" s="114"/>
      <c r="S270" s="114"/>
      <c r="T270" s="114"/>
      <c r="U270" s="114"/>
    </row>
    <row r="271" spans="5:21" s="130" customFormat="1" ht="13" hidden="1" x14ac:dyDescent="0.3">
      <c r="E271" s="131"/>
      <c r="F271" s="111"/>
      <c r="H271" s="132"/>
      <c r="I271" s="133"/>
      <c r="J271" s="133"/>
      <c r="K271" s="132"/>
      <c r="L271" s="134"/>
      <c r="M271" s="131"/>
      <c r="N271" s="114"/>
      <c r="O271" s="135"/>
      <c r="P271" s="114"/>
      <c r="Q271" s="114"/>
      <c r="R271" s="114"/>
      <c r="S271" s="114"/>
      <c r="T271" s="114"/>
      <c r="U271" s="114"/>
    </row>
    <row r="272" spans="5:21" s="130" customFormat="1" ht="13" hidden="1" x14ac:dyDescent="0.3">
      <c r="E272" s="131"/>
      <c r="F272" s="111"/>
      <c r="H272" s="132"/>
      <c r="I272" s="133"/>
      <c r="J272" s="133"/>
      <c r="K272" s="132"/>
      <c r="L272" s="134"/>
      <c r="M272" s="131"/>
      <c r="N272" s="114"/>
      <c r="O272" s="135"/>
      <c r="P272" s="114"/>
      <c r="Q272" s="114"/>
      <c r="R272" s="114"/>
      <c r="S272" s="114"/>
      <c r="T272" s="114"/>
      <c r="U272" s="114"/>
    </row>
    <row r="273" spans="5:21" s="130" customFormat="1" ht="13" hidden="1" x14ac:dyDescent="0.3">
      <c r="E273" s="131"/>
      <c r="F273" s="111"/>
      <c r="H273" s="132"/>
      <c r="I273" s="133"/>
      <c r="J273" s="133"/>
      <c r="K273" s="132"/>
      <c r="L273" s="134"/>
      <c r="M273" s="131"/>
      <c r="N273" s="114"/>
      <c r="O273" s="135"/>
      <c r="P273" s="114"/>
      <c r="Q273" s="114"/>
      <c r="R273" s="114"/>
      <c r="S273" s="114"/>
      <c r="T273" s="114"/>
      <c r="U273" s="114"/>
    </row>
    <row r="274" spans="5:21" s="130" customFormat="1" ht="13" hidden="1" x14ac:dyDescent="0.3">
      <c r="E274" s="131"/>
      <c r="F274" s="111"/>
      <c r="H274" s="132"/>
      <c r="I274" s="133"/>
      <c r="J274" s="133"/>
      <c r="K274" s="132"/>
      <c r="L274" s="134"/>
      <c r="M274" s="131"/>
      <c r="N274" s="114"/>
      <c r="O274" s="135"/>
      <c r="P274" s="114"/>
      <c r="Q274" s="114"/>
      <c r="R274" s="114"/>
      <c r="S274" s="114"/>
      <c r="T274" s="114"/>
      <c r="U274" s="114"/>
    </row>
    <row r="275" spans="5:21" s="130" customFormat="1" ht="13" hidden="1" x14ac:dyDescent="0.3">
      <c r="E275" s="131"/>
      <c r="F275" s="111"/>
      <c r="H275" s="132"/>
      <c r="I275" s="133"/>
      <c r="J275" s="133"/>
      <c r="K275" s="132"/>
      <c r="L275" s="134"/>
      <c r="M275" s="131"/>
      <c r="N275" s="114"/>
      <c r="O275" s="135"/>
      <c r="P275" s="114"/>
      <c r="Q275" s="114"/>
      <c r="R275" s="114"/>
      <c r="S275" s="114"/>
      <c r="T275" s="114"/>
      <c r="U275" s="114"/>
    </row>
    <row r="276" spans="5:21" s="130" customFormat="1" ht="13" hidden="1" x14ac:dyDescent="0.3">
      <c r="E276" s="131"/>
      <c r="F276" s="111"/>
      <c r="H276" s="132"/>
      <c r="I276" s="133"/>
      <c r="J276" s="133"/>
      <c r="K276" s="132"/>
      <c r="L276" s="134"/>
      <c r="M276" s="131"/>
      <c r="N276" s="114"/>
      <c r="O276" s="135"/>
      <c r="P276" s="114"/>
      <c r="Q276" s="114"/>
      <c r="R276" s="114"/>
      <c r="S276" s="114"/>
      <c r="T276" s="114"/>
      <c r="U276" s="114"/>
    </row>
    <row r="277" spans="5:21" s="130" customFormat="1" ht="13" hidden="1" x14ac:dyDescent="0.3">
      <c r="E277" s="131"/>
      <c r="F277" s="111"/>
      <c r="H277" s="132"/>
      <c r="I277" s="133"/>
      <c r="J277" s="133"/>
      <c r="K277" s="132"/>
      <c r="L277" s="134"/>
      <c r="M277" s="131"/>
      <c r="N277" s="114"/>
      <c r="O277" s="135"/>
      <c r="P277" s="114"/>
      <c r="Q277" s="114"/>
      <c r="R277" s="114"/>
      <c r="S277" s="114"/>
      <c r="T277" s="114"/>
      <c r="U277" s="114"/>
    </row>
    <row r="278" spans="5:21" s="130" customFormat="1" ht="13" hidden="1" x14ac:dyDescent="0.3">
      <c r="E278" s="131"/>
      <c r="F278" s="111"/>
      <c r="H278" s="132"/>
      <c r="I278" s="133"/>
      <c r="J278" s="133"/>
      <c r="K278" s="132"/>
      <c r="L278" s="134"/>
      <c r="M278" s="131"/>
      <c r="N278" s="114"/>
      <c r="O278" s="135"/>
      <c r="P278" s="114"/>
      <c r="Q278" s="114"/>
      <c r="R278" s="114"/>
      <c r="S278" s="114"/>
      <c r="T278" s="114"/>
      <c r="U278" s="114"/>
    </row>
    <row r="279" spans="5:21" s="130" customFormat="1" ht="13" hidden="1" x14ac:dyDescent="0.3">
      <c r="E279" s="131"/>
      <c r="F279" s="111"/>
      <c r="H279" s="132"/>
      <c r="I279" s="133"/>
      <c r="J279" s="133"/>
      <c r="K279" s="132"/>
      <c r="L279" s="134"/>
      <c r="M279" s="131"/>
      <c r="N279" s="114"/>
      <c r="O279" s="135"/>
      <c r="P279" s="114"/>
      <c r="Q279" s="114"/>
      <c r="R279" s="114"/>
      <c r="S279" s="114"/>
      <c r="T279" s="114"/>
      <c r="U279" s="114"/>
    </row>
    <row r="280" spans="5:21" s="130" customFormat="1" ht="13" hidden="1" x14ac:dyDescent="0.3">
      <c r="E280" s="131"/>
      <c r="F280" s="111"/>
      <c r="H280" s="132"/>
      <c r="I280" s="133"/>
      <c r="J280" s="133"/>
      <c r="K280" s="132"/>
      <c r="L280" s="134"/>
      <c r="M280" s="131"/>
      <c r="N280" s="114"/>
      <c r="O280" s="135"/>
      <c r="P280" s="114"/>
      <c r="Q280" s="114"/>
      <c r="R280" s="114"/>
      <c r="S280" s="114"/>
      <c r="T280" s="114"/>
      <c r="U280" s="114"/>
    </row>
    <row r="281" spans="5:21" s="130" customFormat="1" ht="13" hidden="1" x14ac:dyDescent="0.3">
      <c r="E281" s="131"/>
      <c r="F281" s="111"/>
      <c r="H281" s="132"/>
      <c r="I281" s="133"/>
      <c r="J281" s="133"/>
      <c r="K281" s="132"/>
      <c r="L281" s="134"/>
      <c r="M281" s="131"/>
      <c r="N281" s="114"/>
      <c r="O281" s="135"/>
      <c r="P281" s="114"/>
      <c r="Q281" s="114"/>
      <c r="R281" s="114"/>
      <c r="S281" s="114"/>
      <c r="T281" s="114"/>
      <c r="U281" s="114"/>
    </row>
    <row r="282" spans="5:21" s="130" customFormat="1" ht="13" hidden="1" x14ac:dyDescent="0.3">
      <c r="E282" s="131"/>
      <c r="F282" s="111"/>
      <c r="H282" s="132"/>
      <c r="I282" s="133"/>
      <c r="J282" s="133"/>
      <c r="K282" s="132"/>
      <c r="L282" s="134"/>
      <c r="M282" s="131"/>
      <c r="N282" s="114"/>
      <c r="O282" s="135"/>
      <c r="P282" s="114"/>
      <c r="Q282" s="114"/>
      <c r="R282" s="114"/>
      <c r="S282" s="114"/>
      <c r="T282" s="114"/>
      <c r="U282" s="114"/>
    </row>
    <row r="283" spans="5:21" s="130" customFormat="1" ht="13" hidden="1" x14ac:dyDescent="0.3">
      <c r="E283" s="131"/>
      <c r="F283" s="111"/>
      <c r="H283" s="132"/>
      <c r="I283" s="133"/>
      <c r="J283" s="133"/>
      <c r="K283" s="132"/>
      <c r="L283" s="134"/>
      <c r="M283" s="131"/>
      <c r="N283" s="114"/>
      <c r="O283" s="135"/>
      <c r="P283" s="114"/>
      <c r="Q283" s="114"/>
      <c r="R283" s="114"/>
      <c r="S283" s="114"/>
      <c r="T283" s="114"/>
      <c r="U283" s="114"/>
    </row>
    <row r="284" spans="5:21" s="130" customFormat="1" ht="13" hidden="1" x14ac:dyDescent="0.3">
      <c r="E284" s="131"/>
      <c r="F284" s="111"/>
      <c r="H284" s="132"/>
      <c r="I284" s="133"/>
      <c r="J284" s="133"/>
      <c r="K284" s="132"/>
      <c r="L284" s="134"/>
      <c r="M284" s="131"/>
      <c r="N284" s="114"/>
      <c r="O284" s="135"/>
      <c r="P284" s="114"/>
      <c r="Q284" s="114"/>
      <c r="R284" s="114"/>
      <c r="S284" s="114"/>
      <c r="T284" s="114"/>
      <c r="U284" s="114"/>
    </row>
    <row r="285" spans="5:21" s="130" customFormat="1" ht="13" hidden="1" x14ac:dyDescent="0.3">
      <c r="E285" s="131"/>
      <c r="F285" s="111"/>
      <c r="H285" s="132"/>
      <c r="I285" s="133"/>
      <c r="J285" s="133"/>
      <c r="K285" s="132"/>
      <c r="L285" s="134"/>
      <c r="M285" s="131"/>
      <c r="N285" s="114"/>
      <c r="O285" s="135"/>
      <c r="P285" s="114"/>
      <c r="Q285" s="114"/>
      <c r="R285" s="114"/>
      <c r="S285" s="114"/>
      <c r="T285" s="114"/>
      <c r="U285" s="114"/>
    </row>
    <row r="286" spans="5:21" s="130" customFormat="1" ht="13" hidden="1" x14ac:dyDescent="0.3">
      <c r="E286" s="131"/>
      <c r="F286" s="111"/>
      <c r="H286" s="132"/>
      <c r="I286" s="133"/>
      <c r="J286" s="133"/>
      <c r="K286" s="132"/>
      <c r="L286" s="134"/>
      <c r="M286" s="131"/>
      <c r="N286" s="114"/>
      <c r="O286" s="135"/>
      <c r="P286" s="114"/>
      <c r="Q286" s="114"/>
      <c r="R286" s="114"/>
      <c r="S286" s="114"/>
      <c r="T286" s="114"/>
      <c r="U286" s="114"/>
    </row>
    <row r="287" spans="5:21" s="130" customFormat="1" ht="13" hidden="1" x14ac:dyDescent="0.3">
      <c r="E287" s="131"/>
      <c r="F287" s="111"/>
      <c r="H287" s="132"/>
      <c r="I287" s="133"/>
      <c r="J287" s="133"/>
      <c r="K287" s="132"/>
      <c r="L287" s="134"/>
      <c r="M287" s="131"/>
      <c r="N287" s="114"/>
      <c r="O287" s="135"/>
      <c r="P287" s="114"/>
      <c r="Q287" s="114"/>
      <c r="R287" s="114"/>
      <c r="S287" s="114"/>
      <c r="T287" s="114"/>
      <c r="U287" s="114"/>
    </row>
    <row r="288" spans="5:21" s="130" customFormat="1" ht="13" hidden="1" x14ac:dyDescent="0.3">
      <c r="E288" s="131"/>
      <c r="F288" s="111"/>
      <c r="H288" s="132"/>
      <c r="I288" s="133"/>
      <c r="J288" s="133"/>
      <c r="K288" s="132"/>
      <c r="L288" s="134"/>
      <c r="M288" s="131"/>
      <c r="N288" s="114"/>
      <c r="O288" s="135"/>
      <c r="P288" s="114"/>
      <c r="Q288" s="114"/>
      <c r="R288" s="114"/>
      <c r="S288" s="114"/>
      <c r="T288" s="114"/>
      <c r="U288" s="114"/>
    </row>
    <row r="289" spans="5:21" s="130" customFormat="1" ht="13" hidden="1" x14ac:dyDescent="0.3">
      <c r="E289" s="131"/>
      <c r="F289" s="111"/>
      <c r="H289" s="132"/>
      <c r="I289" s="133"/>
      <c r="J289" s="133"/>
      <c r="K289" s="132"/>
      <c r="L289" s="134"/>
      <c r="M289" s="131"/>
      <c r="N289" s="114"/>
      <c r="O289" s="135"/>
      <c r="P289" s="114"/>
      <c r="Q289" s="114"/>
      <c r="R289" s="114"/>
      <c r="S289" s="114"/>
      <c r="T289" s="114"/>
      <c r="U289" s="114"/>
    </row>
    <row r="290" spans="5:21" s="130" customFormat="1" ht="13" hidden="1" x14ac:dyDescent="0.3">
      <c r="E290" s="131"/>
      <c r="F290" s="111"/>
      <c r="H290" s="132"/>
      <c r="I290" s="133"/>
      <c r="J290" s="133"/>
      <c r="K290" s="132"/>
      <c r="L290" s="134"/>
      <c r="M290" s="131"/>
      <c r="N290" s="114"/>
      <c r="O290" s="135"/>
      <c r="P290" s="114"/>
      <c r="Q290" s="114"/>
      <c r="R290" s="114"/>
      <c r="S290" s="114"/>
      <c r="T290" s="114"/>
      <c r="U290" s="114"/>
    </row>
    <row r="291" spans="5:21" s="130" customFormat="1" ht="13" hidden="1" x14ac:dyDescent="0.3">
      <c r="E291" s="131"/>
      <c r="F291" s="111"/>
      <c r="H291" s="132"/>
      <c r="I291" s="133"/>
      <c r="J291" s="133"/>
      <c r="K291" s="132"/>
      <c r="L291" s="134"/>
      <c r="M291" s="131"/>
      <c r="N291" s="114"/>
      <c r="O291" s="135"/>
      <c r="P291" s="114"/>
      <c r="Q291" s="114"/>
      <c r="R291" s="114"/>
      <c r="S291" s="114"/>
      <c r="T291" s="114"/>
      <c r="U291" s="114"/>
    </row>
    <row r="292" spans="5:21" s="130" customFormat="1" ht="13" hidden="1" x14ac:dyDescent="0.3">
      <c r="E292" s="131"/>
      <c r="F292" s="111"/>
      <c r="H292" s="132"/>
      <c r="I292" s="133"/>
      <c r="J292" s="133"/>
      <c r="K292" s="132"/>
      <c r="L292" s="134"/>
      <c r="M292" s="131"/>
      <c r="N292" s="114"/>
      <c r="O292" s="135"/>
      <c r="P292" s="114"/>
      <c r="Q292" s="114"/>
      <c r="R292" s="114"/>
      <c r="S292" s="114"/>
      <c r="T292" s="114"/>
      <c r="U292" s="114"/>
    </row>
    <row r="293" spans="5:21" s="130" customFormat="1" ht="13" hidden="1" x14ac:dyDescent="0.3">
      <c r="E293" s="131"/>
      <c r="F293" s="111"/>
      <c r="H293" s="132"/>
      <c r="I293" s="133"/>
      <c r="J293" s="133"/>
      <c r="K293" s="132"/>
      <c r="L293" s="134"/>
      <c r="M293" s="131"/>
      <c r="N293" s="114"/>
      <c r="O293" s="135"/>
      <c r="P293" s="114"/>
      <c r="Q293" s="114"/>
      <c r="R293" s="114"/>
      <c r="S293" s="114"/>
      <c r="T293" s="114"/>
      <c r="U293" s="114"/>
    </row>
    <row r="294" spans="5:21" s="130" customFormat="1" ht="13" hidden="1" x14ac:dyDescent="0.3">
      <c r="E294" s="131"/>
      <c r="F294" s="111"/>
      <c r="H294" s="132"/>
      <c r="I294" s="133"/>
      <c r="J294" s="133"/>
      <c r="K294" s="132"/>
      <c r="L294" s="134"/>
      <c r="M294" s="131"/>
      <c r="N294" s="114"/>
      <c r="O294" s="135"/>
      <c r="P294" s="114"/>
      <c r="Q294" s="114"/>
      <c r="R294" s="114"/>
      <c r="S294" s="114"/>
      <c r="T294" s="114"/>
      <c r="U294" s="114"/>
    </row>
    <row r="295" spans="5:21" s="130" customFormat="1" ht="13" hidden="1" x14ac:dyDescent="0.3">
      <c r="E295" s="131"/>
      <c r="F295" s="111"/>
      <c r="H295" s="132"/>
      <c r="I295" s="133"/>
      <c r="J295" s="133"/>
      <c r="K295" s="132"/>
      <c r="L295" s="134"/>
      <c r="M295" s="131"/>
      <c r="N295" s="114"/>
      <c r="O295" s="135"/>
      <c r="P295" s="114"/>
      <c r="Q295" s="114"/>
      <c r="R295" s="114"/>
      <c r="S295" s="114"/>
      <c r="T295" s="114"/>
      <c r="U295" s="114"/>
    </row>
    <row r="296" spans="5:21" s="130" customFormat="1" ht="13" hidden="1" x14ac:dyDescent="0.3">
      <c r="E296" s="131"/>
      <c r="F296" s="111"/>
      <c r="H296" s="132"/>
      <c r="I296" s="133"/>
      <c r="J296" s="133"/>
      <c r="K296" s="132"/>
      <c r="L296" s="134"/>
      <c r="M296" s="131"/>
      <c r="N296" s="114"/>
      <c r="O296" s="135"/>
      <c r="P296" s="114"/>
      <c r="Q296" s="114"/>
      <c r="R296" s="114"/>
      <c r="S296" s="114"/>
      <c r="T296" s="114"/>
      <c r="U296" s="114"/>
    </row>
    <row r="297" spans="5:21" s="130" customFormat="1" ht="13" hidden="1" x14ac:dyDescent="0.3">
      <c r="E297" s="131"/>
      <c r="F297" s="111"/>
      <c r="H297" s="132"/>
      <c r="I297" s="133"/>
      <c r="J297" s="133"/>
      <c r="K297" s="132"/>
      <c r="L297" s="134"/>
      <c r="M297" s="131"/>
      <c r="N297" s="114"/>
      <c r="O297" s="135"/>
      <c r="P297" s="114"/>
      <c r="Q297" s="114"/>
      <c r="R297" s="114"/>
      <c r="S297" s="114"/>
      <c r="T297" s="114"/>
      <c r="U297" s="114"/>
    </row>
    <row r="298" spans="5:21" s="130" customFormat="1" ht="13" hidden="1" x14ac:dyDescent="0.3">
      <c r="E298" s="131"/>
      <c r="F298" s="111"/>
      <c r="H298" s="132"/>
      <c r="I298" s="133"/>
      <c r="J298" s="133"/>
      <c r="K298" s="132"/>
      <c r="L298" s="134"/>
      <c r="M298" s="131"/>
      <c r="N298" s="114"/>
      <c r="O298" s="135"/>
      <c r="P298" s="114"/>
      <c r="Q298" s="114"/>
      <c r="R298" s="114"/>
      <c r="S298" s="114"/>
      <c r="T298" s="114"/>
      <c r="U298" s="114"/>
    </row>
    <row r="299" spans="5:21" s="130" customFormat="1" ht="13" hidden="1" x14ac:dyDescent="0.3">
      <c r="E299" s="131"/>
      <c r="F299" s="111"/>
      <c r="H299" s="132"/>
      <c r="I299" s="133"/>
      <c r="J299" s="133"/>
      <c r="K299" s="132"/>
      <c r="L299" s="134"/>
      <c r="M299" s="131"/>
      <c r="N299" s="114"/>
      <c r="O299" s="135"/>
      <c r="P299" s="114"/>
      <c r="Q299" s="114"/>
      <c r="R299" s="114"/>
      <c r="S299" s="114"/>
      <c r="T299" s="114"/>
      <c r="U299" s="114"/>
    </row>
    <row r="300" spans="5:21" s="130" customFormat="1" ht="13" hidden="1" x14ac:dyDescent="0.3">
      <c r="E300" s="131"/>
      <c r="F300" s="111"/>
      <c r="H300" s="132"/>
      <c r="I300" s="133"/>
      <c r="J300" s="133"/>
      <c r="K300" s="132"/>
      <c r="L300" s="134"/>
      <c r="M300" s="131"/>
      <c r="N300" s="114"/>
      <c r="O300" s="135"/>
      <c r="P300" s="114"/>
      <c r="Q300" s="114"/>
      <c r="R300" s="114"/>
      <c r="S300" s="114"/>
      <c r="T300" s="114"/>
      <c r="U300" s="114"/>
    </row>
    <row r="301" spans="5:21" s="130" customFormat="1" ht="13" hidden="1" x14ac:dyDescent="0.3">
      <c r="E301" s="131"/>
      <c r="F301" s="111"/>
      <c r="H301" s="132"/>
      <c r="I301" s="133"/>
      <c r="J301" s="133"/>
      <c r="K301" s="132"/>
      <c r="L301" s="134"/>
      <c r="M301" s="131"/>
      <c r="N301" s="114"/>
      <c r="O301" s="135"/>
      <c r="P301" s="114"/>
      <c r="Q301" s="114"/>
      <c r="R301" s="114"/>
      <c r="S301" s="114"/>
      <c r="T301" s="114"/>
      <c r="U301" s="114"/>
    </row>
    <row r="302" spans="5:21" s="130" customFormat="1" ht="13" hidden="1" x14ac:dyDescent="0.3">
      <c r="E302" s="131"/>
      <c r="F302" s="111"/>
      <c r="H302" s="132"/>
      <c r="I302" s="133"/>
      <c r="J302" s="133"/>
      <c r="K302" s="132"/>
      <c r="L302" s="134"/>
      <c r="M302" s="131"/>
      <c r="N302" s="114"/>
      <c r="O302" s="135"/>
      <c r="P302" s="114"/>
      <c r="Q302" s="114"/>
      <c r="R302" s="114"/>
      <c r="S302" s="114"/>
      <c r="T302" s="114"/>
      <c r="U302" s="114"/>
    </row>
    <row r="303" spans="5:21" s="130" customFormat="1" ht="13" hidden="1" x14ac:dyDescent="0.3">
      <c r="E303" s="131"/>
      <c r="F303" s="111"/>
      <c r="H303" s="132"/>
      <c r="I303" s="133"/>
      <c r="J303" s="133"/>
      <c r="K303" s="132"/>
      <c r="L303" s="134"/>
      <c r="M303" s="131"/>
      <c r="N303" s="114"/>
      <c r="O303" s="135"/>
      <c r="P303" s="114"/>
      <c r="Q303" s="114"/>
      <c r="R303" s="114"/>
      <c r="S303" s="114"/>
      <c r="T303" s="114"/>
      <c r="U303" s="114"/>
    </row>
    <row r="304" spans="5:21" s="130" customFormat="1" ht="13" hidden="1" x14ac:dyDescent="0.3">
      <c r="E304" s="131"/>
      <c r="F304" s="111"/>
      <c r="H304" s="132"/>
      <c r="I304" s="133"/>
      <c r="J304" s="133"/>
      <c r="K304" s="132"/>
      <c r="L304" s="134"/>
      <c r="M304" s="131"/>
      <c r="N304" s="114"/>
      <c r="O304" s="135"/>
      <c r="P304" s="114"/>
      <c r="Q304" s="114"/>
      <c r="R304" s="114"/>
      <c r="S304" s="114"/>
      <c r="T304" s="114"/>
      <c r="U304" s="114"/>
    </row>
    <row r="305" spans="5:21" s="130" customFormat="1" ht="13" hidden="1" x14ac:dyDescent="0.3">
      <c r="E305" s="131"/>
      <c r="F305" s="111"/>
      <c r="H305" s="132"/>
      <c r="I305" s="133"/>
      <c r="J305" s="133"/>
      <c r="K305" s="132"/>
      <c r="L305" s="134"/>
      <c r="M305" s="131"/>
      <c r="N305" s="114"/>
      <c r="O305" s="135"/>
      <c r="P305" s="114"/>
      <c r="Q305" s="114"/>
      <c r="R305" s="114"/>
      <c r="S305" s="114"/>
      <c r="T305" s="114"/>
      <c r="U305" s="114"/>
    </row>
    <row r="306" spans="5:21" s="130" customFormat="1" ht="13" hidden="1" x14ac:dyDescent="0.3">
      <c r="E306" s="131"/>
      <c r="F306" s="111"/>
      <c r="H306" s="132"/>
      <c r="I306" s="133"/>
      <c r="J306" s="133"/>
      <c r="K306" s="132"/>
      <c r="L306" s="134"/>
      <c r="M306" s="131"/>
      <c r="N306" s="114"/>
      <c r="O306" s="135"/>
      <c r="P306" s="114"/>
      <c r="Q306" s="114"/>
      <c r="R306" s="114"/>
      <c r="S306" s="114"/>
      <c r="T306" s="114"/>
      <c r="U306" s="114"/>
    </row>
    <row r="307" spans="5:21" s="130" customFormat="1" ht="13" hidden="1" x14ac:dyDescent="0.3">
      <c r="E307" s="131"/>
      <c r="F307" s="111"/>
      <c r="H307" s="132"/>
      <c r="I307" s="133"/>
      <c r="J307" s="133"/>
      <c r="K307" s="132"/>
      <c r="L307" s="134"/>
      <c r="M307" s="131"/>
      <c r="N307" s="114"/>
      <c r="O307" s="135"/>
      <c r="P307" s="114"/>
      <c r="Q307" s="114"/>
      <c r="R307" s="114"/>
      <c r="S307" s="114"/>
      <c r="T307" s="114"/>
      <c r="U307" s="114"/>
    </row>
    <row r="308" spans="5:21" s="130" customFormat="1" ht="13" hidden="1" x14ac:dyDescent="0.3">
      <c r="E308" s="131"/>
      <c r="F308" s="111"/>
      <c r="H308" s="132"/>
      <c r="I308" s="133"/>
      <c r="J308" s="133"/>
      <c r="K308" s="132"/>
      <c r="L308" s="134"/>
      <c r="M308" s="131"/>
      <c r="N308" s="114"/>
      <c r="O308" s="135"/>
      <c r="P308" s="114"/>
      <c r="Q308" s="114"/>
      <c r="R308" s="114"/>
      <c r="S308" s="114"/>
      <c r="T308" s="114"/>
      <c r="U308" s="114"/>
    </row>
    <row r="309" spans="5:21" s="130" customFormat="1" ht="13" hidden="1" x14ac:dyDescent="0.3">
      <c r="E309" s="131"/>
      <c r="F309" s="111"/>
      <c r="H309" s="132"/>
      <c r="I309" s="133"/>
      <c r="J309" s="133"/>
      <c r="K309" s="132"/>
      <c r="L309" s="134"/>
      <c r="M309" s="131"/>
      <c r="N309" s="114"/>
      <c r="O309" s="135"/>
      <c r="P309" s="114"/>
      <c r="Q309" s="114"/>
      <c r="R309" s="114"/>
      <c r="S309" s="114"/>
      <c r="T309" s="114"/>
      <c r="U309" s="114"/>
    </row>
    <row r="310" spans="5:21" s="130" customFormat="1" ht="13" hidden="1" x14ac:dyDescent="0.3">
      <c r="E310" s="131"/>
      <c r="F310" s="111"/>
      <c r="H310" s="132"/>
      <c r="I310" s="133"/>
      <c r="J310" s="133"/>
      <c r="K310" s="132"/>
      <c r="L310" s="134"/>
      <c r="M310" s="131"/>
      <c r="N310" s="114"/>
      <c r="O310" s="135"/>
      <c r="P310" s="114"/>
      <c r="Q310" s="114"/>
      <c r="R310" s="114"/>
      <c r="S310" s="114"/>
      <c r="T310" s="114"/>
      <c r="U310" s="114"/>
    </row>
    <row r="311" spans="5:21" s="130" customFormat="1" ht="13" hidden="1" x14ac:dyDescent="0.3">
      <c r="E311" s="131"/>
      <c r="F311" s="111"/>
      <c r="H311" s="132"/>
      <c r="I311" s="133"/>
      <c r="J311" s="133"/>
      <c r="K311" s="132"/>
      <c r="L311" s="134"/>
      <c r="M311" s="131"/>
      <c r="N311" s="114"/>
      <c r="O311" s="135"/>
      <c r="P311" s="114"/>
      <c r="Q311" s="114"/>
      <c r="R311" s="114"/>
      <c r="S311" s="114"/>
      <c r="T311" s="114"/>
      <c r="U311" s="114"/>
    </row>
    <row r="312" spans="5:21" s="130" customFormat="1" ht="13" hidden="1" x14ac:dyDescent="0.3">
      <c r="E312" s="131"/>
      <c r="F312" s="111"/>
      <c r="H312" s="132"/>
      <c r="I312" s="133"/>
      <c r="J312" s="133"/>
      <c r="K312" s="132"/>
      <c r="L312" s="134"/>
      <c r="M312" s="131"/>
      <c r="N312" s="114"/>
      <c r="O312" s="135"/>
      <c r="P312" s="114"/>
      <c r="Q312" s="114"/>
      <c r="R312" s="114"/>
      <c r="S312" s="114"/>
      <c r="T312" s="114"/>
      <c r="U312" s="114"/>
    </row>
    <row r="313" spans="5:21" s="130" customFormat="1" ht="13" hidden="1" x14ac:dyDescent="0.3">
      <c r="E313" s="131"/>
      <c r="F313" s="111"/>
      <c r="H313" s="132"/>
      <c r="I313" s="133"/>
      <c r="J313" s="133"/>
      <c r="K313" s="132"/>
      <c r="L313" s="134"/>
      <c r="M313" s="131"/>
      <c r="N313" s="114"/>
      <c r="O313" s="135"/>
      <c r="P313" s="114"/>
      <c r="Q313" s="114"/>
      <c r="R313" s="114"/>
      <c r="S313" s="114"/>
      <c r="T313" s="114"/>
      <c r="U313" s="114"/>
    </row>
    <row r="314" spans="5:21" s="130" customFormat="1" ht="13" hidden="1" x14ac:dyDescent="0.3">
      <c r="E314" s="131"/>
      <c r="F314" s="111"/>
      <c r="H314" s="132"/>
      <c r="I314" s="133"/>
      <c r="J314" s="133"/>
      <c r="K314" s="132"/>
      <c r="L314" s="134"/>
      <c r="M314" s="131"/>
      <c r="N314" s="114"/>
      <c r="O314" s="135"/>
      <c r="P314" s="114"/>
      <c r="Q314" s="114"/>
      <c r="R314" s="114"/>
      <c r="S314" s="114"/>
      <c r="T314" s="114"/>
      <c r="U314" s="114"/>
    </row>
    <row r="315" spans="5:21" s="130" customFormat="1" ht="13" hidden="1" x14ac:dyDescent="0.3">
      <c r="E315" s="131"/>
      <c r="F315" s="111"/>
      <c r="H315" s="132"/>
      <c r="I315" s="133"/>
      <c r="J315" s="133"/>
      <c r="K315" s="132"/>
      <c r="L315" s="134"/>
      <c r="M315" s="131"/>
      <c r="N315" s="114"/>
      <c r="O315" s="135"/>
      <c r="P315" s="114"/>
      <c r="Q315" s="114"/>
      <c r="R315" s="114"/>
      <c r="S315" s="114"/>
      <c r="T315" s="114"/>
      <c r="U315" s="114"/>
    </row>
    <row r="316" spans="5:21" s="130" customFormat="1" ht="13" hidden="1" x14ac:dyDescent="0.3">
      <c r="E316" s="131"/>
      <c r="F316" s="111"/>
      <c r="H316" s="132"/>
      <c r="I316" s="133"/>
      <c r="J316" s="133"/>
      <c r="K316" s="132"/>
      <c r="L316" s="134"/>
      <c r="M316" s="131"/>
      <c r="N316" s="114"/>
      <c r="O316" s="135"/>
      <c r="P316" s="114"/>
      <c r="Q316" s="114"/>
      <c r="R316" s="114"/>
      <c r="S316" s="114"/>
      <c r="T316" s="114"/>
      <c r="U316" s="114"/>
    </row>
    <row r="317" spans="5:21" s="130" customFormat="1" ht="13" hidden="1" x14ac:dyDescent="0.3">
      <c r="E317" s="131"/>
      <c r="F317" s="111"/>
      <c r="H317" s="132"/>
      <c r="I317" s="133"/>
      <c r="J317" s="133"/>
      <c r="K317" s="132"/>
      <c r="L317" s="134"/>
      <c r="M317" s="131"/>
      <c r="N317" s="114"/>
      <c r="O317" s="135"/>
      <c r="P317" s="114"/>
      <c r="Q317" s="114"/>
      <c r="R317" s="114"/>
      <c r="S317" s="114"/>
      <c r="T317" s="114"/>
      <c r="U317" s="114"/>
    </row>
    <row r="318" spans="5:21" s="130" customFormat="1" ht="13" hidden="1" x14ac:dyDescent="0.3">
      <c r="E318" s="131"/>
      <c r="F318" s="111"/>
      <c r="H318" s="132"/>
      <c r="I318" s="133"/>
      <c r="J318" s="133"/>
      <c r="K318" s="132"/>
      <c r="L318" s="134"/>
      <c r="M318" s="131"/>
      <c r="N318" s="114"/>
      <c r="O318" s="135"/>
      <c r="P318" s="114"/>
      <c r="Q318" s="114"/>
      <c r="R318" s="114"/>
      <c r="S318" s="114"/>
      <c r="T318" s="114"/>
      <c r="U318" s="114"/>
    </row>
    <row r="319" spans="5:21" s="130" customFormat="1" ht="13" hidden="1" x14ac:dyDescent="0.3">
      <c r="E319" s="131"/>
      <c r="F319" s="111"/>
      <c r="H319" s="132"/>
      <c r="I319" s="133"/>
      <c r="J319" s="133"/>
      <c r="K319" s="132"/>
      <c r="L319" s="134"/>
      <c r="M319" s="131"/>
      <c r="N319" s="114"/>
      <c r="O319" s="135"/>
      <c r="P319" s="114"/>
      <c r="Q319" s="114"/>
      <c r="R319" s="114"/>
      <c r="S319" s="114"/>
      <c r="T319" s="114"/>
      <c r="U319" s="114"/>
    </row>
    <row r="320" spans="5:21" s="130" customFormat="1" ht="13" hidden="1" x14ac:dyDescent="0.3">
      <c r="E320" s="131"/>
      <c r="F320" s="111"/>
      <c r="H320" s="132"/>
      <c r="I320" s="133"/>
      <c r="J320" s="133"/>
      <c r="K320" s="132"/>
      <c r="L320" s="134"/>
      <c r="M320" s="131"/>
      <c r="N320" s="114"/>
      <c r="O320" s="135"/>
      <c r="P320" s="114"/>
      <c r="Q320" s="114"/>
      <c r="R320" s="114"/>
      <c r="S320" s="114"/>
      <c r="T320" s="114"/>
      <c r="U320" s="114"/>
    </row>
    <row r="321" spans="5:21" s="130" customFormat="1" ht="13" hidden="1" x14ac:dyDescent="0.3">
      <c r="E321" s="131"/>
      <c r="F321" s="111"/>
      <c r="H321" s="132"/>
      <c r="I321" s="133"/>
      <c r="J321" s="133"/>
      <c r="K321" s="132"/>
      <c r="L321" s="134"/>
      <c r="M321" s="131"/>
      <c r="N321" s="114"/>
      <c r="O321" s="135"/>
      <c r="P321" s="114"/>
      <c r="Q321" s="114"/>
      <c r="R321" s="114"/>
      <c r="S321" s="114"/>
      <c r="T321" s="114"/>
      <c r="U321" s="114"/>
    </row>
    <row r="322" spans="5:21" s="130" customFormat="1" ht="13" hidden="1" x14ac:dyDescent="0.3">
      <c r="E322" s="131"/>
      <c r="F322" s="111"/>
      <c r="H322" s="132"/>
      <c r="I322" s="133"/>
      <c r="J322" s="133"/>
      <c r="K322" s="132"/>
      <c r="L322" s="134"/>
      <c r="M322" s="131"/>
      <c r="N322" s="114"/>
      <c r="O322" s="135"/>
      <c r="P322" s="114"/>
      <c r="Q322" s="114"/>
      <c r="R322" s="114"/>
      <c r="S322" s="114"/>
      <c r="T322" s="114"/>
      <c r="U322" s="114"/>
    </row>
    <row r="323" spans="5:21" s="130" customFormat="1" ht="13" hidden="1" x14ac:dyDescent="0.3">
      <c r="E323" s="131"/>
      <c r="F323" s="111"/>
      <c r="H323" s="132"/>
      <c r="I323" s="133"/>
      <c r="J323" s="133"/>
      <c r="K323" s="132"/>
      <c r="L323" s="134"/>
      <c r="M323" s="131"/>
      <c r="N323" s="114"/>
      <c r="O323" s="135"/>
      <c r="P323" s="114"/>
      <c r="Q323" s="114"/>
      <c r="R323" s="114"/>
      <c r="S323" s="114"/>
      <c r="T323" s="114"/>
      <c r="U323" s="114"/>
    </row>
    <row r="324" spans="5:21" s="130" customFormat="1" ht="13" hidden="1" x14ac:dyDescent="0.3">
      <c r="E324" s="131"/>
      <c r="F324" s="111"/>
      <c r="H324" s="132"/>
      <c r="I324" s="133"/>
      <c r="J324" s="133"/>
      <c r="K324" s="132"/>
      <c r="L324" s="134"/>
      <c r="M324" s="131"/>
      <c r="N324" s="114"/>
      <c r="O324" s="135"/>
      <c r="P324" s="114"/>
      <c r="Q324" s="114"/>
      <c r="R324" s="114"/>
      <c r="S324" s="114"/>
      <c r="T324" s="114"/>
      <c r="U324" s="114"/>
    </row>
    <row r="325" spans="5:21" s="130" customFormat="1" ht="13" hidden="1" x14ac:dyDescent="0.3">
      <c r="E325" s="131"/>
      <c r="F325" s="111"/>
      <c r="H325" s="132"/>
      <c r="I325" s="133"/>
      <c r="J325" s="133"/>
      <c r="K325" s="132"/>
      <c r="L325" s="134"/>
      <c r="M325" s="131"/>
      <c r="N325" s="114"/>
      <c r="O325" s="135"/>
      <c r="P325" s="114"/>
      <c r="Q325" s="114"/>
      <c r="R325" s="114"/>
      <c r="S325" s="114"/>
      <c r="T325" s="114"/>
      <c r="U325" s="114"/>
    </row>
    <row r="326" spans="5:21" s="130" customFormat="1" ht="13" hidden="1" x14ac:dyDescent="0.3">
      <c r="E326" s="131"/>
      <c r="F326" s="111"/>
      <c r="H326" s="132"/>
      <c r="I326" s="133"/>
      <c r="J326" s="133"/>
      <c r="K326" s="132"/>
      <c r="L326" s="134"/>
      <c r="M326" s="131"/>
      <c r="N326" s="114"/>
      <c r="O326" s="135"/>
      <c r="P326" s="114"/>
      <c r="Q326" s="114"/>
      <c r="R326" s="114"/>
      <c r="S326" s="114"/>
      <c r="T326" s="114"/>
      <c r="U326" s="114"/>
    </row>
    <row r="327" spans="5:21" s="130" customFormat="1" ht="13" hidden="1" x14ac:dyDescent="0.3">
      <c r="E327" s="131"/>
      <c r="F327" s="111"/>
      <c r="H327" s="132"/>
      <c r="I327" s="133"/>
      <c r="J327" s="133"/>
      <c r="K327" s="132"/>
      <c r="L327" s="134"/>
      <c r="M327" s="131"/>
      <c r="N327" s="114"/>
      <c r="O327" s="135"/>
      <c r="P327" s="114"/>
      <c r="Q327" s="114"/>
      <c r="R327" s="114"/>
      <c r="S327" s="114"/>
      <c r="T327" s="114"/>
      <c r="U327" s="114"/>
    </row>
    <row r="328" spans="5:21" s="130" customFormat="1" ht="13" hidden="1" x14ac:dyDescent="0.3">
      <c r="E328" s="131"/>
      <c r="F328" s="111"/>
      <c r="H328" s="132"/>
      <c r="I328" s="133"/>
      <c r="J328" s="133"/>
      <c r="K328" s="132"/>
      <c r="L328" s="134"/>
      <c r="M328" s="131"/>
      <c r="N328" s="114"/>
      <c r="O328" s="135"/>
      <c r="P328" s="114"/>
      <c r="Q328" s="114"/>
      <c r="R328" s="114"/>
      <c r="S328" s="114"/>
      <c r="T328" s="114"/>
      <c r="U328" s="114"/>
    </row>
    <row r="329" spans="5:21" s="130" customFormat="1" ht="13" hidden="1" x14ac:dyDescent="0.3">
      <c r="E329" s="131"/>
      <c r="F329" s="111"/>
      <c r="H329" s="132"/>
      <c r="I329" s="133"/>
      <c r="J329" s="133"/>
      <c r="K329" s="132"/>
      <c r="L329" s="134"/>
      <c r="M329" s="131"/>
      <c r="N329" s="114"/>
      <c r="O329" s="135"/>
      <c r="P329" s="114"/>
      <c r="Q329" s="114"/>
      <c r="R329" s="114"/>
      <c r="S329" s="114"/>
      <c r="T329" s="114"/>
      <c r="U329" s="114"/>
    </row>
    <row r="330" spans="5:21" s="130" customFormat="1" ht="13" hidden="1" x14ac:dyDescent="0.3">
      <c r="E330" s="131"/>
      <c r="F330" s="111"/>
      <c r="H330" s="132"/>
      <c r="I330" s="133"/>
      <c r="J330" s="133"/>
      <c r="K330" s="132"/>
      <c r="L330" s="134"/>
      <c r="M330" s="131"/>
      <c r="N330" s="114"/>
      <c r="O330" s="135"/>
      <c r="P330" s="114"/>
      <c r="Q330" s="114"/>
      <c r="R330" s="114"/>
      <c r="S330" s="114"/>
      <c r="T330" s="114"/>
      <c r="U330" s="114"/>
    </row>
    <row r="331" spans="5:21" s="130" customFormat="1" ht="13" hidden="1" x14ac:dyDescent="0.3">
      <c r="E331" s="131"/>
      <c r="F331" s="111"/>
      <c r="H331" s="132"/>
      <c r="I331" s="133"/>
      <c r="J331" s="133"/>
      <c r="K331" s="132"/>
      <c r="L331" s="134"/>
      <c r="M331" s="131"/>
      <c r="N331" s="114"/>
      <c r="O331" s="135"/>
      <c r="P331" s="114"/>
      <c r="Q331" s="114"/>
      <c r="R331" s="114"/>
      <c r="S331" s="114"/>
      <c r="T331" s="114"/>
      <c r="U331" s="114"/>
    </row>
    <row r="332" spans="5:21" s="130" customFormat="1" ht="13" hidden="1" x14ac:dyDescent="0.3">
      <c r="E332" s="131"/>
      <c r="F332" s="111"/>
      <c r="H332" s="132"/>
      <c r="I332" s="133"/>
      <c r="J332" s="133"/>
      <c r="K332" s="132"/>
      <c r="L332" s="134"/>
      <c r="M332" s="131"/>
      <c r="N332" s="114"/>
      <c r="O332" s="135"/>
      <c r="P332" s="114"/>
      <c r="Q332" s="114"/>
      <c r="R332" s="114"/>
      <c r="S332" s="114"/>
      <c r="T332" s="114"/>
      <c r="U332" s="114"/>
    </row>
    <row r="333" spans="5:21" s="130" customFormat="1" ht="13" hidden="1" x14ac:dyDescent="0.3">
      <c r="E333" s="131"/>
      <c r="F333" s="111"/>
      <c r="H333" s="132"/>
      <c r="I333" s="133"/>
      <c r="J333" s="133"/>
      <c r="K333" s="132"/>
      <c r="L333" s="134"/>
      <c r="M333" s="131"/>
      <c r="N333" s="114"/>
      <c r="O333" s="135"/>
      <c r="P333" s="114"/>
      <c r="Q333" s="114"/>
      <c r="R333" s="114"/>
      <c r="S333" s="114"/>
      <c r="T333" s="114"/>
      <c r="U333" s="114"/>
    </row>
    <row r="334" spans="5:21" s="130" customFormat="1" ht="13" hidden="1" x14ac:dyDescent="0.3">
      <c r="E334" s="131"/>
      <c r="F334" s="111"/>
      <c r="H334" s="132"/>
      <c r="I334" s="133"/>
      <c r="J334" s="133"/>
      <c r="K334" s="132"/>
      <c r="L334" s="134"/>
      <c r="M334" s="131"/>
      <c r="N334" s="114"/>
      <c r="O334" s="135"/>
      <c r="P334" s="114"/>
      <c r="Q334" s="114"/>
      <c r="R334" s="114"/>
      <c r="S334" s="114"/>
      <c r="T334" s="114"/>
      <c r="U334" s="114"/>
    </row>
    <row r="335" spans="5:21" s="130" customFormat="1" ht="13" hidden="1" x14ac:dyDescent="0.3">
      <c r="E335" s="131"/>
      <c r="F335" s="111"/>
      <c r="H335" s="132"/>
      <c r="I335" s="133"/>
      <c r="J335" s="133"/>
      <c r="K335" s="132"/>
      <c r="L335" s="134"/>
      <c r="M335" s="131"/>
      <c r="N335" s="114"/>
      <c r="O335" s="135"/>
      <c r="P335" s="114"/>
      <c r="Q335" s="114"/>
      <c r="R335" s="114"/>
      <c r="S335" s="114"/>
      <c r="T335" s="114"/>
      <c r="U335" s="114"/>
    </row>
    <row r="336" spans="5:21" s="130" customFormat="1" ht="13" hidden="1" x14ac:dyDescent="0.3">
      <c r="E336" s="131"/>
      <c r="F336" s="111"/>
      <c r="H336" s="132"/>
      <c r="I336" s="133"/>
      <c r="J336" s="133"/>
      <c r="K336" s="132"/>
      <c r="L336" s="134"/>
      <c r="M336" s="131"/>
      <c r="N336" s="114"/>
      <c r="O336" s="135"/>
      <c r="P336" s="114"/>
      <c r="Q336" s="114"/>
      <c r="R336" s="114"/>
      <c r="S336" s="114"/>
      <c r="T336" s="114"/>
      <c r="U336" s="114"/>
    </row>
    <row r="337" spans="5:21" s="130" customFormat="1" ht="13" hidden="1" x14ac:dyDescent="0.3">
      <c r="E337" s="131"/>
      <c r="F337" s="111"/>
      <c r="H337" s="132"/>
      <c r="I337" s="133"/>
      <c r="J337" s="133"/>
      <c r="K337" s="132"/>
      <c r="L337" s="134"/>
      <c r="M337" s="131"/>
      <c r="N337" s="114"/>
      <c r="O337" s="135"/>
      <c r="P337" s="114"/>
      <c r="Q337" s="114"/>
      <c r="R337" s="114"/>
      <c r="S337" s="114"/>
      <c r="T337" s="114"/>
      <c r="U337" s="114"/>
    </row>
    <row r="338" spans="5:21" s="130" customFormat="1" ht="13" hidden="1" x14ac:dyDescent="0.3">
      <c r="E338" s="131"/>
      <c r="F338" s="111"/>
      <c r="H338" s="132"/>
      <c r="I338" s="133"/>
      <c r="J338" s="133"/>
      <c r="K338" s="132"/>
      <c r="L338" s="134"/>
      <c r="M338" s="131"/>
      <c r="N338" s="114"/>
      <c r="O338" s="135"/>
      <c r="P338" s="114"/>
      <c r="Q338" s="114"/>
      <c r="R338" s="114"/>
      <c r="S338" s="114"/>
      <c r="T338" s="114"/>
      <c r="U338" s="114"/>
    </row>
    <row r="339" spans="5:21" s="130" customFormat="1" ht="13" hidden="1" x14ac:dyDescent="0.3">
      <c r="E339" s="131"/>
      <c r="F339" s="111"/>
      <c r="H339" s="132"/>
      <c r="I339" s="133"/>
      <c r="J339" s="133"/>
      <c r="K339" s="132"/>
      <c r="L339" s="134"/>
      <c r="M339" s="131"/>
      <c r="N339" s="114"/>
      <c r="O339" s="135"/>
      <c r="P339" s="114"/>
      <c r="Q339" s="114"/>
      <c r="R339" s="114"/>
      <c r="S339" s="114"/>
      <c r="T339" s="114"/>
      <c r="U339" s="114"/>
    </row>
    <row r="340" spans="5:21" s="130" customFormat="1" ht="13" hidden="1" x14ac:dyDescent="0.3">
      <c r="E340" s="131"/>
      <c r="F340" s="111"/>
      <c r="H340" s="132"/>
      <c r="I340" s="133"/>
      <c r="J340" s="133"/>
      <c r="K340" s="132"/>
      <c r="L340" s="134"/>
      <c r="M340" s="131"/>
      <c r="N340" s="114"/>
      <c r="O340" s="135"/>
      <c r="P340" s="114"/>
      <c r="Q340" s="114"/>
      <c r="R340" s="114"/>
      <c r="S340" s="114"/>
      <c r="T340" s="114"/>
      <c r="U340" s="114"/>
    </row>
    <row r="341" spans="5:21" s="130" customFormat="1" ht="13" hidden="1" x14ac:dyDescent="0.3">
      <c r="E341" s="131"/>
      <c r="F341" s="111"/>
      <c r="H341" s="132"/>
      <c r="I341" s="133"/>
      <c r="J341" s="133"/>
      <c r="K341" s="132"/>
      <c r="L341" s="134"/>
      <c r="M341" s="131"/>
      <c r="N341" s="114"/>
      <c r="O341" s="135"/>
      <c r="P341" s="114"/>
      <c r="Q341" s="114"/>
      <c r="R341" s="114"/>
      <c r="S341" s="114"/>
      <c r="T341" s="114"/>
      <c r="U341" s="114"/>
    </row>
    <row r="342" spans="5:21" s="130" customFormat="1" ht="13" hidden="1" x14ac:dyDescent="0.3">
      <c r="E342" s="131"/>
      <c r="F342" s="111"/>
      <c r="H342" s="132"/>
      <c r="I342" s="133"/>
      <c r="J342" s="133"/>
      <c r="K342" s="132"/>
      <c r="L342" s="134"/>
      <c r="M342" s="131"/>
      <c r="N342" s="114"/>
      <c r="O342" s="135"/>
      <c r="P342" s="114"/>
      <c r="Q342" s="114"/>
      <c r="R342" s="114"/>
      <c r="S342" s="114"/>
      <c r="T342" s="114"/>
      <c r="U342" s="114"/>
    </row>
    <row r="343" spans="5:21" s="130" customFormat="1" ht="13" hidden="1" x14ac:dyDescent="0.3">
      <c r="E343" s="131"/>
      <c r="F343" s="111"/>
      <c r="H343" s="132"/>
      <c r="I343" s="133"/>
      <c r="J343" s="133"/>
      <c r="K343" s="132"/>
      <c r="L343" s="134"/>
      <c r="M343" s="131"/>
      <c r="N343" s="114"/>
      <c r="O343" s="135"/>
      <c r="P343" s="114"/>
      <c r="Q343" s="114"/>
      <c r="R343" s="114"/>
      <c r="S343" s="114"/>
      <c r="T343" s="114"/>
      <c r="U343" s="114"/>
    </row>
    <row r="344" spans="5:21" s="130" customFormat="1" ht="13" hidden="1" x14ac:dyDescent="0.3">
      <c r="E344" s="131"/>
      <c r="F344" s="111"/>
      <c r="H344" s="132"/>
      <c r="I344" s="133"/>
      <c r="J344" s="133"/>
      <c r="K344" s="132"/>
      <c r="L344" s="134"/>
      <c r="M344" s="131"/>
      <c r="N344" s="114"/>
      <c r="O344" s="135"/>
      <c r="P344" s="114"/>
      <c r="Q344" s="114"/>
      <c r="R344" s="114"/>
      <c r="S344" s="114"/>
      <c r="T344" s="114"/>
      <c r="U344" s="114"/>
    </row>
    <row r="345" spans="5:21" s="130" customFormat="1" ht="13" hidden="1" x14ac:dyDescent="0.3">
      <c r="E345" s="131"/>
      <c r="F345" s="111"/>
      <c r="H345" s="132"/>
      <c r="I345" s="133"/>
      <c r="J345" s="133"/>
      <c r="K345" s="132"/>
      <c r="L345" s="134"/>
      <c r="M345" s="131"/>
      <c r="N345" s="114"/>
      <c r="O345" s="135"/>
      <c r="P345" s="114"/>
      <c r="Q345" s="114"/>
      <c r="R345" s="114"/>
      <c r="S345" s="114"/>
      <c r="T345" s="114"/>
      <c r="U345" s="114"/>
    </row>
    <row r="346" spans="5:21" s="130" customFormat="1" ht="13" hidden="1" x14ac:dyDescent="0.3">
      <c r="E346" s="131"/>
      <c r="F346" s="111"/>
      <c r="H346" s="132"/>
      <c r="I346" s="133"/>
      <c r="J346" s="133"/>
      <c r="K346" s="132"/>
      <c r="L346" s="134"/>
      <c r="M346" s="131"/>
      <c r="N346" s="114"/>
      <c r="O346" s="135"/>
      <c r="P346" s="114"/>
      <c r="Q346" s="114"/>
      <c r="R346" s="114"/>
      <c r="S346" s="114"/>
      <c r="T346" s="114"/>
      <c r="U346" s="114"/>
    </row>
    <row r="347" spans="5:21" s="130" customFormat="1" ht="13" hidden="1" x14ac:dyDescent="0.3">
      <c r="E347" s="131"/>
      <c r="F347" s="111"/>
      <c r="H347" s="132"/>
      <c r="I347" s="133"/>
      <c r="J347" s="133"/>
      <c r="K347" s="132"/>
      <c r="L347" s="134"/>
      <c r="M347" s="131"/>
      <c r="N347" s="114"/>
      <c r="O347" s="135"/>
      <c r="P347" s="114"/>
      <c r="Q347" s="114"/>
      <c r="R347" s="114"/>
      <c r="S347" s="114"/>
      <c r="T347" s="114"/>
      <c r="U347" s="114"/>
    </row>
    <row r="348" spans="5:21" s="130" customFormat="1" ht="13" hidden="1" x14ac:dyDescent="0.3">
      <c r="E348" s="131"/>
      <c r="F348" s="111"/>
      <c r="H348" s="132"/>
      <c r="I348" s="133"/>
      <c r="J348" s="133"/>
      <c r="K348" s="132"/>
      <c r="L348" s="134"/>
      <c r="M348" s="131"/>
      <c r="N348" s="114"/>
      <c r="O348" s="135"/>
      <c r="P348" s="114"/>
      <c r="Q348" s="114"/>
      <c r="R348" s="114"/>
      <c r="S348" s="114"/>
      <c r="T348" s="114"/>
      <c r="U348" s="114"/>
    </row>
    <row r="349" spans="5:21" s="130" customFormat="1" ht="13" hidden="1" x14ac:dyDescent="0.3">
      <c r="E349" s="131"/>
      <c r="F349" s="111"/>
      <c r="H349" s="132"/>
      <c r="I349" s="133"/>
      <c r="J349" s="133"/>
      <c r="K349" s="132"/>
      <c r="L349" s="134"/>
      <c r="M349" s="131"/>
      <c r="N349" s="114"/>
      <c r="O349" s="135"/>
      <c r="P349" s="114"/>
      <c r="Q349" s="114"/>
      <c r="R349" s="114"/>
      <c r="S349" s="114"/>
      <c r="T349" s="114"/>
      <c r="U349" s="114"/>
    </row>
    <row r="350" spans="5:21" s="130" customFormat="1" ht="13" hidden="1" x14ac:dyDescent="0.3">
      <c r="E350" s="131"/>
      <c r="F350" s="111"/>
      <c r="H350" s="132"/>
      <c r="I350" s="133"/>
      <c r="J350" s="133"/>
      <c r="K350" s="132"/>
      <c r="L350" s="134"/>
      <c r="M350" s="131"/>
      <c r="N350" s="114"/>
      <c r="O350" s="135"/>
      <c r="P350" s="114"/>
      <c r="Q350" s="114"/>
      <c r="R350" s="114"/>
      <c r="S350" s="114"/>
      <c r="T350" s="114"/>
      <c r="U350" s="114"/>
    </row>
    <row r="351" spans="5:21" s="130" customFormat="1" ht="13" hidden="1" x14ac:dyDescent="0.3">
      <c r="E351" s="131"/>
      <c r="F351" s="111"/>
      <c r="H351" s="132"/>
      <c r="I351" s="133"/>
      <c r="J351" s="133"/>
      <c r="K351" s="132"/>
      <c r="L351" s="134"/>
      <c r="M351" s="131"/>
      <c r="N351" s="114"/>
      <c r="O351" s="135"/>
      <c r="P351" s="114"/>
      <c r="Q351" s="114"/>
      <c r="R351" s="114"/>
      <c r="S351" s="114"/>
      <c r="T351" s="114"/>
      <c r="U351" s="114"/>
    </row>
    <row r="352" spans="5:21" s="130" customFormat="1" ht="13" hidden="1" x14ac:dyDescent="0.3">
      <c r="E352" s="131"/>
      <c r="F352" s="111"/>
      <c r="H352" s="132"/>
      <c r="I352" s="133"/>
      <c r="J352" s="133"/>
      <c r="K352" s="132"/>
      <c r="L352" s="134"/>
      <c r="M352" s="131"/>
      <c r="N352" s="114"/>
      <c r="O352" s="135"/>
      <c r="P352" s="114"/>
      <c r="Q352" s="114"/>
      <c r="R352" s="114"/>
      <c r="S352" s="114"/>
      <c r="T352" s="114"/>
      <c r="U352" s="114"/>
    </row>
    <row r="353" spans="5:21" s="130" customFormat="1" ht="13" hidden="1" x14ac:dyDescent="0.3">
      <c r="E353" s="131"/>
      <c r="F353" s="111"/>
      <c r="H353" s="132"/>
      <c r="I353" s="133"/>
      <c r="J353" s="133"/>
      <c r="K353" s="132"/>
      <c r="L353" s="134"/>
      <c r="M353" s="131"/>
      <c r="N353" s="114"/>
      <c r="O353" s="135"/>
      <c r="P353" s="114"/>
      <c r="Q353" s="114"/>
      <c r="R353" s="114"/>
      <c r="S353" s="114"/>
      <c r="T353" s="114"/>
      <c r="U353" s="114"/>
    </row>
    <row r="354" spans="5:21" s="130" customFormat="1" ht="13" hidden="1" x14ac:dyDescent="0.3">
      <c r="E354" s="131"/>
      <c r="F354" s="111"/>
      <c r="H354" s="132"/>
      <c r="I354" s="133"/>
      <c r="J354" s="133"/>
      <c r="K354" s="132"/>
      <c r="L354" s="134"/>
      <c r="M354" s="131"/>
      <c r="N354" s="114"/>
      <c r="O354" s="135"/>
      <c r="P354" s="114"/>
      <c r="Q354" s="114"/>
      <c r="R354" s="114"/>
      <c r="S354" s="114"/>
      <c r="T354" s="114"/>
      <c r="U354" s="114"/>
    </row>
    <row r="355" spans="5:21" s="130" customFormat="1" ht="13" hidden="1" x14ac:dyDescent="0.3">
      <c r="E355" s="131"/>
      <c r="F355" s="111"/>
      <c r="H355" s="132"/>
      <c r="I355" s="133"/>
      <c r="J355" s="133"/>
      <c r="K355" s="132"/>
      <c r="L355" s="134"/>
      <c r="M355" s="131"/>
      <c r="N355" s="114"/>
      <c r="O355" s="135"/>
      <c r="P355" s="114"/>
      <c r="Q355" s="114"/>
      <c r="R355" s="114"/>
      <c r="S355" s="114"/>
      <c r="T355" s="114"/>
      <c r="U355" s="114"/>
    </row>
    <row r="356" spans="5:21" s="130" customFormat="1" ht="13" hidden="1" x14ac:dyDescent="0.3">
      <c r="E356" s="131"/>
      <c r="F356" s="111"/>
      <c r="H356" s="132"/>
      <c r="I356" s="133"/>
      <c r="J356" s="133"/>
      <c r="K356" s="132"/>
      <c r="L356" s="134"/>
      <c r="M356" s="131"/>
      <c r="N356" s="114"/>
      <c r="O356" s="135"/>
      <c r="P356" s="114"/>
      <c r="Q356" s="114"/>
      <c r="R356" s="114"/>
      <c r="S356" s="114"/>
      <c r="T356" s="114"/>
      <c r="U356" s="114"/>
    </row>
    <row r="357" spans="5:21" s="130" customFormat="1" ht="13" hidden="1" x14ac:dyDescent="0.3">
      <c r="E357" s="131"/>
      <c r="F357" s="111"/>
      <c r="H357" s="132"/>
      <c r="I357" s="133"/>
      <c r="J357" s="133"/>
      <c r="K357" s="132"/>
      <c r="L357" s="134"/>
      <c r="M357" s="131"/>
      <c r="N357" s="114"/>
      <c r="O357" s="135"/>
      <c r="P357" s="114"/>
      <c r="Q357" s="114"/>
      <c r="R357" s="114"/>
      <c r="S357" s="114"/>
      <c r="T357" s="114"/>
      <c r="U357" s="114"/>
    </row>
    <row r="358" spans="5:21" s="130" customFormat="1" ht="13" hidden="1" x14ac:dyDescent="0.3">
      <c r="E358" s="131"/>
      <c r="F358" s="111"/>
      <c r="H358" s="132"/>
      <c r="I358" s="133"/>
      <c r="J358" s="133"/>
      <c r="K358" s="132"/>
      <c r="L358" s="134"/>
      <c r="M358" s="131"/>
      <c r="N358" s="114"/>
      <c r="O358" s="135"/>
      <c r="P358" s="114"/>
      <c r="Q358" s="114"/>
      <c r="R358" s="114"/>
      <c r="S358" s="114"/>
      <c r="T358" s="114"/>
      <c r="U358" s="114"/>
    </row>
    <row r="359" spans="5:21" s="130" customFormat="1" ht="13" hidden="1" x14ac:dyDescent="0.3">
      <c r="E359" s="131"/>
      <c r="F359" s="111"/>
      <c r="H359" s="132"/>
      <c r="I359" s="133"/>
      <c r="J359" s="133"/>
      <c r="K359" s="132"/>
      <c r="L359" s="134"/>
      <c r="M359" s="131"/>
      <c r="N359" s="114"/>
      <c r="O359" s="135"/>
      <c r="P359" s="114"/>
      <c r="Q359" s="114"/>
      <c r="R359" s="114"/>
      <c r="S359" s="114"/>
      <c r="T359" s="114"/>
      <c r="U359" s="114"/>
    </row>
    <row r="360" spans="5:21" s="130" customFormat="1" ht="13" hidden="1" x14ac:dyDescent="0.3">
      <c r="E360" s="131"/>
      <c r="F360" s="111"/>
      <c r="H360" s="132"/>
      <c r="I360" s="133"/>
      <c r="J360" s="133"/>
      <c r="K360" s="132"/>
      <c r="L360" s="134"/>
      <c r="M360" s="131"/>
      <c r="N360" s="114"/>
      <c r="O360" s="135"/>
      <c r="P360" s="114"/>
      <c r="Q360" s="114"/>
      <c r="R360" s="114"/>
      <c r="S360" s="114"/>
      <c r="T360" s="114"/>
      <c r="U360" s="114"/>
    </row>
    <row r="361" spans="5:21" s="130" customFormat="1" ht="13" hidden="1" x14ac:dyDescent="0.3">
      <c r="E361" s="131"/>
      <c r="F361" s="111"/>
      <c r="H361" s="132"/>
      <c r="I361" s="133"/>
      <c r="J361" s="133"/>
      <c r="K361" s="132"/>
      <c r="L361" s="134"/>
      <c r="M361" s="131"/>
      <c r="N361" s="114"/>
      <c r="O361" s="135"/>
      <c r="P361" s="114"/>
      <c r="Q361" s="114"/>
      <c r="R361" s="114"/>
      <c r="S361" s="114"/>
      <c r="T361" s="114"/>
      <c r="U361" s="114"/>
    </row>
    <row r="362" spans="5:21" s="130" customFormat="1" ht="13" hidden="1" x14ac:dyDescent="0.3">
      <c r="E362" s="131"/>
      <c r="F362" s="111"/>
      <c r="H362" s="132"/>
      <c r="I362" s="133"/>
      <c r="J362" s="133"/>
      <c r="K362" s="132"/>
      <c r="L362" s="134"/>
      <c r="M362" s="131"/>
      <c r="N362" s="114"/>
      <c r="O362" s="135"/>
      <c r="P362" s="114"/>
      <c r="Q362" s="114"/>
      <c r="R362" s="114"/>
      <c r="S362" s="114"/>
      <c r="T362" s="114"/>
      <c r="U362" s="114"/>
    </row>
    <row r="363" spans="5:21" s="130" customFormat="1" ht="13" hidden="1" x14ac:dyDescent="0.3">
      <c r="E363" s="131"/>
      <c r="F363" s="111"/>
      <c r="H363" s="132"/>
      <c r="I363" s="133"/>
      <c r="J363" s="133"/>
      <c r="K363" s="132"/>
      <c r="L363" s="134"/>
      <c r="M363" s="131"/>
      <c r="N363" s="114"/>
      <c r="O363" s="135"/>
      <c r="P363" s="114"/>
      <c r="Q363" s="114"/>
      <c r="R363" s="114"/>
      <c r="S363" s="114"/>
      <c r="T363" s="114"/>
      <c r="U363" s="114"/>
    </row>
    <row r="364" spans="5:21" s="130" customFormat="1" ht="13" hidden="1" x14ac:dyDescent="0.3">
      <c r="E364" s="131"/>
      <c r="F364" s="111"/>
      <c r="H364" s="132"/>
      <c r="I364" s="133"/>
      <c r="J364" s="133"/>
      <c r="K364" s="132"/>
      <c r="L364" s="134"/>
      <c r="M364" s="131"/>
      <c r="N364" s="114"/>
      <c r="O364" s="135"/>
      <c r="P364" s="114"/>
      <c r="Q364" s="114"/>
      <c r="R364" s="114"/>
      <c r="S364" s="114"/>
      <c r="T364" s="114"/>
      <c r="U364" s="114"/>
    </row>
    <row r="365" spans="5:21" s="130" customFormat="1" ht="13" hidden="1" x14ac:dyDescent="0.3">
      <c r="E365" s="131"/>
      <c r="F365" s="111"/>
      <c r="H365" s="132"/>
      <c r="I365" s="133"/>
      <c r="J365" s="133"/>
      <c r="K365" s="132"/>
      <c r="L365" s="134"/>
      <c r="M365" s="131"/>
      <c r="N365" s="114"/>
      <c r="O365" s="135"/>
      <c r="P365" s="114"/>
      <c r="Q365" s="114"/>
      <c r="R365" s="114"/>
      <c r="S365" s="114"/>
      <c r="T365" s="114"/>
      <c r="U365" s="114"/>
    </row>
    <row r="366" spans="5:21" s="130" customFormat="1" ht="13" hidden="1" x14ac:dyDescent="0.3">
      <c r="E366" s="131"/>
      <c r="F366" s="111"/>
      <c r="H366" s="132"/>
      <c r="I366" s="133"/>
      <c r="J366" s="133"/>
      <c r="K366" s="132"/>
      <c r="L366" s="134"/>
      <c r="M366" s="131"/>
      <c r="N366" s="114"/>
      <c r="O366" s="135"/>
      <c r="P366" s="114"/>
      <c r="Q366" s="114"/>
      <c r="R366" s="114"/>
      <c r="S366" s="114"/>
      <c r="T366" s="114"/>
      <c r="U366" s="114"/>
    </row>
    <row r="367" spans="5:21" s="130" customFormat="1" ht="13" hidden="1" x14ac:dyDescent="0.3">
      <c r="E367" s="131"/>
      <c r="F367" s="111"/>
      <c r="H367" s="132"/>
      <c r="I367" s="133"/>
      <c r="J367" s="133"/>
      <c r="K367" s="132"/>
      <c r="L367" s="134"/>
      <c r="M367" s="131"/>
      <c r="N367" s="114"/>
      <c r="O367" s="135"/>
      <c r="P367" s="114"/>
      <c r="Q367" s="114"/>
      <c r="R367" s="114"/>
      <c r="S367" s="114"/>
      <c r="T367" s="114"/>
      <c r="U367" s="114"/>
    </row>
    <row r="368" spans="5:21" s="130" customFormat="1" ht="13" hidden="1" x14ac:dyDescent="0.3">
      <c r="E368" s="131"/>
      <c r="F368" s="111"/>
      <c r="H368" s="132"/>
      <c r="I368" s="133"/>
      <c r="J368" s="133"/>
      <c r="K368" s="132"/>
      <c r="L368" s="134"/>
      <c r="M368" s="131"/>
      <c r="N368" s="114"/>
      <c r="O368" s="135"/>
      <c r="P368" s="114"/>
      <c r="Q368" s="114"/>
      <c r="R368" s="114"/>
      <c r="S368" s="114"/>
      <c r="T368" s="114"/>
      <c r="U368" s="114"/>
    </row>
    <row r="369" spans="5:21" s="130" customFormat="1" ht="13" hidden="1" x14ac:dyDescent="0.3">
      <c r="E369" s="131"/>
      <c r="F369" s="111"/>
      <c r="H369" s="132"/>
      <c r="I369" s="133"/>
      <c r="J369" s="133"/>
      <c r="K369" s="132"/>
      <c r="L369" s="134"/>
      <c r="M369" s="131"/>
      <c r="N369" s="114"/>
      <c r="O369" s="135"/>
      <c r="P369" s="114"/>
      <c r="Q369" s="114"/>
      <c r="R369" s="114"/>
      <c r="S369" s="114"/>
      <c r="T369" s="114"/>
      <c r="U369" s="114"/>
    </row>
    <row r="370" spans="5:21" s="130" customFormat="1" ht="13" hidden="1" x14ac:dyDescent="0.3">
      <c r="E370" s="131"/>
      <c r="F370" s="111"/>
      <c r="H370" s="132"/>
      <c r="I370" s="133"/>
      <c r="J370" s="133"/>
      <c r="K370" s="132"/>
      <c r="L370" s="134"/>
      <c r="M370" s="131"/>
      <c r="N370" s="114"/>
      <c r="O370" s="135"/>
      <c r="P370" s="114"/>
      <c r="Q370" s="114"/>
      <c r="R370" s="114"/>
      <c r="S370" s="114"/>
      <c r="T370" s="114"/>
      <c r="U370" s="114"/>
    </row>
    <row r="371" spans="5:21" s="130" customFormat="1" ht="13" hidden="1" x14ac:dyDescent="0.3">
      <c r="E371" s="131"/>
      <c r="F371" s="111"/>
      <c r="H371" s="132"/>
      <c r="I371" s="133"/>
      <c r="J371" s="133"/>
      <c r="K371" s="132"/>
      <c r="L371" s="134"/>
      <c r="M371" s="131"/>
      <c r="N371" s="114"/>
      <c r="O371" s="135"/>
      <c r="P371" s="114"/>
      <c r="Q371" s="114"/>
      <c r="R371" s="114"/>
      <c r="S371" s="114"/>
      <c r="T371" s="114"/>
      <c r="U371" s="114"/>
    </row>
    <row r="372" spans="5:21" s="130" customFormat="1" ht="13" hidden="1" x14ac:dyDescent="0.3">
      <c r="E372" s="131"/>
      <c r="F372" s="111"/>
      <c r="H372" s="132"/>
      <c r="I372" s="133"/>
      <c r="J372" s="133"/>
      <c r="K372" s="132"/>
      <c r="L372" s="134"/>
      <c r="M372" s="131"/>
      <c r="N372" s="114"/>
      <c r="O372" s="135"/>
      <c r="P372" s="114"/>
      <c r="Q372" s="114"/>
      <c r="R372" s="114"/>
      <c r="S372" s="114"/>
      <c r="T372" s="114"/>
      <c r="U372" s="114"/>
    </row>
    <row r="373" spans="5:21" s="130" customFormat="1" ht="13" hidden="1" x14ac:dyDescent="0.3">
      <c r="E373" s="131"/>
      <c r="F373" s="111"/>
      <c r="H373" s="132"/>
      <c r="I373" s="133"/>
      <c r="J373" s="133"/>
      <c r="K373" s="132"/>
      <c r="L373" s="134"/>
      <c r="M373" s="131"/>
      <c r="N373" s="114"/>
      <c r="O373" s="135"/>
      <c r="P373" s="114"/>
      <c r="Q373" s="114"/>
      <c r="R373" s="114"/>
      <c r="S373" s="114"/>
      <c r="T373" s="114"/>
      <c r="U373" s="114"/>
    </row>
    <row r="374" spans="5:21" s="130" customFormat="1" ht="13" hidden="1" x14ac:dyDescent="0.3">
      <c r="E374" s="131"/>
      <c r="F374" s="111"/>
      <c r="H374" s="132"/>
      <c r="I374" s="133"/>
      <c r="J374" s="133"/>
      <c r="K374" s="132"/>
      <c r="L374" s="134"/>
      <c r="M374" s="131"/>
      <c r="N374" s="114"/>
      <c r="O374" s="135"/>
      <c r="P374" s="114"/>
      <c r="Q374" s="114"/>
      <c r="R374" s="114"/>
      <c r="S374" s="114"/>
      <c r="T374" s="114"/>
      <c r="U374" s="114"/>
    </row>
    <row r="375" spans="5:21" s="130" customFormat="1" ht="13" hidden="1" x14ac:dyDescent="0.3">
      <c r="E375" s="131"/>
      <c r="F375" s="111"/>
      <c r="H375" s="132"/>
      <c r="I375" s="133"/>
      <c r="J375" s="133"/>
      <c r="K375" s="132"/>
      <c r="L375" s="134"/>
      <c r="M375" s="131"/>
      <c r="N375" s="114"/>
      <c r="O375" s="135"/>
      <c r="P375" s="114"/>
      <c r="Q375" s="114"/>
      <c r="R375" s="114"/>
      <c r="S375" s="114"/>
      <c r="T375" s="114"/>
      <c r="U375" s="114"/>
    </row>
    <row r="376" spans="5:21" s="130" customFormat="1" ht="13" hidden="1" x14ac:dyDescent="0.3">
      <c r="E376" s="131"/>
      <c r="F376" s="111"/>
      <c r="H376" s="132"/>
      <c r="I376" s="133"/>
      <c r="J376" s="133"/>
      <c r="K376" s="132"/>
      <c r="L376" s="134"/>
      <c r="M376" s="131"/>
      <c r="N376" s="114"/>
      <c r="O376" s="135"/>
      <c r="P376" s="114"/>
      <c r="Q376" s="114"/>
      <c r="R376" s="114"/>
      <c r="S376" s="114"/>
      <c r="T376" s="114"/>
      <c r="U376" s="114"/>
    </row>
    <row r="377" spans="5:21" s="130" customFormat="1" ht="13" hidden="1" x14ac:dyDescent="0.3">
      <c r="E377" s="131"/>
      <c r="F377" s="111"/>
      <c r="H377" s="132"/>
      <c r="I377" s="133"/>
      <c r="J377" s="133"/>
      <c r="K377" s="132"/>
      <c r="L377" s="134"/>
      <c r="M377" s="131"/>
      <c r="N377" s="114"/>
      <c r="O377" s="135"/>
      <c r="P377" s="114"/>
      <c r="Q377" s="114"/>
      <c r="R377" s="114"/>
      <c r="S377" s="114"/>
      <c r="T377" s="114"/>
      <c r="U377" s="114"/>
    </row>
    <row r="378" spans="5:21" s="130" customFormat="1" ht="13" hidden="1" x14ac:dyDescent="0.3">
      <c r="E378" s="131"/>
      <c r="F378" s="111"/>
      <c r="H378" s="132"/>
      <c r="I378" s="133"/>
      <c r="J378" s="133"/>
      <c r="K378" s="132"/>
      <c r="L378" s="134"/>
      <c r="M378" s="131"/>
      <c r="N378" s="114"/>
      <c r="O378" s="135"/>
      <c r="P378" s="114"/>
      <c r="Q378" s="114"/>
      <c r="R378" s="114"/>
      <c r="S378" s="114"/>
      <c r="T378" s="114"/>
      <c r="U378" s="114"/>
    </row>
    <row r="379" spans="5:21" s="130" customFormat="1" ht="13" hidden="1" x14ac:dyDescent="0.3">
      <c r="E379" s="131"/>
      <c r="F379" s="111"/>
      <c r="H379" s="132"/>
      <c r="I379" s="133"/>
      <c r="J379" s="133"/>
      <c r="K379" s="132"/>
      <c r="L379" s="134"/>
      <c r="M379" s="131"/>
      <c r="N379" s="114"/>
      <c r="O379" s="135"/>
      <c r="P379" s="114"/>
      <c r="Q379" s="114"/>
      <c r="R379" s="114"/>
      <c r="S379" s="114"/>
      <c r="T379" s="114"/>
      <c r="U379" s="114"/>
    </row>
    <row r="380" spans="5:21" s="130" customFormat="1" ht="13" hidden="1" x14ac:dyDescent="0.3">
      <c r="E380" s="131"/>
      <c r="F380" s="111"/>
      <c r="H380" s="132"/>
      <c r="I380" s="133"/>
      <c r="J380" s="133"/>
      <c r="K380" s="132"/>
      <c r="L380" s="134"/>
      <c r="M380" s="131"/>
      <c r="N380" s="114"/>
      <c r="O380" s="135"/>
      <c r="P380" s="114"/>
      <c r="Q380" s="114"/>
      <c r="R380" s="114"/>
      <c r="S380" s="114"/>
      <c r="T380" s="114"/>
      <c r="U380" s="114"/>
    </row>
    <row r="381" spans="5:21" s="130" customFormat="1" ht="13" hidden="1" x14ac:dyDescent="0.3">
      <c r="E381" s="131"/>
      <c r="F381" s="111"/>
      <c r="H381" s="132"/>
      <c r="I381" s="133"/>
      <c r="J381" s="133"/>
      <c r="K381" s="132"/>
      <c r="L381" s="134"/>
      <c r="M381" s="131"/>
      <c r="N381" s="114"/>
      <c r="O381" s="135"/>
      <c r="P381" s="114"/>
      <c r="Q381" s="114"/>
      <c r="R381" s="114"/>
      <c r="S381" s="114"/>
      <c r="T381" s="114"/>
      <c r="U381" s="114"/>
    </row>
    <row r="382" spans="5:21" s="130" customFormat="1" ht="13" hidden="1" x14ac:dyDescent="0.3">
      <c r="E382" s="131"/>
      <c r="F382" s="111"/>
      <c r="H382" s="132"/>
      <c r="I382" s="133"/>
      <c r="J382" s="133"/>
      <c r="K382" s="132"/>
      <c r="L382" s="134"/>
      <c r="M382" s="131"/>
      <c r="N382" s="114"/>
      <c r="O382" s="135"/>
      <c r="P382" s="114"/>
      <c r="Q382" s="114"/>
      <c r="R382" s="114"/>
      <c r="S382" s="114"/>
      <c r="T382" s="114"/>
      <c r="U382" s="114"/>
    </row>
    <row r="383" spans="5:21" s="130" customFormat="1" ht="13" hidden="1" x14ac:dyDescent="0.3">
      <c r="E383" s="131"/>
      <c r="F383" s="111"/>
      <c r="H383" s="132"/>
      <c r="I383" s="133"/>
      <c r="J383" s="133"/>
      <c r="K383" s="132"/>
      <c r="L383" s="134"/>
      <c r="M383" s="131"/>
      <c r="N383" s="114"/>
      <c r="O383" s="135"/>
      <c r="P383" s="114"/>
      <c r="Q383" s="114"/>
      <c r="R383" s="114"/>
      <c r="S383" s="114"/>
      <c r="T383" s="114"/>
      <c r="U383" s="114"/>
    </row>
    <row r="384" spans="5:21" s="130" customFormat="1" ht="13" hidden="1" x14ac:dyDescent="0.3">
      <c r="E384" s="131"/>
      <c r="F384" s="111"/>
      <c r="H384" s="132"/>
      <c r="I384" s="133"/>
      <c r="J384" s="133"/>
      <c r="K384" s="132"/>
      <c r="L384" s="134"/>
      <c r="M384" s="131"/>
      <c r="N384" s="114"/>
      <c r="O384" s="135"/>
      <c r="P384" s="114"/>
      <c r="Q384" s="114"/>
      <c r="R384" s="114"/>
      <c r="S384" s="114"/>
      <c r="T384" s="114"/>
      <c r="U384" s="114"/>
    </row>
    <row r="385" spans="5:21" s="130" customFormat="1" ht="13" hidden="1" x14ac:dyDescent="0.3">
      <c r="E385" s="131"/>
      <c r="F385" s="111"/>
      <c r="H385" s="132"/>
      <c r="I385" s="133"/>
      <c r="J385" s="133"/>
      <c r="K385" s="132"/>
      <c r="L385" s="134"/>
      <c r="M385" s="131"/>
      <c r="N385" s="114"/>
      <c r="O385" s="135"/>
      <c r="P385" s="114"/>
      <c r="Q385" s="114"/>
      <c r="R385" s="114"/>
      <c r="S385" s="114"/>
      <c r="T385" s="114"/>
      <c r="U385" s="114"/>
    </row>
    <row r="386" spans="5:21" s="130" customFormat="1" ht="13" hidden="1" x14ac:dyDescent="0.3">
      <c r="E386" s="131"/>
      <c r="F386" s="111"/>
      <c r="H386" s="132"/>
      <c r="I386" s="133"/>
      <c r="J386" s="133"/>
      <c r="K386" s="132"/>
      <c r="L386" s="134"/>
      <c r="M386" s="131"/>
      <c r="N386" s="114"/>
      <c r="O386" s="135"/>
      <c r="P386" s="114"/>
      <c r="Q386" s="114"/>
      <c r="R386" s="114"/>
      <c r="S386" s="114"/>
      <c r="T386" s="114"/>
      <c r="U386" s="114"/>
    </row>
    <row r="387" spans="5:21" s="130" customFormat="1" ht="13" hidden="1" x14ac:dyDescent="0.3">
      <c r="E387" s="131"/>
      <c r="F387" s="111"/>
      <c r="H387" s="132"/>
      <c r="I387" s="133"/>
      <c r="J387" s="133"/>
      <c r="K387" s="132"/>
      <c r="L387" s="134"/>
      <c r="M387" s="131"/>
      <c r="N387" s="114"/>
      <c r="O387" s="135"/>
      <c r="P387" s="114"/>
      <c r="Q387" s="114"/>
      <c r="R387" s="114"/>
      <c r="S387" s="114"/>
      <c r="T387" s="114"/>
      <c r="U387" s="114"/>
    </row>
    <row r="388" spans="5:21" s="130" customFormat="1" ht="13" hidden="1" x14ac:dyDescent="0.3">
      <c r="E388" s="131"/>
      <c r="F388" s="111"/>
      <c r="H388" s="132"/>
      <c r="I388" s="133"/>
      <c r="J388" s="133"/>
      <c r="K388" s="132"/>
      <c r="L388" s="134"/>
      <c r="M388" s="131"/>
      <c r="N388" s="114"/>
      <c r="O388" s="135"/>
      <c r="P388" s="114"/>
      <c r="Q388" s="114"/>
      <c r="R388" s="114"/>
      <c r="S388" s="114"/>
      <c r="T388" s="114"/>
      <c r="U388" s="114"/>
    </row>
    <row r="389" spans="5:21" s="130" customFormat="1" ht="13" hidden="1" x14ac:dyDescent="0.3">
      <c r="E389" s="131"/>
      <c r="F389" s="111"/>
      <c r="H389" s="132"/>
      <c r="I389" s="133"/>
      <c r="J389" s="133"/>
      <c r="K389" s="132"/>
      <c r="L389" s="134"/>
      <c r="M389" s="131"/>
      <c r="N389" s="114"/>
      <c r="O389" s="135"/>
      <c r="P389" s="114"/>
      <c r="Q389" s="114"/>
      <c r="R389" s="114"/>
      <c r="S389" s="114"/>
      <c r="T389" s="114"/>
      <c r="U389" s="114"/>
    </row>
    <row r="390" spans="5:21" s="130" customFormat="1" ht="13" hidden="1" x14ac:dyDescent="0.3">
      <c r="E390" s="131"/>
      <c r="F390" s="111"/>
      <c r="H390" s="132"/>
      <c r="I390" s="133"/>
      <c r="J390" s="133"/>
      <c r="K390" s="132"/>
      <c r="L390" s="134"/>
      <c r="M390" s="131"/>
      <c r="N390" s="114"/>
      <c r="O390" s="135"/>
      <c r="P390" s="114"/>
      <c r="Q390" s="114"/>
      <c r="R390" s="114"/>
      <c r="S390" s="114"/>
      <c r="T390" s="114"/>
      <c r="U390" s="114"/>
    </row>
    <row r="391" spans="5:21" s="130" customFormat="1" ht="13" hidden="1" x14ac:dyDescent="0.3">
      <c r="E391" s="131"/>
      <c r="F391" s="111"/>
      <c r="H391" s="132"/>
      <c r="I391" s="133"/>
      <c r="J391" s="133"/>
      <c r="K391" s="132"/>
      <c r="L391" s="134"/>
      <c r="M391" s="131"/>
      <c r="N391" s="114"/>
      <c r="O391" s="135"/>
      <c r="P391" s="114"/>
      <c r="Q391" s="114"/>
      <c r="R391" s="114"/>
      <c r="S391" s="114"/>
      <c r="T391" s="114"/>
      <c r="U391" s="114"/>
    </row>
    <row r="392" spans="5:21" s="130" customFormat="1" ht="13" hidden="1" x14ac:dyDescent="0.3">
      <c r="E392" s="131"/>
      <c r="F392" s="111"/>
      <c r="H392" s="132"/>
      <c r="I392" s="133"/>
      <c r="J392" s="133"/>
      <c r="K392" s="132"/>
      <c r="L392" s="134"/>
      <c r="M392" s="131"/>
      <c r="N392" s="114"/>
      <c r="O392" s="135"/>
      <c r="P392" s="114"/>
      <c r="Q392" s="114"/>
      <c r="R392" s="114"/>
      <c r="S392" s="114"/>
      <c r="T392" s="114"/>
      <c r="U392" s="114"/>
    </row>
    <row r="393" spans="5:21" s="130" customFormat="1" ht="13" hidden="1" x14ac:dyDescent="0.3">
      <c r="E393" s="131"/>
      <c r="F393" s="111"/>
      <c r="H393" s="132"/>
      <c r="I393" s="133"/>
      <c r="J393" s="133"/>
      <c r="K393" s="132"/>
      <c r="L393" s="134"/>
      <c r="M393" s="131"/>
      <c r="N393" s="114"/>
      <c r="O393" s="135"/>
      <c r="P393" s="114"/>
      <c r="Q393" s="114"/>
      <c r="R393" s="114"/>
      <c r="S393" s="114"/>
      <c r="T393" s="114"/>
      <c r="U393" s="114"/>
    </row>
    <row r="394" spans="5:21" s="130" customFormat="1" ht="13" hidden="1" x14ac:dyDescent="0.3">
      <c r="E394" s="131"/>
      <c r="F394" s="111"/>
      <c r="H394" s="132"/>
      <c r="I394" s="133"/>
      <c r="J394" s="133"/>
      <c r="K394" s="132"/>
      <c r="L394" s="134"/>
      <c r="M394" s="131"/>
      <c r="N394" s="114"/>
      <c r="O394" s="135"/>
      <c r="P394" s="114"/>
      <c r="Q394" s="114"/>
      <c r="R394" s="114"/>
      <c r="S394" s="114"/>
      <c r="T394" s="114"/>
      <c r="U394" s="114"/>
    </row>
    <row r="395" spans="5:21" s="130" customFormat="1" ht="13" hidden="1" x14ac:dyDescent="0.3">
      <c r="E395" s="131"/>
      <c r="F395" s="111"/>
      <c r="H395" s="132"/>
      <c r="I395" s="133"/>
      <c r="J395" s="133"/>
      <c r="K395" s="132"/>
      <c r="L395" s="134"/>
      <c r="M395" s="131"/>
      <c r="N395" s="114"/>
      <c r="O395" s="135"/>
      <c r="P395" s="114"/>
      <c r="Q395" s="114"/>
      <c r="R395" s="114"/>
      <c r="S395" s="114"/>
      <c r="T395" s="114"/>
      <c r="U395" s="114"/>
    </row>
    <row r="396" spans="5:21" s="130" customFormat="1" ht="13" hidden="1" x14ac:dyDescent="0.3">
      <c r="E396" s="131"/>
      <c r="F396" s="111"/>
      <c r="H396" s="132"/>
      <c r="I396" s="133"/>
      <c r="J396" s="133"/>
      <c r="K396" s="132"/>
      <c r="L396" s="134"/>
      <c r="M396" s="131"/>
      <c r="N396" s="114"/>
      <c r="O396" s="135"/>
      <c r="P396" s="114"/>
      <c r="Q396" s="114"/>
      <c r="R396" s="114"/>
      <c r="S396" s="114"/>
      <c r="T396" s="114"/>
      <c r="U396" s="114"/>
    </row>
    <row r="397" spans="5:21" s="130" customFormat="1" ht="13" hidden="1" x14ac:dyDescent="0.3">
      <c r="E397" s="131"/>
      <c r="F397" s="111"/>
      <c r="H397" s="132"/>
      <c r="I397" s="133"/>
      <c r="J397" s="133"/>
      <c r="K397" s="132"/>
      <c r="L397" s="134"/>
      <c r="M397" s="131"/>
      <c r="N397" s="114"/>
      <c r="O397" s="135"/>
      <c r="P397" s="114"/>
      <c r="Q397" s="114"/>
      <c r="R397" s="114"/>
      <c r="S397" s="114"/>
      <c r="T397" s="114"/>
      <c r="U397" s="114"/>
    </row>
    <row r="398" spans="5:21" s="130" customFormat="1" ht="13" hidden="1" x14ac:dyDescent="0.3">
      <c r="E398" s="131"/>
      <c r="F398" s="111"/>
      <c r="H398" s="132"/>
      <c r="I398" s="133"/>
      <c r="J398" s="133"/>
      <c r="K398" s="132"/>
      <c r="L398" s="134"/>
      <c r="M398" s="131"/>
      <c r="N398" s="114"/>
      <c r="O398" s="135"/>
      <c r="P398" s="114"/>
      <c r="Q398" s="114"/>
      <c r="R398" s="114"/>
      <c r="S398" s="114"/>
      <c r="T398" s="114"/>
      <c r="U398" s="114"/>
    </row>
    <row r="399" spans="5:21" s="130" customFormat="1" ht="13" hidden="1" x14ac:dyDescent="0.3">
      <c r="E399" s="131"/>
      <c r="F399" s="111"/>
      <c r="H399" s="132"/>
      <c r="I399" s="133"/>
      <c r="J399" s="133"/>
      <c r="K399" s="132"/>
      <c r="L399" s="134"/>
      <c r="M399" s="131"/>
      <c r="N399" s="114"/>
      <c r="O399" s="135"/>
      <c r="P399" s="114"/>
      <c r="Q399" s="114"/>
      <c r="R399" s="114"/>
      <c r="S399" s="114"/>
      <c r="T399" s="114"/>
      <c r="U399" s="114"/>
    </row>
    <row r="400" spans="5:21" s="130" customFormat="1" ht="13" hidden="1" x14ac:dyDescent="0.3">
      <c r="E400" s="131"/>
      <c r="F400" s="111"/>
      <c r="H400" s="132"/>
      <c r="I400" s="133"/>
      <c r="J400" s="133"/>
      <c r="K400" s="132"/>
      <c r="L400" s="134"/>
      <c r="M400" s="131"/>
      <c r="N400" s="114"/>
      <c r="O400" s="135"/>
      <c r="P400" s="114"/>
      <c r="Q400" s="114"/>
      <c r="R400" s="114"/>
      <c r="S400" s="114"/>
      <c r="T400" s="114"/>
      <c r="U400" s="114"/>
    </row>
    <row r="401" spans="5:21" s="130" customFormat="1" ht="13" hidden="1" x14ac:dyDescent="0.3">
      <c r="E401" s="131"/>
      <c r="F401" s="111"/>
      <c r="H401" s="132"/>
      <c r="I401" s="133"/>
      <c r="J401" s="133"/>
      <c r="K401" s="132"/>
      <c r="L401" s="134"/>
      <c r="M401" s="131"/>
      <c r="N401" s="114"/>
      <c r="O401" s="135"/>
      <c r="P401" s="114"/>
      <c r="Q401" s="114"/>
      <c r="R401" s="114"/>
      <c r="S401" s="114"/>
      <c r="T401" s="114"/>
      <c r="U401" s="114"/>
    </row>
  </sheetData>
  <mergeCells count="26">
    <mergeCell ref="D2:L2"/>
    <mergeCell ref="D3:L3"/>
    <mergeCell ref="D6:E6"/>
    <mergeCell ref="F6:H6"/>
    <mergeCell ref="D8:E8"/>
    <mergeCell ref="H8:L8"/>
    <mergeCell ref="I9:I11"/>
    <mergeCell ref="J9:L11"/>
    <mergeCell ref="H11:H13"/>
    <mergeCell ref="I12:I14"/>
    <mergeCell ref="J12:L14"/>
    <mergeCell ref="H14:H16"/>
    <mergeCell ref="I15:I17"/>
    <mergeCell ref="J15:M17"/>
    <mergeCell ref="H24:L24"/>
    <mergeCell ref="F26:G26"/>
    <mergeCell ref="D17:D18"/>
    <mergeCell ref="E17:E18"/>
    <mergeCell ref="H17:H19"/>
    <mergeCell ref="I18:I20"/>
    <mergeCell ref="J18:L20"/>
    <mergeCell ref="H20:H22"/>
    <mergeCell ref="D21:D22"/>
    <mergeCell ref="E21:E22"/>
    <mergeCell ref="I21:I23"/>
    <mergeCell ref="J21:L23"/>
  </mergeCells>
  <conditionalFormatting sqref="D27:L41">
    <cfRule type="expression" dxfId="0" priority="1">
      <formula>$A27=""</formula>
    </cfRule>
  </conditionalFormatting>
  <pageMargins left="0.7" right="0.7" top="0.75" bottom="0.75" header="0.3" footer="0.3"/>
  <pageSetup scale="61" fitToHeight="0" orientation="portrait" r:id="rId1"/>
  <headerFooter>
    <oddFooter>&amp;L&amp;10
PPL Direct Discount Assessment Report&amp;R&amp;10&amp;D &amp;T</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theme="5"/>
  </sheetPr>
  <dimension ref="A1:K15"/>
  <sheetViews>
    <sheetView topLeftCell="B1" workbookViewId="0">
      <selection activeCell="I2" sqref="I2"/>
    </sheetView>
  </sheetViews>
  <sheetFormatPr defaultRowHeight="14" x14ac:dyDescent="0.3"/>
  <cols>
    <col min="2" max="3" width="50.58203125" customWidth="1"/>
    <col min="4" max="11" width="12.58203125" customWidth="1"/>
  </cols>
  <sheetData>
    <row r="1" spans="1:11" ht="42" x14ac:dyDescent="0.3">
      <c r="A1" s="136" t="s">
        <v>400</v>
      </c>
      <c r="B1" s="136" t="s">
        <v>393</v>
      </c>
      <c r="C1" s="136" t="s">
        <v>394</v>
      </c>
      <c r="D1" s="136" t="s">
        <v>105</v>
      </c>
      <c r="E1" s="136"/>
      <c r="F1" s="136" t="s">
        <v>401</v>
      </c>
      <c r="G1" s="136" t="s">
        <v>396</v>
      </c>
      <c r="H1" s="136" t="s">
        <v>402</v>
      </c>
      <c r="I1" s="136" t="s">
        <v>397</v>
      </c>
      <c r="J1" s="136" t="s">
        <v>398</v>
      </c>
      <c r="K1" s="136" t="s">
        <v>399</v>
      </c>
    </row>
    <row r="2" spans="1:11" ht="28" x14ac:dyDescent="0.3">
      <c r="A2">
        <v>2</v>
      </c>
      <c r="B2" t="s">
        <v>126</v>
      </c>
      <c r="C2" s="33" t="str">
        <f>"Model #: "&amp;'Cycling Dryer'!C11&amp;CHAR(10)&amp;"Total Compressor Horsepower: "&amp;'Cycling Dryer'!C9</f>
        <v xml:space="preserve">Model #: 
Total Compressor Horsepower: </v>
      </c>
      <c r="D2">
        <f>'Cycling Dryer'!C7</f>
        <v>0</v>
      </c>
      <c r="E2" t="s">
        <v>403</v>
      </c>
      <c r="F2" s="138">
        <f>'Cycling Dryer'!C12</f>
        <v>0</v>
      </c>
      <c r="G2" s="137">
        <f>IF(ISNUMBER('Cycling Dryer'!C14),'Cycling Dryer'!C14,0)</f>
        <v>0</v>
      </c>
      <c r="H2">
        <f>IF(ISNUMBER('Cycling Dryer'!C17),'Cycling Dryer'!C17,0)</f>
        <v>0</v>
      </c>
      <c r="I2" s="138" t="e">
        <f t="shared" ref="I2:I15" si="0">G2*kWh_rate+H2*kW_rate</f>
        <v>#REF!</v>
      </c>
      <c r="J2" s="138">
        <f>IF(ISNUMBER('Cycling Dryer'!C18),'Cycling Dryer'!C18,0)</f>
        <v>0</v>
      </c>
      <c r="K2" s="138">
        <f>F2-J2</f>
        <v>0</v>
      </c>
    </row>
    <row r="3" spans="1:11" ht="28" x14ac:dyDescent="0.3">
      <c r="A3">
        <v>3</v>
      </c>
      <c r="B3" t="s">
        <v>404</v>
      </c>
      <c r="C3" s="33" t="str">
        <f>"Compressor Type: "&amp;'Air Nozzle'!C8&amp;CHAR(10)&amp;"Nozzle Diameter: "&amp;'Air Nozzle'!C9&amp;" in"</f>
        <v>Compressor Type: 
Nozzle Diameter:  in</v>
      </c>
      <c r="D3" s="139">
        <f>'Air Nozzle'!C10</f>
        <v>0</v>
      </c>
      <c r="E3" t="s">
        <v>405</v>
      </c>
      <c r="F3" s="138">
        <f>'Air Nozzle'!C13</f>
        <v>0</v>
      </c>
      <c r="G3" s="137">
        <f>'Air Nozzle'!C15</f>
        <v>0</v>
      </c>
      <c r="H3">
        <f>'Air Nozzle'!C18</f>
        <v>0</v>
      </c>
      <c r="I3" s="138" t="e">
        <f t="shared" si="0"/>
        <v>#REF!</v>
      </c>
      <c r="J3" s="138">
        <f>'Air Nozzle'!C19</f>
        <v>0</v>
      </c>
      <c r="K3" s="138">
        <f t="shared" ref="K3:K15" si="1">F3-J3</f>
        <v>0</v>
      </c>
    </row>
    <row r="4" spans="1:11" ht="28" x14ac:dyDescent="0.3">
      <c r="A4">
        <v>4</v>
      </c>
      <c r="B4" t="s">
        <v>404</v>
      </c>
      <c r="C4" s="33" t="str">
        <f>"Compressor Type: "&amp;'Air Nozzle'!D8&amp;CHAR(10)&amp;"Nozzle Diameter: "&amp;'Air Nozzle'!D9&amp;" in"</f>
        <v>Compressor Type: 
Nozzle Diameter:  in</v>
      </c>
      <c r="D4" s="139">
        <f>'Air Nozzle'!D10</f>
        <v>0</v>
      </c>
      <c r="E4" t="s">
        <v>405</v>
      </c>
      <c r="F4" s="138">
        <f>'Air Nozzle'!D13</f>
        <v>0</v>
      </c>
      <c r="G4" s="137">
        <f>'Air Nozzle'!D15</f>
        <v>0</v>
      </c>
      <c r="H4">
        <f>'Air Nozzle'!D18</f>
        <v>0</v>
      </c>
      <c r="I4" s="138" t="e">
        <f t="shared" si="0"/>
        <v>#REF!</v>
      </c>
      <c r="J4" s="138">
        <f>'Air Nozzle'!D19</f>
        <v>0</v>
      </c>
      <c r="K4" s="138">
        <f t="shared" si="1"/>
        <v>0</v>
      </c>
    </row>
    <row r="5" spans="1:11" ht="28" x14ac:dyDescent="0.3">
      <c r="A5">
        <v>5</v>
      </c>
      <c r="B5" t="s">
        <v>404</v>
      </c>
      <c r="C5" s="33" t="str">
        <f>"Compressor Type: "&amp;'Air Nozzle'!E8&amp;CHAR(10)&amp;"Nozzle Diameter: "&amp;'Air Nozzle'!E9&amp;" in"</f>
        <v>Compressor Type: 
Nozzle Diameter:  in</v>
      </c>
      <c r="D5" s="139">
        <f>'Air Nozzle'!E10</f>
        <v>0</v>
      </c>
      <c r="E5" t="s">
        <v>405</v>
      </c>
      <c r="F5" s="138">
        <f>'Air Nozzle'!E13</f>
        <v>0</v>
      </c>
      <c r="G5" s="137">
        <f>'Air Nozzle'!E15</f>
        <v>0</v>
      </c>
      <c r="H5">
        <f>'Air Nozzle'!E18</f>
        <v>0</v>
      </c>
      <c r="I5" s="138" t="e">
        <f t="shared" si="0"/>
        <v>#REF!</v>
      </c>
      <c r="J5" s="138">
        <f>'Air Nozzle'!E19</f>
        <v>0</v>
      </c>
      <c r="K5" s="138">
        <f t="shared" si="1"/>
        <v>0</v>
      </c>
    </row>
    <row r="6" spans="1:11" ht="28" x14ac:dyDescent="0.3">
      <c r="A6">
        <v>6</v>
      </c>
      <c r="B6" t="s">
        <v>404</v>
      </c>
      <c r="C6" s="33" t="str">
        <f>"Compressor Type: "&amp;'Air Nozzle'!F8&amp;CHAR(10)&amp;"Nozzle Diameter: "&amp;'Air Nozzle'!F9&amp;" in"</f>
        <v>Compressor Type: 
Nozzle Diameter:  in</v>
      </c>
      <c r="D6" s="139">
        <f>'Air Nozzle'!F10</f>
        <v>0</v>
      </c>
      <c r="E6" t="s">
        <v>405</v>
      </c>
      <c r="F6" s="138">
        <f>'Air Nozzle'!F13</f>
        <v>0</v>
      </c>
      <c r="G6" s="137">
        <f>'Air Nozzle'!F15</f>
        <v>0</v>
      </c>
      <c r="H6">
        <f>'Air Nozzle'!F18</f>
        <v>0</v>
      </c>
      <c r="I6" s="138" t="e">
        <f t="shared" si="0"/>
        <v>#REF!</v>
      </c>
      <c r="J6" s="138">
        <f>'Air Nozzle'!F19</f>
        <v>0</v>
      </c>
      <c r="K6" s="138">
        <f t="shared" si="1"/>
        <v>0</v>
      </c>
    </row>
    <row r="7" spans="1:11" ht="28" x14ac:dyDescent="0.3">
      <c r="A7">
        <v>7</v>
      </c>
      <c r="B7" t="s">
        <v>128</v>
      </c>
      <c r="C7" s="33" t="str">
        <f>"Compressor Type: "&amp;'Condensate Drains'!C8&amp;CHAR(10)&amp;"Drain Size: "&amp;TEXT('Condensate Drains'!C13,"?/?")&amp;" in"</f>
        <v>Compressor Type: 
Drain Size: 0/1 in</v>
      </c>
      <c r="D7" s="139">
        <f>'Condensate Drains'!C9</f>
        <v>0</v>
      </c>
      <c r="E7" t="s">
        <v>406</v>
      </c>
      <c r="F7" s="138">
        <f>'Condensate Drains'!C12</f>
        <v>0</v>
      </c>
      <c r="G7" s="137">
        <f>'Condensate Drains'!C16</f>
        <v>0</v>
      </c>
      <c r="H7" s="141">
        <f>'Condensate Drains'!C19</f>
        <v>0</v>
      </c>
      <c r="I7" s="138" t="e">
        <f t="shared" si="0"/>
        <v>#REF!</v>
      </c>
      <c r="J7" s="138">
        <f>'Condensate Drains'!C20</f>
        <v>0</v>
      </c>
      <c r="K7" s="138">
        <f t="shared" si="1"/>
        <v>0</v>
      </c>
    </row>
    <row r="8" spans="1:11" ht="28" x14ac:dyDescent="0.3">
      <c r="A8">
        <v>8</v>
      </c>
      <c r="B8" t="s">
        <v>128</v>
      </c>
      <c r="C8" s="33" t="str">
        <f>"Compressor Type: "&amp;'Condensate Drains'!D8&amp;CHAR(10)&amp;"Drain Size: "&amp;TEXT('Condensate Drains'!D13,"?/?")&amp;" in"</f>
        <v>Compressor Type: 
Drain Size: 0/1 in</v>
      </c>
      <c r="D8" s="139">
        <f>'Condensate Drains'!D9</f>
        <v>0</v>
      </c>
      <c r="E8" t="s">
        <v>406</v>
      </c>
      <c r="F8" s="138">
        <f>'Condensate Drains'!D12</f>
        <v>0</v>
      </c>
      <c r="G8" s="137">
        <f>'Condensate Drains'!D16</f>
        <v>0</v>
      </c>
      <c r="H8" s="141">
        <f>'Condensate Drains'!D17</f>
        <v>0</v>
      </c>
      <c r="I8" s="138" t="e">
        <f t="shared" si="0"/>
        <v>#REF!</v>
      </c>
      <c r="J8" s="138">
        <f>'Condensate Drains'!D18</f>
        <v>0</v>
      </c>
      <c r="K8" s="138">
        <f t="shared" si="1"/>
        <v>0</v>
      </c>
    </row>
    <row r="9" spans="1:11" ht="28" x14ac:dyDescent="0.3">
      <c r="A9">
        <v>9</v>
      </c>
      <c r="B9" t="s">
        <v>128</v>
      </c>
      <c r="C9" s="33" t="str">
        <f>"Compressor Type: "&amp;'Condensate Drains'!E8&amp;CHAR(10)&amp;"Drain Size: "&amp;TEXT('Condensate Drains'!E13,"?/?")&amp;" in"</f>
        <v>Compressor Type: 
Drain Size: 0/1 in</v>
      </c>
      <c r="D9" s="139">
        <f>'Condensate Drains'!E9</f>
        <v>0</v>
      </c>
      <c r="E9" t="s">
        <v>406</v>
      </c>
      <c r="F9" s="138">
        <f>'Condensate Drains'!E12</f>
        <v>0</v>
      </c>
      <c r="G9" s="137">
        <f>'Condensate Drains'!E16</f>
        <v>0</v>
      </c>
      <c r="H9" s="141">
        <f>'Condensate Drains'!E17</f>
        <v>0</v>
      </c>
      <c r="I9" s="138" t="e">
        <f t="shared" si="0"/>
        <v>#REF!</v>
      </c>
      <c r="J9" s="138">
        <f>'Condensate Drains'!E18</f>
        <v>0</v>
      </c>
      <c r="K9" s="138">
        <f t="shared" si="1"/>
        <v>0</v>
      </c>
    </row>
    <row r="10" spans="1:11" ht="28" x14ac:dyDescent="0.3">
      <c r="A10">
        <v>10</v>
      </c>
      <c r="B10" t="s">
        <v>128</v>
      </c>
      <c r="C10" s="33" t="str">
        <f>"Compressor Type: "&amp;'Condensate Drains'!F8&amp;CHAR(10)&amp;"Drain Size: "&amp;TEXT('Condensate Drains'!F13,"?/?")&amp;" in"</f>
        <v>Compressor Type: 
Drain Size: 0/1 in</v>
      </c>
      <c r="D10" s="139">
        <f>'Condensate Drains'!F9</f>
        <v>0</v>
      </c>
      <c r="E10" t="s">
        <v>406</v>
      </c>
      <c r="F10" s="138">
        <f>'Condensate Drains'!F12</f>
        <v>0</v>
      </c>
      <c r="G10" s="137">
        <f>'Condensate Drains'!F16</f>
        <v>0</v>
      </c>
      <c r="H10" s="141">
        <f>'Condensate Drains'!F17</f>
        <v>0</v>
      </c>
      <c r="I10" s="138" t="e">
        <f t="shared" si="0"/>
        <v>#REF!</v>
      </c>
      <c r="J10" s="138">
        <f>'Condensate Drains'!F18</f>
        <v>0</v>
      </c>
      <c r="K10" s="138">
        <f t="shared" si="1"/>
        <v>0</v>
      </c>
    </row>
    <row r="11" spans="1:11" x14ac:dyDescent="0.3">
      <c r="A11">
        <v>11</v>
      </c>
      <c r="B11" t="s">
        <v>129</v>
      </c>
      <c r="C11" s="33" t="str">
        <f>"Compressor Size: "&amp;'Air Tanks'!C7&amp;" HP"</f>
        <v>Compressor Size:  HP</v>
      </c>
      <c r="D11" s="139" t="e">
        <f>'Air Tanks'!#REF!</f>
        <v>#REF!</v>
      </c>
      <c r="E11" t="s">
        <v>407</v>
      </c>
      <c r="F11" s="138">
        <f>'Air Tanks'!C10</f>
        <v>0</v>
      </c>
      <c r="G11" s="141">
        <f>'Air Tanks'!C12</f>
        <v>0</v>
      </c>
      <c r="H11">
        <f>'Air Tanks'!C15</f>
        <v>0</v>
      </c>
      <c r="I11" s="138" t="e">
        <f t="shared" si="0"/>
        <v>#REF!</v>
      </c>
      <c r="J11">
        <f>'Air Tanks'!C16</f>
        <v>0</v>
      </c>
      <c r="K11" s="138">
        <f t="shared" si="1"/>
        <v>0</v>
      </c>
    </row>
    <row r="12" spans="1:11" ht="28" x14ac:dyDescent="0.3">
      <c r="A12">
        <v>12</v>
      </c>
      <c r="B12" t="s">
        <v>408</v>
      </c>
      <c r="C12" s="33" t="str">
        <f>"Model #: "&amp;'VFD Compressor (&lt;=40HP)'!C9&amp;CHAR(10)&amp;"Compressor Size: "&amp;'VFD Compressor (&lt;=40HP)'!C7&amp;" HP"</f>
        <v>Model #: 
Compressor Size:  HP</v>
      </c>
      <c r="D12">
        <v>1</v>
      </c>
      <c r="E12" t="s">
        <v>409</v>
      </c>
      <c r="F12" s="138">
        <f>'VFD Compressor (&lt;=40HP)'!C10</f>
        <v>0</v>
      </c>
      <c r="G12">
        <f>IF(ISNUMBER('VFD Compressor (&lt;=40HP)'!C12),'VFD Compressor (&lt;=40HP)'!C12,0)</f>
        <v>0</v>
      </c>
      <c r="H12">
        <f>IF(ISNUMBER('VFD Compressor (&lt;=40HP)'!C15),'VFD Compressor (&lt;=40HP)'!C15,0)</f>
        <v>0</v>
      </c>
      <c r="I12" s="138" t="e">
        <f t="shared" si="0"/>
        <v>#REF!</v>
      </c>
      <c r="J12">
        <f>IF(ISNUMBER('VFD Compressor (&lt;=40HP)'!C16),'VFD Compressor (&lt;=40HP)'!C16,0)</f>
        <v>0</v>
      </c>
      <c r="K12" s="138">
        <f t="shared" si="1"/>
        <v>0</v>
      </c>
    </row>
    <row r="13" spans="1:11" x14ac:dyDescent="0.3">
      <c r="A13">
        <v>13</v>
      </c>
      <c r="B13" t="s">
        <v>159</v>
      </c>
      <c r="C13" s="33" t="str">
        <f>"Total Compressor Horsepower: "&amp;'Compressor Controller'!C7</f>
        <v xml:space="preserve">Total Compressor Horsepower: </v>
      </c>
      <c r="D13">
        <v>1</v>
      </c>
      <c r="E13" t="s">
        <v>410</v>
      </c>
      <c r="F13" s="138">
        <f>'Compressor Controller'!C10</f>
        <v>0</v>
      </c>
      <c r="G13" s="141">
        <f>'Compressor Controller'!C12</f>
        <v>0</v>
      </c>
      <c r="H13">
        <f>IF(ISNUMBER('Compressor Controller'!C15),'Compressor Controller'!C15,0)</f>
        <v>0</v>
      </c>
      <c r="I13" s="138" t="e">
        <f t="shared" si="0"/>
        <v>#REF!</v>
      </c>
      <c r="J13">
        <f>IF(ISNUMBER('Compressor Controller'!C16),'Compressor Controller'!C16,0)</f>
        <v>0</v>
      </c>
      <c r="K13" s="138">
        <f t="shared" si="1"/>
        <v>0</v>
      </c>
    </row>
    <row r="14" spans="1:11" x14ac:dyDescent="0.3">
      <c r="A14">
        <v>14</v>
      </c>
      <c r="B14" t="s">
        <v>411</v>
      </c>
      <c r="C14" s="33" t="str">
        <f>"Total Compressor Horsepower: "&amp;'Low Pressure Drop Filters'!C7</f>
        <v xml:space="preserve">Total Compressor Horsepower: </v>
      </c>
      <c r="D14" s="140">
        <f>'Low Pressure Drop Filters'!C8</f>
        <v>0</v>
      </c>
      <c r="E14" t="s">
        <v>412</v>
      </c>
      <c r="F14" s="138" t="e">
        <f>'Low Pressure Drop Filters'!#REF!</f>
        <v>#REF!</v>
      </c>
      <c r="G14">
        <f>IF(ISNUMBER('Low Pressure Drop Filters'!C12),'Low Pressure Drop Filters'!C12,0)</f>
        <v>0</v>
      </c>
      <c r="H14">
        <f>IF(ISNUMBER('Low Pressure Drop Filters'!C15),'Low Pressure Drop Filters'!C15,0)</f>
        <v>0</v>
      </c>
      <c r="I14" s="138" t="e">
        <f t="shared" si="0"/>
        <v>#REF!</v>
      </c>
      <c r="J14">
        <f>IF(ISNUMBER('Low Pressure Drop Filters'!C16),'Low Pressure Drop Filters'!C16,0)</f>
        <v>0</v>
      </c>
      <c r="K14" s="138" t="e">
        <f t="shared" si="1"/>
        <v>#REF!</v>
      </c>
    </row>
    <row r="15" spans="1:11" x14ac:dyDescent="0.3">
      <c r="A15">
        <v>15</v>
      </c>
      <c r="B15" t="s">
        <v>413</v>
      </c>
      <c r="C15" s="33" t="str">
        <f>"Total Compressor Horsepower: "&amp;'Mist Eliminators'!C7</f>
        <v xml:space="preserve">Total Compressor Horsepower: </v>
      </c>
      <c r="D15" s="140">
        <f>'Mist Eliminators'!C8</f>
        <v>0</v>
      </c>
      <c r="E15" t="s">
        <v>412</v>
      </c>
      <c r="F15" s="138">
        <f>'Mist Eliminators'!C11</f>
        <v>0</v>
      </c>
      <c r="G15">
        <f>IF(ISNUMBER('Mist Eliminators'!C13),'Mist Eliminators'!C13,0)</f>
        <v>0</v>
      </c>
      <c r="H15">
        <f>IF(ISNUMBER('Mist Eliminators'!C16),'Mist Eliminators'!C16,0)</f>
        <v>0</v>
      </c>
      <c r="I15" s="138" t="e">
        <f t="shared" si="0"/>
        <v>#REF!</v>
      </c>
      <c r="J15">
        <f>IF(ISNUMBER('Mist Eliminators'!C17),'Mist Eliminators'!C17,0)</f>
        <v>0</v>
      </c>
      <c r="K15" s="138">
        <f t="shared" si="1"/>
        <v>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F96E70731EB54292983A8187A83857" ma:contentTypeVersion="20" ma:contentTypeDescription="Create a new document." ma:contentTypeScope="" ma:versionID="eb833a75e8dc36a4ba8eb984a1a34832">
  <xsd:schema xmlns:xsd="http://www.w3.org/2001/XMLSchema" xmlns:xs="http://www.w3.org/2001/XMLSchema" xmlns:p="http://schemas.microsoft.com/office/2006/metadata/properties" xmlns:ns2="98788742-c24c-455f-83e9-59d89e3de440" xmlns:ns3="52741100-c965-4fd4-8aa7-2d9d842b1c91" targetNamespace="http://schemas.microsoft.com/office/2006/metadata/properties" ma:root="true" ma:fieldsID="2e10f29de20600cc7ba68cb2f4a4e256" ns2:_="" ns3:_="">
    <xsd:import namespace="98788742-c24c-455f-83e9-59d89e3de440"/>
    <xsd:import namespace="52741100-c965-4fd4-8aa7-2d9d842b1c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788742-c24c-455f-83e9-59d89e3de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f6033a7-fbac-4cd0-8a8a-00b65ae7f6db"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741100-c965-4fd4-8aa7-2d9d842b1c9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59b68ff-026d-4505-85f4-9dfcb1bec11e}" ma:internalName="TaxCatchAll" ma:showField="CatchAllData" ma:web="52741100-c965-4fd4-8aa7-2d9d842b1c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2741100-c965-4fd4-8aa7-2d9d842b1c91">
      <UserInfo>
        <DisplayName>Tom Cosgro</DisplayName>
        <AccountId>30</AccountId>
        <AccountType/>
      </UserInfo>
      <UserInfo>
        <DisplayName>James Domanski</DisplayName>
        <AccountId>34</AccountId>
        <AccountType/>
      </UserInfo>
      <UserInfo>
        <DisplayName>Jeannie Sikora</DisplayName>
        <AccountId>24</AccountId>
        <AccountType/>
      </UserInfo>
    </SharedWithUsers>
    <lcf76f155ced4ddcb4097134ff3c332f xmlns="98788742-c24c-455f-83e9-59d89e3de440">
      <Terms xmlns="http://schemas.microsoft.com/office/infopath/2007/PartnerControls"/>
    </lcf76f155ced4ddcb4097134ff3c332f>
    <TaxCatchAll xmlns="52741100-c965-4fd4-8aa7-2d9d842b1c9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D0F576-29DD-40F6-B7CC-304440E41C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788742-c24c-455f-83e9-59d89e3de440"/>
    <ds:schemaRef ds:uri="52741100-c965-4fd4-8aa7-2d9d842b1c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399D27-9BFE-4155-AE52-51AF6A72D0EF}">
  <ds:schemaRefs>
    <ds:schemaRef ds:uri="http://purl.org/dc/terms/"/>
    <ds:schemaRef ds:uri="52741100-c965-4fd4-8aa7-2d9d842b1c91"/>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98788742-c24c-455f-83e9-59d89e3de440"/>
    <ds:schemaRef ds:uri="http://purl.org/dc/dcmitype/"/>
  </ds:schemaRefs>
</ds:datastoreItem>
</file>

<file path=customXml/itemProps3.xml><?xml version="1.0" encoding="utf-8"?>
<ds:datastoreItem xmlns:ds="http://schemas.openxmlformats.org/officeDocument/2006/customXml" ds:itemID="{100B3BCE-C7AB-4CCB-B8FC-4E0C0BDAFD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15</vt:i4>
      </vt:variant>
    </vt:vector>
  </HeadingPairs>
  <TitlesOfParts>
    <vt:vector size="33" baseType="lpstr">
      <vt:lpstr>Utility Admin</vt:lpstr>
      <vt:lpstr>Instructions</vt:lpstr>
      <vt:lpstr>Data Export</vt:lpstr>
      <vt:lpstr>Version Log</vt:lpstr>
      <vt:lpstr>Methodology </vt:lpstr>
      <vt:lpstr>Calculations</vt:lpstr>
      <vt:lpstr>Summary</vt:lpstr>
      <vt:lpstr>Printable Report</vt:lpstr>
      <vt:lpstr>Measure List</vt:lpstr>
      <vt:lpstr>Incentives Table</vt:lpstr>
      <vt:lpstr>VFD Compressor (&lt;=40HP)</vt:lpstr>
      <vt:lpstr>Cycling Dryer</vt:lpstr>
      <vt:lpstr>Air Nozzle</vt:lpstr>
      <vt:lpstr>Condensate Drains</vt:lpstr>
      <vt:lpstr>Air Tanks</vt:lpstr>
      <vt:lpstr>Compressor Controller</vt:lpstr>
      <vt:lpstr>Low Pressure Drop Filters</vt:lpstr>
      <vt:lpstr>Mist Eliminators</vt:lpstr>
      <vt:lpstr>AnnualHoursofCompressorOperation</vt:lpstr>
      <vt:lpstr>AnnualHoursofCompressorOperation_CF</vt:lpstr>
      <vt:lpstr>Annualhoursofcompressoroperation_maxsize</vt:lpstr>
      <vt:lpstr>Annualhoursofcompressoroperation_minsize</vt:lpstr>
      <vt:lpstr>AnnualHoursofOperation</vt:lpstr>
      <vt:lpstr>CoincidenceFactor</vt:lpstr>
      <vt:lpstr>CR_Utility</vt:lpstr>
      <vt:lpstr>CR_Utility_Alt</vt:lpstr>
      <vt:lpstr>'Air Nozzle'!Print_Area</vt:lpstr>
      <vt:lpstr>'Air Tanks'!Print_Area</vt:lpstr>
      <vt:lpstr>'Condensate Drains'!Print_Area</vt:lpstr>
      <vt:lpstr>'Cycling Dryer'!Print_Area</vt:lpstr>
      <vt:lpstr>'VFD Compressor (&lt;=40HP)'!Print_Area</vt:lpstr>
      <vt:lpstr>ProjectCost</vt:lpstr>
      <vt:lpstr>VFDEnergySavingsFactor</vt:lpstr>
    </vt:vector>
  </TitlesOfParts>
  <Manager/>
  <Company>CLEAResult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Morency</dc:creator>
  <cp:keywords/>
  <dc:description/>
  <cp:lastModifiedBy>Nick Momenee</cp:lastModifiedBy>
  <cp:revision/>
  <dcterms:created xsi:type="dcterms:W3CDTF">2014-05-06T17:45:34Z</dcterms:created>
  <dcterms:modified xsi:type="dcterms:W3CDTF">2026-07-20T20:27:21Z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dlc_DocIdItemGuid">
    <vt:lpwstr>a4cae1f8-bc12-446a-99ab-1e69d7b1254e</vt:lpwstr>
  </property>
  <property fmtid="{D5CDD505-2E9C-101B-9397-08002B2CF9AE}" pid="4" name="ContentTypeId">
    <vt:lpwstr>0x0101001BF96E70731EB54292983A8187A83857</vt:lpwstr>
  </property>
  <property fmtid="{D5CDD505-2E9C-101B-9397-08002B2CF9AE}" pid="5" name="TaxKeyword">
    <vt:lpwstr/>
  </property>
  <property fmtid="{D5CDD505-2E9C-101B-9397-08002B2CF9AE}" pid="6" name="MediaServiceImageTags">
    <vt:lpwstr/>
  </property>
  <property fmtid="{D5CDD505-2E9C-101B-9397-08002B2CF9AE}" pid="7" name="_AdHocReviewCycleID">
    <vt:i4>-1797230106</vt:i4>
  </property>
  <property fmtid="{D5CDD505-2E9C-101B-9397-08002B2CF9AE}" pid="8" name="_EmailSubject">
    <vt:lpwstr>Small System Worksheet</vt:lpwstr>
  </property>
  <property fmtid="{D5CDD505-2E9C-101B-9397-08002B2CF9AE}" pid="9" name="_AuthorEmail">
    <vt:lpwstr>melissa.Lehr@clearesult.com</vt:lpwstr>
  </property>
  <property fmtid="{D5CDD505-2E9C-101B-9397-08002B2CF9AE}" pid="10" name="_AuthorEmailDisplayName">
    <vt:lpwstr>Melissa Lehr</vt:lpwstr>
  </property>
  <property fmtid="{D5CDD505-2E9C-101B-9397-08002B2CF9AE}" pid="11" name="_PreviousAdHocReviewCycleID">
    <vt:i4>-1875969184</vt:i4>
  </property>
  <property fmtid="{D5CDD505-2E9C-101B-9397-08002B2CF9AE}" pid="12" name="_ReviewingToolsShownOnce">
    <vt:lpwstr/>
  </property>
</Properties>
</file>