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learesult5.sharepoint.com/sites/PPLCI/Shared Documents/Marketing/Phase V Marketing Assets/Phase V Engineering Calculators/"/>
    </mc:Choice>
  </mc:AlternateContent>
  <xr:revisionPtr revIDLastSave="77" documentId="8_{7D47CD6B-5817-4D99-B732-FB360F5755B5}" xr6:coauthVersionLast="47" xr6:coauthVersionMax="47" xr10:uidLastSave="{8166B525-B12B-4AD4-9F1D-61A08054B872}"/>
  <workbookProtection workbookAlgorithmName="SHA-512" workbookHashValue="mZkqDAOHwwoELKGktxP09iQYIGNLMTIy3dWrluUQfRR78YGVBP6fFJF0kjp46BTMElj38NUyK8BSz5h4PQDY6g==" workbookSaltValue="+t1l/t2laY7jNnVdxttfeg==" workbookSpinCount="100000" lockStructure="1"/>
  <bookViews>
    <workbookView xWindow="28680" yWindow="-120" windowWidth="29040" windowHeight="15720" tabRatio="767" firstSheet="2" activeTab="2" xr2:uid="{00000000-000D-0000-FFFF-FFFF00000000}"/>
  </bookViews>
  <sheets>
    <sheet name="Defn+Method" sheetId="40" state="hidden" r:id="rId1"/>
    <sheet name="Utility Admin" sheetId="51" state="hidden" r:id="rId2"/>
    <sheet name="Greenhouse HortLighting_Inputs" sheetId="43" r:id="rId3"/>
    <sheet name="Indoor HortLighting_Inputs" sheetId="4" r:id="rId4"/>
    <sheet name="Data Export" sheetId="50" state="hidden" r:id="rId5"/>
    <sheet name="Calc" sheetId="47" state="hidden" r:id="rId6"/>
    <sheet name="Calc-Indoor" sheetId="42" state="hidden" r:id="rId7"/>
    <sheet name="MiscLook-Up" sheetId="36" state="hidden" r:id="rId8"/>
    <sheet name="Version History" sheetId="39" state="hidden" r:id="rId9"/>
  </sheets>
  <definedNames>
    <definedName name="CR_Utility">'Utility Admin'!$E$3</definedName>
    <definedName name="Logo">IF('Utility Admin'!$E$3="PPL",  'Utility Admin'!$H$7:$L$15,   IF('Utility Admin'!$E$3 = "FirstEnergy",'Utility Admin'!$H$27:$L$35,'Utility Admin'!$H$17:$L$25))</definedName>
    <definedName name="NC_Type" hidden="1">#REF!</definedName>
    <definedName name="_xlnm.Print_Area" localSheetId="2">'Greenhouse HortLighting_Inputs'!$C$3:$E$31</definedName>
    <definedName name="_xlnm.Print_Area" localSheetId="3">'Indoor HortLighting_Inputs'!$C$3:$E$31</definedName>
    <definedName name="PRJ_Type" hidden="1">#REF!</definedName>
    <definedName name="ReportLogo">IF('Utility Admin'!$E$3="PPL", 'Utility Admin'!$O$7:$S$15,   IF('Utility Admin'!$E$3 = "FirstEnergy",'Utility Admin'!$O$27:$S$35,'Utility Admin'!$O$17:$S$25))</definedName>
    <definedName name="yControlTypes" hidden="1">#REF!</definedName>
    <definedName name="yFixture_Code"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4" l="1"/>
  <c r="J11" i="43"/>
  <c r="M6" i="47"/>
  <c r="M7" i="47"/>
  <c r="M8" i="47"/>
  <c r="M9" i="47"/>
  <c r="M10" i="47"/>
  <c r="M5" i="47"/>
  <c r="P6" i="47"/>
  <c r="P7" i="47"/>
  <c r="P8" i="47"/>
  <c r="P9" i="47"/>
  <c r="P10" i="47"/>
  <c r="P5" i="47"/>
  <c r="G11" i="47"/>
  <c r="K16" i="47"/>
  <c r="K17" i="47"/>
  <c r="K18" i="47"/>
  <c r="K19" i="47"/>
  <c r="K20" i="47"/>
  <c r="K15" i="47"/>
  <c r="K6" i="47"/>
  <c r="K7" i="47"/>
  <c r="K8" i="47"/>
  <c r="K9" i="47"/>
  <c r="K10" i="47"/>
  <c r="K5" i="47"/>
  <c r="M16" i="47"/>
  <c r="M17" i="47"/>
  <c r="M18" i="47"/>
  <c r="M19" i="47"/>
  <c r="M20" i="47"/>
  <c r="M15" i="47"/>
  <c r="P16" i="47"/>
  <c r="P17" i="47"/>
  <c r="P18" i="47"/>
  <c r="P19" i="47"/>
  <c r="P20" i="47"/>
  <c r="P15" i="47"/>
  <c r="I14" i="36"/>
  <c r="Z20" i="47" l="1"/>
  <c r="Z19" i="47"/>
  <c r="Z18" i="47"/>
  <c r="Z17" i="47"/>
  <c r="Z16" i="47"/>
  <c r="Z15" i="47"/>
  <c r="Y20" i="47"/>
  <c r="Y19" i="47"/>
  <c r="Y18" i="47"/>
  <c r="Y17" i="47"/>
  <c r="Y16" i="47"/>
  <c r="Y15" i="47"/>
  <c r="I13" i="36"/>
  <c r="I12" i="36"/>
  <c r="H14" i="36"/>
  <c r="H13" i="36"/>
  <c r="H12" i="36"/>
  <c r="A64" i="36"/>
  <c r="A65" i="36" s="1"/>
  <c r="A60" i="36"/>
  <c r="A38" i="36"/>
  <c r="A56" i="36"/>
  <c r="A57" i="36" s="1"/>
  <c r="C56" i="36" s="1"/>
  <c r="A52" i="36"/>
  <c r="A53" i="36" s="1"/>
  <c r="A48" i="36"/>
  <c r="A49" i="36" s="1"/>
  <c r="C48" i="36" s="1"/>
  <c r="A44" i="36"/>
  <c r="A45" i="36" s="1"/>
  <c r="J16" i="47"/>
  <c r="H16" i="47" s="1"/>
  <c r="J17" i="47"/>
  <c r="H17" i="47" s="1"/>
  <c r="J18" i="47"/>
  <c r="H18" i="47" s="1"/>
  <c r="J19" i="47"/>
  <c r="H19" i="47" s="1"/>
  <c r="J20" i="47"/>
  <c r="H20" i="47" s="1"/>
  <c r="J15" i="47"/>
  <c r="H15" i="47" s="1"/>
  <c r="C16" i="47"/>
  <c r="C17" i="47"/>
  <c r="C18" i="47"/>
  <c r="C19" i="47"/>
  <c r="C20" i="47"/>
  <c r="C15" i="47"/>
  <c r="E15" i="47" s="1"/>
  <c r="B16" i="47"/>
  <c r="B17" i="47"/>
  <c r="B18" i="47"/>
  <c r="B19" i="47"/>
  <c r="B20" i="47"/>
  <c r="B15" i="47"/>
  <c r="B5" i="47"/>
  <c r="B6" i="47"/>
  <c r="B7" i="47"/>
  <c r="B8" i="47"/>
  <c r="B9" i="47"/>
  <c r="B10" i="47"/>
  <c r="Z6" i="47"/>
  <c r="Z7" i="47"/>
  <c r="Z8" i="47"/>
  <c r="Z9" i="47"/>
  <c r="Z10" i="47"/>
  <c r="Z5" i="47"/>
  <c r="Y10" i="47"/>
  <c r="Y9" i="47"/>
  <c r="Y8" i="47"/>
  <c r="Y7" i="47"/>
  <c r="Y6" i="47"/>
  <c r="Y5" i="47"/>
  <c r="J10" i="47"/>
  <c r="O10" i="47" s="1"/>
  <c r="C10" i="47"/>
  <c r="E10" i="47" s="1"/>
  <c r="I8" i="36"/>
  <c r="A34" i="36"/>
  <c r="A30" i="36"/>
  <c r="A26" i="36"/>
  <c r="A39" i="36" l="1"/>
  <c r="S10" i="47" s="1"/>
  <c r="D20" i="47"/>
  <c r="F20" i="47" s="1"/>
  <c r="A61" i="36"/>
  <c r="S19" i="47" s="1"/>
  <c r="D17" i="47"/>
  <c r="E17" i="47"/>
  <c r="E19" i="47"/>
  <c r="D19" i="47"/>
  <c r="D18" i="47"/>
  <c r="E18" i="47"/>
  <c r="D16" i="47"/>
  <c r="E16" i="47"/>
  <c r="E20" i="47"/>
  <c r="O20" i="47"/>
  <c r="H10" i="47"/>
  <c r="D15" i="47"/>
  <c r="L19" i="47"/>
  <c r="L18" i="47"/>
  <c r="L20" i="47"/>
  <c r="L15" i="47"/>
  <c r="V20" i="47"/>
  <c r="W20" i="47" s="1"/>
  <c r="X20" i="47" s="1"/>
  <c r="V18" i="47"/>
  <c r="W18" i="47" s="1"/>
  <c r="X18" i="47" s="1"/>
  <c r="R18" i="47"/>
  <c r="V16" i="47"/>
  <c r="W16" i="47" s="1"/>
  <c r="X16" i="47" s="1"/>
  <c r="B64" i="36"/>
  <c r="S20" i="47" s="1"/>
  <c r="T20" i="47" s="1"/>
  <c r="U20" i="47" s="1"/>
  <c r="B60" i="36"/>
  <c r="C60" i="36"/>
  <c r="C52" i="36"/>
  <c r="V17" i="47" s="1"/>
  <c r="W17" i="47" s="1"/>
  <c r="X17" i="47" s="1"/>
  <c r="B52" i="36"/>
  <c r="S17" i="47" s="1"/>
  <c r="T17" i="47" s="1"/>
  <c r="U17" i="47" s="1"/>
  <c r="B44" i="36"/>
  <c r="C44" i="36"/>
  <c r="B48" i="36"/>
  <c r="S16" i="47" s="1"/>
  <c r="T16" i="47" s="1"/>
  <c r="U16" i="47" s="1"/>
  <c r="B56" i="36"/>
  <c r="S18" i="47" s="1"/>
  <c r="T18" i="47" s="1"/>
  <c r="U18" i="47" s="1"/>
  <c r="R15" i="47"/>
  <c r="C21" i="47"/>
  <c r="R17" i="47"/>
  <c r="R16" i="47"/>
  <c r="R20" i="47"/>
  <c r="L17" i="47"/>
  <c r="R19" i="47"/>
  <c r="L16" i="47"/>
  <c r="L10" i="47"/>
  <c r="R10" i="47"/>
  <c r="A27" i="36"/>
  <c r="C26" i="36" s="1"/>
  <c r="A31" i="36"/>
  <c r="C30" i="36" s="1"/>
  <c r="A35" i="36"/>
  <c r="B34" i="36" s="1"/>
  <c r="A22" i="36"/>
  <c r="A23" i="36" s="1"/>
  <c r="A18" i="36"/>
  <c r="A19" i="36" s="1"/>
  <c r="J6" i="47"/>
  <c r="O6" i="47" s="1"/>
  <c r="J7" i="47"/>
  <c r="O7" i="47" s="1"/>
  <c r="J8" i="47"/>
  <c r="O8" i="47" s="1"/>
  <c r="J9" i="47"/>
  <c r="O9" i="47" s="1"/>
  <c r="J5" i="47"/>
  <c r="O5" i="47" s="1"/>
  <c r="I7" i="36"/>
  <c r="I6" i="36"/>
  <c r="H8" i="36"/>
  <c r="H7" i="36"/>
  <c r="H6" i="36"/>
  <c r="B38" i="36" l="1"/>
  <c r="V10" i="47"/>
  <c r="W10" i="47" s="1"/>
  <c r="X10" i="47" s="1"/>
  <c r="AH10" i="47" s="1"/>
  <c r="V19" i="47"/>
  <c r="W19" i="47" s="1"/>
  <c r="X19" i="47" s="1"/>
  <c r="AJ20" i="47"/>
  <c r="AI20" i="47"/>
  <c r="AJ19" i="47"/>
  <c r="AJ16" i="47"/>
  <c r="AJ17" i="47"/>
  <c r="AJ18" i="47"/>
  <c r="AJ15" i="47"/>
  <c r="E21" i="47"/>
  <c r="F15" i="47"/>
  <c r="F17" i="47"/>
  <c r="F16" i="47"/>
  <c r="F18" i="47"/>
  <c r="F19" i="47"/>
  <c r="D10" i="47"/>
  <c r="O17" i="47"/>
  <c r="AI17" i="47" s="1"/>
  <c r="H7" i="47"/>
  <c r="O15" i="47"/>
  <c r="H5" i="47"/>
  <c r="O19" i="47"/>
  <c r="AI19" i="47" s="1"/>
  <c r="H9" i="47"/>
  <c r="O16" i="47"/>
  <c r="AI16" i="47" s="1"/>
  <c r="H6" i="47"/>
  <c r="O18" i="47"/>
  <c r="AI18" i="47" s="1"/>
  <c r="H8" i="47"/>
  <c r="AB20" i="47"/>
  <c r="AG20" i="47"/>
  <c r="AE20" i="47"/>
  <c r="V15" i="47"/>
  <c r="W15" i="47" s="1"/>
  <c r="X15" i="47" s="1"/>
  <c r="AG18" i="47"/>
  <c r="AE18" i="47"/>
  <c r="S15" i="47"/>
  <c r="AC20" i="47"/>
  <c r="AF20" i="47"/>
  <c r="AH20" i="47"/>
  <c r="T19" i="47"/>
  <c r="U19" i="47" s="1"/>
  <c r="C64" i="36"/>
  <c r="C38" i="36"/>
  <c r="AB18" i="47"/>
  <c r="R5" i="47"/>
  <c r="S9" i="47"/>
  <c r="AC10" i="47"/>
  <c r="B26" i="36"/>
  <c r="S7" i="47" s="1"/>
  <c r="T10" i="47"/>
  <c r="U10" i="47" s="1"/>
  <c r="AF10" i="47" s="1"/>
  <c r="C34" i="36"/>
  <c r="V9" i="47" s="1"/>
  <c r="W9" i="47" s="1"/>
  <c r="X9" i="47" s="1"/>
  <c r="B30" i="36"/>
  <c r="S8" i="47" s="1"/>
  <c r="C18" i="36"/>
  <c r="B18" i="36"/>
  <c r="V8" i="47"/>
  <c r="W8" i="47" s="1"/>
  <c r="X8" i="47" s="1"/>
  <c r="V7" i="47"/>
  <c r="W7" i="47" s="1"/>
  <c r="X7" i="47" s="1"/>
  <c r="C22" i="36"/>
  <c r="V6" i="47" s="1"/>
  <c r="W6" i="47" s="1"/>
  <c r="X6" i="47" s="1"/>
  <c r="B22" i="36"/>
  <c r="S6" i="47" s="1"/>
  <c r="H4" i="39"/>
  <c r="H3" i="39"/>
  <c r="C6" i="47"/>
  <c r="E6" i="47" s="1"/>
  <c r="C7" i="47"/>
  <c r="E7" i="47" s="1"/>
  <c r="C8" i="47"/>
  <c r="E8" i="47" s="1"/>
  <c r="C9" i="47"/>
  <c r="C5" i="47"/>
  <c r="C53" i="47"/>
  <c r="J52" i="47"/>
  <c r="C52" i="47"/>
  <c r="J51" i="47"/>
  <c r="C51" i="47"/>
  <c r="J50" i="47"/>
  <c r="C50" i="47"/>
  <c r="J49" i="47"/>
  <c r="C49" i="47"/>
  <c r="J48" i="47"/>
  <c r="C48" i="47"/>
  <c r="C4" i="42"/>
  <c r="C5" i="42"/>
  <c r="C6" i="42"/>
  <c r="C7" i="42"/>
  <c r="C3" i="42"/>
  <c r="J67" i="42"/>
  <c r="G14" i="42" s="1"/>
  <c r="K67" i="42"/>
  <c r="L67" i="42"/>
  <c r="G16" i="42" s="1"/>
  <c r="M67" i="42"/>
  <c r="G17" i="42" s="1"/>
  <c r="I67" i="42"/>
  <c r="G13" i="42" s="1"/>
  <c r="I65" i="42"/>
  <c r="D5" i="47" l="1"/>
  <c r="F5" i="47" s="1"/>
  <c r="E5" i="47"/>
  <c r="E9" i="47"/>
  <c r="C11" i="47"/>
  <c r="F10" i="47"/>
  <c r="AJ21" i="47"/>
  <c r="AJ10" i="47"/>
  <c r="AI10" i="47"/>
  <c r="AI15" i="47"/>
  <c r="AI21" i="47" s="1"/>
  <c r="F21" i="47"/>
  <c r="T9" i="47"/>
  <c r="U9" i="47" s="1"/>
  <c r="T6" i="47"/>
  <c r="U6" i="47" s="1"/>
  <c r="T8" i="47"/>
  <c r="U8" i="47" s="1"/>
  <c r="T7" i="47"/>
  <c r="U7" i="47" s="1"/>
  <c r="T15" i="47"/>
  <c r="U15" i="47" s="1"/>
  <c r="AE15" i="47"/>
  <c r="S5" i="47"/>
  <c r="V5" i="47"/>
  <c r="W5" i="47" s="1"/>
  <c r="X5" i="47" s="1"/>
  <c r="AE16" i="47"/>
  <c r="AG16" i="47"/>
  <c r="AE17" i="47"/>
  <c r="AG17" i="47"/>
  <c r="AB15" i="47"/>
  <c r="AG15" i="47"/>
  <c r="AG19" i="47"/>
  <c r="AE19" i="47"/>
  <c r="AD20" i="47"/>
  <c r="AB19" i="47"/>
  <c r="AB16" i="47"/>
  <c r="D21" i="47"/>
  <c r="AB17" i="47"/>
  <c r="AG10" i="47"/>
  <c r="AE10" i="47"/>
  <c r="D7" i="47"/>
  <c r="F7" i="47" s="1"/>
  <c r="D8" i="47"/>
  <c r="F8" i="47" s="1"/>
  <c r="D6" i="47"/>
  <c r="F6" i="47" s="1"/>
  <c r="D9" i="47"/>
  <c r="F9" i="47" s="1"/>
  <c r="G15" i="42"/>
  <c r="G50" i="47"/>
  <c r="K50" i="47" s="1"/>
  <c r="G49" i="47"/>
  <c r="K49" i="47" s="1"/>
  <c r="L48" i="47"/>
  <c r="M48" i="47" s="1"/>
  <c r="G52" i="47"/>
  <c r="K52" i="47" s="1"/>
  <c r="L49" i="47"/>
  <c r="M49" i="47" s="1"/>
  <c r="G48" i="47"/>
  <c r="K48" i="47" s="1"/>
  <c r="G51" i="47"/>
  <c r="K51" i="47" s="1"/>
  <c r="L52" i="47"/>
  <c r="M52" i="47" s="1"/>
  <c r="L50" i="47"/>
  <c r="M50" i="47" s="1"/>
  <c r="L51" i="47"/>
  <c r="M51" i="47" s="1"/>
  <c r="E11" i="47" l="1"/>
  <c r="AJ5" i="47"/>
  <c r="D11" i="47"/>
  <c r="F11" i="47"/>
  <c r="AB10" i="47"/>
  <c r="AD10" i="47" s="1"/>
  <c r="AG21" i="47"/>
  <c r="H9" i="43" s="1"/>
  <c r="AE21" i="47"/>
  <c r="H8" i="43" s="1"/>
  <c r="AI5" i="47"/>
  <c r="T5" i="47"/>
  <c r="U5" i="47" s="1"/>
  <c r="AF19" i="47"/>
  <c r="AC19" i="47"/>
  <c r="AD19" i="47" s="1"/>
  <c r="AH19" i="47"/>
  <c r="AH16" i="47"/>
  <c r="AF16" i="47"/>
  <c r="AC16" i="47"/>
  <c r="AD16" i="47" s="1"/>
  <c r="F4" i="50" s="1"/>
  <c r="AC15" i="47"/>
  <c r="AD15" i="47" s="1"/>
  <c r="F3" i="50" s="1"/>
  <c r="Q3" i="50" s="1"/>
  <c r="AF18" i="47"/>
  <c r="AC18" i="47"/>
  <c r="AD18" i="47" s="1"/>
  <c r="AH18" i="47"/>
  <c r="AC17" i="47"/>
  <c r="AD17" i="47" s="1"/>
  <c r="F5" i="50" s="1"/>
  <c r="AF15" i="47"/>
  <c r="AH15" i="47"/>
  <c r="AF17" i="47"/>
  <c r="AH17" i="47"/>
  <c r="AK20" i="47"/>
  <c r="AB21" i="47"/>
  <c r="H7" i="43" s="1"/>
  <c r="AK10" i="47"/>
  <c r="AB8" i="47"/>
  <c r="AG8" i="47"/>
  <c r="AE8" i="47"/>
  <c r="AH8" i="47"/>
  <c r="AF8" i="47"/>
  <c r="AB7" i="47"/>
  <c r="AG7" i="47"/>
  <c r="AE7" i="47"/>
  <c r="AH7" i="47"/>
  <c r="AF7" i="47"/>
  <c r="AB6" i="47"/>
  <c r="AG6" i="47"/>
  <c r="AE6" i="47"/>
  <c r="AH9" i="47"/>
  <c r="AF9" i="47"/>
  <c r="AH5" i="47"/>
  <c r="AB9" i="47"/>
  <c r="AG9" i="47"/>
  <c r="AE9" i="47"/>
  <c r="AB5" i="47"/>
  <c r="AG5" i="47"/>
  <c r="AE5" i="47"/>
  <c r="AH6" i="47"/>
  <c r="AF6" i="47"/>
  <c r="M65" i="42"/>
  <c r="M66" i="42" s="1"/>
  <c r="J17" i="42" s="1"/>
  <c r="J65" i="42"/>
  <c r="J66" i="42" s="1"/>
  <c r="J14" i="42" s="1"/>
  <c r="B38" i="42"/>
  <c r="C38" i="42"/>
  <c r="D38" i="42"/>
  <c r="E38" i="42"/>
  <c r="F38" i="42"/>
  <c r="B39" i="42"/>
  <c r="C39" i="42"/>
  <c r="D39" i="42"/>
  <c r="E39" i="42"/>
  <c r="F39" i="42"/>
  <c r="B40" i="42"/>
  <c r="C40" i="42"/>
  <c r="D40" i="42"/>
  <c r="E40" i="42"/>
  <c r="F40" i="42"/>
  <c r="B41" i="42"/>
  <c r="C41" i="42"/>
  <c r="D41" i="42"/>
  <c r="E41" i="42"/>
  <c r="F41" i="42"/>
  <c r="B42" i="42"/>
  <c r="C42" i="42"/>
  <c r="D42" i="42"/>
  <c r="E42" i="42"/>
  <c r="F42" i="42"/>
  <c r="B43" i="42"/>
  <c r="C43" i="42"/>
  <c r="D43" i="42"/>
  <c r="E43" i="42"/>
  <c r="F43" i="42"/>
  <c r="B44" i="42"/>
  <c r="C44" i="42"/>
  <c r="D44" i="42"/>
  <c r="E44" i="42"/>
  <c r="F44" i="42"/>
  <c r="B45" i="42"/>
  <c r="C45" i="42"/>
  <c r="D45" i="42"/>
  <c r="E45" i="42"/>
  <c r="F45" i="42"/>
  <c r="B46" i="42"/>
  <c r="C46" i="42"/>
  <c r="D46" i="42"/>
  <c r="E46" i="42"/>
  <c r="F46" i="42"/>
  <c r="B47" i="42"/>
  <c r="C47" i="42"/>
  <c r="D47" i="42"/>
  <c r="E47" i="42"/>
  <c r="F47" i="42"/>
  <c r="B48" i="42"/>
  <c r="C48" i="42"/>
  <c r="D48" i="42"/>
  <c r="E48" i="42"/>
  <c r="F48" i="42"/>
  <c r="B49" i="42"/>
  <c r="C49" i="42"/>
  <c r="D49" i="42"/>
  <c r="E49" i="42"/>
  <c r="F49" i="42"/>
  <c r="B50" i="42"/>
  <c r="C50" i="42"/>
  <c r="D50" i="42"/>
  <c r="E50" i="42"/>
  <c r="F50" i="42"/>
  <c r="B51" i="42"/>
  <c r="C51" i="42"/>
  <c r="D51" i="42"/>
  <c r="E51" i="42"/>
  <c r="F51" i="42"/>
  <c r="B52" i="42"/>
  <c r="C52" i="42"/>
  <c r="D52" i="42"/>
  <c r="E52" i="42"/>
  <c r="F52" i="42"/>
  <c r="B53" i="42"/>
  <c r="C53" i="42"/>
  <c r="D53" i="42"/>
  <c r="E53" i="42"/>
  <c r="F53" i="42"/>
  <c r="B54" i="42"/>
  <c r="C54" i="42"/>
  <c r="D54" i="42"/>
  <c r="E54" i="42"/>
  <c r="F54" i="42"/>
  <c r="B55" i="42"/>
  <c r="C55" i="42"/>
  <c r="D55" i="42"/>
  <c r="E55" i="42"/>
  <c r="F55" i="42"/>
  <c r="B56" i="42"/>
  <c r="C56" i="42"/>
  <c r="D56" i="42"/>
  <c r="E56" i="42"/>
  <c r="F56" i="42"/>
  <c r="B57" i="42"/>
  <c r="C57" i="42"/>
  <c r="D57" i="42"/>
  <c r="E57" i="42"/>
  <c r="F57" i="42"/>
  <c r="B58" i="42"/>
  <c r="C58" i="42"/>
  <c r="D58" i="42"/>
  <c r="E58" i="42"/>
  <c r="F58" i="42"/>
  <c r="B59" i="42"/>
  <c r="C59" i="42"/>
  <c r="D59" i="42"/>
  <c r="E59" i="42"/>
  <c r="F59" i="42"/>
  <c r="B60" i="42"/>
  <c r="C60" i="42"/>
  <c r="D60" i="42"/>
  <c r="E60" i="42"/>
  <c r="F60" i="42"/>
  <c r="B61" i="42"/>
  <c r="C61" i="42"/>
  <c r="D61" i="42"/>
  <c r="E61" i="42"/>
  <c r="F61" i="42"/>
  <c r="L65" i="42"/>
  <c r="L66" i="42" s="1"/>
  <c r="J16" i="42" s="1"/>
  <c r="Q5" i="50" l="1"/>
  <c r="D5" i="50" s="1"/>
  <c r="Q4" i="50"/>
  <c r="D4" i="50"/>
  <c r="AG11" i="47"/>
  <c r="AB11" i="47"/>
  <c r="AE11" i="47"/>
  <c r="AH11" i="47"/>
  <c r="AD21" i="47"/>
  <c r="J7" i="43" s="1"/>
  <c r="AH21" i="47"/>
  <c r="I9" i="43" s="1"/>
  <c r="AF21" i="47"/>
  <c r="I8" i="43" s="1"/>
  <c r="AF5" i="47"/>
  <c r="AF11" i="47" s="1"/>
  <c r="AK18" i="47"/>
  <c r="AC21" i="47"/>
  <c r="I7" i="43" s="1"/>
  <c r="J8" i="43"/>
  <c r="AK19" i="47"/>
  <c r="J9" i="43"/>
  <c r="AK15" i="47"/>
  <c r="AK16" i="47"/>
  <c r="C65" i="42"/>
  <c r="C66" i="42" s="1"/>
  <c r="B65" i="42"/>
  <c r="B66" i="42" s="1"/>
  <c r="D65" i="42"/>
  <c r="D66" i="42" s="1"/>
  <c r="F67" i="42"/>
  <c r="E67" i="42"/>
  <c r="D67" i="42"/>
  <c r="C67" i="42"/>
  <c r="I66" i="42"/>
  <c r="J13" i="42" s="1"/>
  <c r="K65" i="42"/>
  <c r="K66" i="42" s="1"/>
  <c r="J15" i="42" s="1"/>
  <c r="F65" i="42"/>
  <c r="F66" i="42" s="1"/>
  <c r="B67" i="42"/>
  <c r="E65" i="42"/>
  <c r="E66" i="42" s="1"/>
  <c r="S4" i="50" l="1"/>
  <c r="AF4" i="50"/>
  <c r="V4" i="50"/>
  <c r="AI4" i="50"/>
  <c r="Y4" i="50"/>
  <c r="AB4" i="50"/>
  <c r="R4" i="50"/>
  <c r="AE4" i="50"/>
  <c r="U4" i="50"/>
  <c r="AH4" i="50"/>
  <c r="X4" i="50"/>
  <c r="AA4" i="50"/>
  <c r="AD4" i="50"/>
  <c r="T4" i="50"/>
  <c r="W4" i="50"/>
  <c r="Z4" i="50"/>
  <c r="AC4" i="50"/>
  <c r="AG4" i="50"/>
  <c r="O4" i="50"/>
  <c r="P4" i="50"/>
  <c r="C4" i="50"/>
  <c r="M4" i="50"/>
  <c r="N4" i="50"/>
  <c r="E4" i="50"/>
  <c r="L4" i="50"/>
  <c r="J4" i="50"/>
  <c r="K4" i="50" s="1"/>
  <c r="B4" i="50"/>
  <c r="H4" i="50"/>
  <c r="I4" i="50"/>
  <c r="G4" i="50"/>
  <c r="AC5" i="50"/>
  <c r="AF5" i="50"/>
  <c r="V5" i="50"/>
  <c r="AI5" i="50"/>
  <c r="Y5" i="50"/>
  <c r="R5" i="50"/>
  <c r="AB5" i="50"/>
  <c r="AE5" i="50"/>
  <c r="U5" i="50"/>
  <c r="AH5" i="50"/>
  <c r="X5" i="50"/>
  <c r="AA5" i="50"/>
  <c r="AD5" i="50"/>
  <c r="T5" i="50"/>
  <c r="W5" i="50"/>
  <c r="Z5" i="50"/>
  <c r="S5" i="50"/>
  <c r="AG5" i="50"/>
  <c r="H5" i="50"/>
  <c r="O5" i="50"/>
  <c r="P5" i="50"/>
  <c r="C5" i="50"/>
  <c r="N5" i="50"/>
  <c r="M5" i="50"/>
  <c r="E5" i="50"/>
  <c r="L5" i="50"/>
  <c r="J5" i="50"/>
  <c r="K5" i="50" s="1"/>
  <c r="B5" i="50"/>
  <c r="G5" i="50"/>
  <c r="I8" i="4"/>
  <c r="I9" i="4"/>
  <c r="H8" i="4"/>
  <c r="H9" i="4"/>
  <c r="AK17" i="47"/>
  <c r="AK21" i="47" s="1"/>
  <c r="AK5" i="47"/>
  <c r="G3" i="42"/>
  <c r="J7" i="42"/>
  <c r="I5" i="50" l="1"/>
  <c r="J10" i="43"/>
  <c r="R9" i="47"/>
  <c r="AJ9" i="47" s="1"/>
  <c r="AI9" i="47"/>
  <c r="L9" i="47"/>
  <c r="AC9" i="47" s="1"/>
  <c r="AD9" i="47" s="1"/>
  <c r="AI8" i="47"/>
  <c r="L8" i="47"/>
  <c r="AC8" i="47" s="1"/>
  <c r="AD8" i="47" s="1"/>
  <c r="R8" i="47"/>
  <c r="AJ8" i="47" s="1"/>
  <c r="AI7" i="47"/>
  <c r="R7" i="47"/>
  <c r="AJ7" i="47" s="1"/>
  <c r="L7" i="47"/>
  <c r="AC7" i="47" s="1"/>
  <c r="AD7" i="47" s="1"/>
  <c r="F8" i="50" s="1"/>
  <c r="AI6" i="47"/>
  <c r="L6" i="47"/>
  <c r="AC6" i="47" s="1"/>
  <c r="AD6" i="47" s="1"/>
  <c r="F7" i="50" s="1"/>
  <c r="R6" i="47"/>
  <c r="AJ6" i="47" s="1"/>
  <c r="L5" i="47"/>
  <c r="Q7" i="50" l="1"/>
  <c r="D7" i="50" s="1"/>
  <c r="Q8" i="50"/>
  <c r="D8" i="50" s="1"/>
  <c r="AJ11" i="47"/>
  <c r="J9" i="4" s="1"/>
  <c r="AI11" i="47"/>
  <c r="J8" i="4" s="1"/>
  <c r="AK9" i="47"/>
  <c r="AK7" i="47"/>
  <c r="AK8" i="47"/>
  <c r="AK6" i="47"/>
  <c r="AC5" i="47"/>
  <c r="H3" i="42"/>
  <c r="H17" i="42"/>
  <c r="H16" i="42"/>
  <c r="H15" i="42"/>
  <c r="H14" i="42"/>
  <c r="H13" i="42"/>
  <c r="C13" i="42"/>
  <c r="C14" i="42"/>
  <c r="C15" i="42"/>
  <c r="C16" i="42"/>
  <c r="C17" i="42"/>
  <c r="C18" i="42"/>
  <c r="K17" i="42"/>
  <c r="AA8" i="50" l="1"/>
  <c r="T8" i="50"/>
  <c r="AG8" i="50"/>
  <c r="Z8" i="50"/>
  <c r="S8" i="50"/>
  <c r="AF8" i="50"/>
  <c r="Y8" i="50"/>
  <c r="R8" i="50"/>
  <c r="AE8" i="50"/>
  <c r="X8" i="50"/>
  <c r="AD8" i="50"/>
  <c r="W8" i="50"/>
  <c r="AC8" i="50"/>
  <c r="V8" i="50"/>
  <c r="AI8" i="50"/>
  <c r="AB8" i="50"/>
  <c r="U8" i="50"/>
  <c r="AH8" i="50"/>
  <c r="O8" i="50"/>
  <c r="P8" i="50"/>
  <c r="B8" i="50"/>
  <c r="I8" i="50"/>
  <c r="H8" i="50"/>
  <c r="G8" i="50"/>
  <c r="N8" i="50"/>
  <c r="M8" i="50"/>
  <c r="E8" i="50"/>
  <c r="L8" i="50"/>
  <c r="C8" i="50"/>
  <c r="J8" i="50"/>
  <c r="K8" i="50" s="1"/>
  <c r="T7" i="50"/>
  <c r="AG7" i="50"/>
  <c r="Z7" i="50"/>
  <c r="AF7" i="50"/>
  <c r="S7" i="50"/>
  <c r="Y7" i="50"/>
  <c r="AE7" i="50"/>
  <c r="R7" i="50"/>
  <c r="X7" i="50"/>
  <c r="AD7" i="50"/>
  <c r="W7" i="50"/>
  <c r="AC7" i="50"/>
  <c r="V7" i="50"/>
  <c r="AI7" i="50"/>
  <c r="AB7" i="50"/>
  <c r="U7" i="50"/>
  <c r="AH7" i="50"/>
  <c r="AA7" i="50"/>
  <c r="J7" i="50"/>
  <c r="K7" i="50" s="1"/>
  <c r="O7" i="50"/>
  <c r="P7" i="50"/>
  <c r="E7" i="50"/>
  <c r="N7" i="50"/>
  <c r="M7" i="50"/>
  <c r="B7" i="50"/>
  <c r="L7" i="50"/>
  <c r="I7" i="50"/>
  <c r="G7" i="50"/>
  <c r="H7" i="50"/>
  <c r="C7" i="50"/>
  <c r="AK11" i="47"/>
  <c r="J10" i="4" s="1"/>
  <c r="AD5" i="47"/>
  <c r="AC11" i="47"/>
  <c r="E50" i="47"/>
  <c r="Q50" i="47" s="1"/>
  <c r="E48" i="47"/>
  <c r="Q48" i="47" s="1"/>
  <c r="E49" i="47"/>
  <c r="Q49" i="47" s="1"/>
  <c r="D48" i="47"/>
  <c r="D50" i="47"/>
  <c r="D49" i="47"/>
  <c r="D16" i="42"/>
  <c r="D51" i="47"/>
  <c r="E51" i="47"/>
  <c r="Q51" i="47" s="1"/>
  <c r="D13" i="42"/>
  <c r="D15" i="42"/>
  <c r="D14" i="42"/>
  <c r="E13" i="42"/>
  <c r="E16" i="42"/>
  <c r="E15" i="42"/>
  <c r="E14" i="42"/>
  <c r="I17" i="42"/>
  <c r="AD11" i="47" l="1"/>
  <c r="F6" i="50"/>
  <c r="T48" i="47"/>
  <c r="S48" i="47"/>
  <c r="R48" i="47"/>
  <c r="P48" i="47"/>
  <c r="S50" i="47"/>
  <c r="R50" i="47"/>
  <c r="T50" i="47"/>
  <c r="P50" i="47"/>
  <c r="P49" i="47"/>
  <c r="R49" i="47"/>
  <c r="T49" i="47"/>
  <c r="S49" i="47"/>
  <c r="S51" i="47"/>
  <c r="P51" i="47"/>
  <c r="R51" i="47"/>
  <c r="T51" i="47"/>
  <c r="Q6" i="50" l="1"/>
  <c r="D6" i="50" s="1"/>
  <c r="C8" i="42"/>
  <c r="H4" i="42"/>
  <c r="H5" i="42"/>
  <c r="H6" i="42"/>
  <c r="H7" i="42"/>
  <c r="AH6" i="50" l="1"/>
  <c r="AA6" i="50"/>
  <c r="T6" i="50"/>
  <c r="AG6" i="50"/>
  <c r="Z6" i="50"/>
  <c r="S6" i="50"/>
  <c r="AF6" i="50"/>
  <c r="Y6" i="50"/>
  <c r="R6" i="50"/>
  <c r="AE6" i="50"/>
  <c r="X6" i="50"/>
  <c r="AD6" i="50"/>
  <c r="W6" i="50"/>
  <c r="AC6" i="50"/>
  <c r="V6" i="50"/>
  <c r="AI6" i="50"/>
  <c r="AB6" i="50"/>
  <c r="U6" i="50"/>
  <c r="J6" i="50"/>
  <c r="K6" i="50" s="1"/>
  <c r="O6" i="50"/>
  <c r="P6" i="50"/>
  <c r="B6" i="50"/>
  <c r="M6" i="50"/>
  <c r="I6" i="50"/>
  <c r="N6" i="50"/>
  <c r="G6" i="50"/>
  <c r="H6" i="50"/>
  <c r="E6" i="50"/>
  <c r="L6" i="50"/>
  <c r="C6" i="50"/>
  <c r="D4" i="42"/>
  <c r="N4" i="42" s="1"/>
  <c r="D52" i="47"/>
  <c r="P52" i="47" s="1"/>
  <c r="P53" i="47" s="1"/>
  <c r="E52" i="47"/>
  <c r="D3" i="42"/>
  <c r="E7" i="42"/>
  <c r="D5" i="42"/>
  <c r="N5" i="42" s="1"/>
  <c r="G6" i="42"/>
  <c r="G7" i="42"/>
  <c r="G5" i="42"/>
  <c r="G4" i="42"/>
  <c r="D17" i="42"/>
  <c r="E17" i="42"/>
  <c r="O17" i="42" s="1"/>
  <c r="E4" i="42"/>
  <c r="D6" i="42"/>
  <c r="N6" i="42" s="1"/>
  <c r="E5" i="42"/>
  <c r="E6" i="42"/>
  <c r="K13" i="42"/>
  <c r="D7" i="42"/>
  <c r="N7" i="42" s="1"/>
  <c r="E3" i="42"/>
  <c r="Q52" i="47" l="1"/>
  <c r="Q53" i="47" s="1"/>
  <c r="T52" i="47"/>
  <c r="S52" i="47"/>
  <c r="S53" i="47" s="1"/>
  <c r="R52" i="47"/>
  <c r="R53" i="47" s="1"/>
  <c r="N3" i="42"/>
  <c r="I4" i="42"/>
  <c r="P4" i="42" s="1"/>
  <c r="I14" i="42"/>
  <c r="P14" i="42" s="1"/>
  <c r="J6" i="42"/>
  <c r="K16" i="42"/>
  <c r="R5" i="42"/>
  <c r="I15" i="42"/>
  <c r="P15" i="42" s="1"/>
  <c r="R6" i="42"/>
  <c r="I16" i="42"/>
  <c r="O16" i="42" s="1"/>
  <c r="J4" i="42"/>
  <c r="K4" i="42" s="1"/>
  <c r="K14" i="42"/>
  <c r="J5" i="42"/>
  <c r="K5" i="42" s="1"/>
  <c r="K15" i="42"/>
  <c r="I3" i="42"/>
  <c r="P3" i="42" s="1"/>
  <c r="J3" i="42"/>
  <c r="K3" i="42" s="1"/>
  <c r="N13" i="42"/>
  <c r="N17" i="42"/>
  <c r="R17" i="42"/>
  <c r="P17" i="42"/>
  <c r="Q17" i="42"/>
  <c r="N15" i="42"/>
  <c r="N16" i="42"/>
  <c r="N14" i="42"/>
  <c r="K7" i="42"/>
  <c r="Q7" i="42" s="1"/>
  <c r="R7" i="42"/>
  <c r="I7" i="42"/>
  <c r="I7" i="4" l="1"/>
  <c r="Q4" i="42"/>
  <c r="Q5" i="42"/>
  <c r="Q3" i="42"/>
  <c r="N18" i="42"/>
  <c r="I13" i="42"/>
  <c r="O13" i="42" s="1"/>
  <c r="Q13" i="42"/>
  <c r="R4" i="42"/>
  <c r="O3" i="42"/>
  <c r="I6" i="42"/>
  <c r="P6" i="42" s="1"/>
  <c r="R3" i="42"/>
  <c r="Q16" i="42"/>
  <c r="P16" i="42"/>
  <c r="R14" i="42"/>
  <c r="O14" i="42"/>
  <c r="O15" i="42"/>
  <c r="Q14" i="42"/>
  <c r="R16" i="42"/>
  <c r="R13" i="42"/>
  <c r="R15" i="42"/>
  <c r="Q15" i="42"/>
  <c r="I5" i="42"/>
  <c r="P5" i="42" s="1"/>
  <c r="O4" i="42"/>
  <c r="P7" i="42"/>
  <c r="O7" i="42"/>
  <c r="K6" i="42"/>
  <c r="Q6" i="42" s="1"/>
  <c r="H7" i="4" l="1"/>
  <c r="J7" i="4"/>
  <c r="Q18" i="42"/>
  <c r="O18" i="42"/>
  <c r="P13" i="42"/>
  <c r="P18" i="42" s="1"/>
  <c r="Q8" i="42"/>
  <c r="P8" i="42"/>
  <c r="O5" i="42"/>
  <c r="O6" i="42"/>
  <c r="D3" i="50" l="1"/>
  <c r="B3" i="50" l="1"/>
  <c r="AC3" i="50"/>
  <c r="S3" i="50"/>
  <c r="AF3" i="50"/>
  <c r="V3" i="50"/>
  <c r="AI3" i="50"/>
  <c r="Y3" i="50"/>
  <c r="AB3" i="50"/>
  <c r="AE3" i="50"/>
  <c r="U3" i="50"/>
  <c r="AH3" i="50"/>
  <c r="X3" i="50"/>
  <c r="AA3" i="50"/>
  <c r="AD3" i="50"/>
  <c r="T3" i="50"/>
  <c r="AG3" i="50"/>
  <c r="W3" i="50"/>
  <c r="Z3" i="50"/>
  <c r="G3" i="50"/>
  <c r="O3" i="50"/>
  <c r="L3" i="50"/>
  <c r="N3" i="50"/>
  <c r="H3" i="50"/>
  <c r="R3" i="50"/>
  <c r="I3" i="50"/>
  <c r="C3" i="50"/>
  <c r="M3" i="50"/>
  <c r="E3" i="50"/>
  <c r="P3" i="50"/>
  <c r="J3" i="50"/>
  <c r="K3"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tc={AC32D984-9783-4827-A8A2-AB3CD3E06C8E}</author>
  </authors>
  <commentList>
    <comment ref="AD2" authorId="0" shapeId="0" xr:uid="{AC32D984-9783-4827-A8A2-AB3CD3E06C8E}">
      <text>
        <t>[Threaded comment]
Your version of Excel allows you to read this threaded comment; however, any edits to it will get removed if the file is opened in a newer version of Excel. Learn more: https://go.microsoft.com/fwlink/?linkid=870924
Comment:
    NOTE: the calculator looks up CF if Photoperiod is not blank. I didn’t add functionality into test cases - should be tested manually.</t>
      </text>
    </comment>
  </commentList>
</comments>
</file>

<file path=xl/sharedStrings.xml><?xml version="1.0" encoding="utf-8"?>
<sst xmlns="http://schemas.openxmlformats.org/spreadsheetml/2006/main" count="535" uniqueCount="285">
  <si>
    <t>Term</t>
  </si>
  <si>
    <t>Unit</t>
  </si>
  <si>
    <t>Values</t>
  </si>
  <si>
    <t>Source</t>
  </si>
  <si>
    <r>
      <t>PPF</t>
    </r>
    <r>
      <rPr>
        <i/>
        <vertAlign val="subscript"/>
        <sz val="9"/>
        <color theme="1"/>
        <rFont val="Arial"/>
        <family val="2"/>
        <charset val="1"/>
      </rPr>
      <t>total</t>
    </r>
    <r>
      <rPr>
        <sz val="9"/>
        <color theme="1"/>
        <rFont val="Arial"/>
        <family val="2"/>
        <charset val="1"/>
      </rPr>
      <t>, Total Photosynthetic Photon Flux of the installed LED. PPF is the rate of flow of photons between 400 to 700 nanometers in wavelength from a radiation source as defined by ANSI/ASABE S640.</t>
    </r>
  </si>
  <si>
    <t>μmol/s</t>
  </si>
  <si>
    <t>EDC Data Gathering,
Calculated as the number of fixtures installed multiplied by the tested PPF per fixture. This value should be taken from the tested PPF (in accordance with ANSI/ASABE S640) from the DLC listing for installed fixtures.</t>
  </si>
  <si>
    <r>
      <t>PPE</t>
    </r>
    <r>
      <rPr>
        <i/>
        <vertAlign val="subscript"/>
        <sz val="9"/>
        <color theme="1"/>
        <rFont val="Arial"/>
        <family val="2"/>
        <charset val="1"/>
      </rPr>
      <t>base</t>
    </r>
    <r>
      <rPr>
        <sz val="9"/>
        <color theme="1"/>
        <rFont val="Arial"/>
        <family val="2"/>
        <charset val="1"/>
      </rPr>
      <t>, Photosynthetic photon efficacy (PPE) is PPF divided by input electric power of the baseline fixture. PPE is used to measure the horticulture lighting efficiency. The higher the PPE the more efficient the light fixture is.</t>
    </r>
  </si>
  <si>
    <t>μmol/J</t>
  </si>
  <si>
    <r>
      <t>1,000</t>
    </r>
    <r>
      <rPr>
        <sz val="9"/>
        <color theme="1"/>
        <rFont val="Arial"/>
        <family val="2"/>
        <charset val="1"/>
      </rPr>
      <t>, Watts to kilowatts conversion factor</t>
    </r>
  </si>
  <si>
    <t>W/kW</t>
  </si>
  <si>
    <t>N/A</t>
  </si>
  <si>
    <r>
      <t>kW</t>
    </r>
    <r>
      <rPr>
        <i/>
        <vertAlign val="subscript"/>
        <sz val="9"/>
        <color theme="1"/>
        <rFont val="Arial"/>
        <family val="2"/>
        <charset val="1"/>
      </rPr>
      <t>ee</t>
    </r>
    <r>
      <rPr>
        <sz val="9"/>
        <color theme="1"/>
        <rFont val="Arial"/>
        <family val="2"/>
        <charset val="1"/>
      </rPr>
      <t>, Total power of the installed/proposed fixtures (kW)</t>
    </r>
  </si>
  <si>
    <t>kW</t>
  </si>
  <si>
    <t>EDC Data Gathering</t>
  </si>
  <si>
    <r>
      <t>HOU</t>
    </r>
    <r>
      <rPr>
        <i/>
        <vertAlign val="subscript"/>
        <sz val="9"/>
        <color theme="1"/>
        <rFont val="Arial"/>
        <family val="2"/>
        <charset val="1"/>
      </rPr>
      <t>ee</t>
    </r>
    <r>
      <rPr>
        <sz val="9"/>
        <color theme="1"/>
        <rFont val="Arial"/>
        <family val="2"/>
        <charset val="1"/>
      </rPr>
      <t>, Scheduled hours of use of lighting of installed/proposed equipment</t>
    </r>
  </si>
  <si>
    <t>Hours</t>
  </si>
  <si>
    <t>EDC Data Gathering.
Default: 5,200 hours for indoor operations and 2,000 hours for greenhouses</t>
  </si>
  <si>
    <t>4,
EDC Data Gathering</t>
  </si>
  <si>
    <r>
      <t>HOU</t>
    </r>
    <r>
      <rPr>
        <i/>
        <vertAlign val="subscript"/>
        <sz val="9"/>
        <color theme="1"/>
        <rFont val="Arial"/>
        <family val="2"/>
        <charset val="1"/>
      </rPr>
      <t>base</t>
    </r>
    <r>
      <rPr>
        <i/>
        <sz val="9"/>
        <color theme="1"/>
        <rFont val="Arial"/>
        <family val="2"/>
        <charset val="1"/>
      </rPr>
      <t xml:space="preserve">, </t>
    </r>
    <r>
      <rPr>
        <sz val="9"/>
        <color theme="1"/>
        <rFont val="Arial"/>
        <family val="2"/>
        <charset val="1"/>
      </rPr>
      <t>Hours of use for lighting in the baseline system</t>
    </r>
  </si>
  <si>
    <t>Default: 5,200 hours for indoor operations and greenhouses if the crop is lettuce or cannabis. 2,000 hours for greenhouses cultivating crops other than lettuce or cannabis</t>
  </si>
  <si>
    <t>IF_kWh, Interactive Energy Factor – applies to indoor agriculture spaces that have air conditioning and space heating. This represents the secondary energy impacts that result from the decreased waste heat from efficient lighting.</t>
  </si>
  <si>
    <t>None</t>
  </si>
  <si>
    <t>IF_kW_s, Interactive Demand Factor for summer – applies to indoor agriculture spaces that have air conditioning and space heating. This represents the secondary demand savings in cooling required that results from the decreased waste heat from efficient lighting.</t>
  </si>
  <si>
    <t>IF_kW_w, Interactive Demand Factor for winter – applies to indoor agriculture spaces that have air conditioning and space heating. This represents the secondary demand savings in cooling required that results from the decreased waste heat from efficient lighting.</t>
  </si>
  <si>
    <r>
      <t>CF</t>
    </r>
    <r>
      <rPr>
        <i/>
        <vertAlign val="subscript"/>
        <sz val="9"/>
        <color theme="1"/>
        <rFont val="Arial"/>
        <family val="2"/>
        <charset val="1"/>
      </rPr>
      <t>s_base</t>
    </r>
    <r>
      <rPr>
        <sz val="9"/>
        <color theme="1"/>
        <rFont val="Arial"/>
        <family val="2"/>
        <charset val="1"/>
      </rPr>
      <t>, Coincidence Factor for summer peak demand in the baseline configuration</t>
    </r>
  </si>
  <si>
    <t>EDC Data Gathering.
Default: 0.594 hours for indoor operations and greenhouses if the crop is lettuce or cannabis. 0.238 hours for greenhouses cultivating crops other than lettuce or cannabis</t>
  </si>
  <si>
    <t>EDC Data Gathering.
5,200 HOU / 8,760 hours per year = 0.594 2,000 HOU / 8,760 hours per year = 0.238</t>
  </si>
  <si>
    <r>
      <t>CF</t>
    </r>
    <r>
      <rPr>
        <i/>
        <vertAlign val="subscript"/>
        <sz val="9"/>
        <color theme="1"/>
        <rFont val="Arial"/>
        <family val="2"/>
        <charset val="1"/>
      </rPr>
      <t>s_ee</t>
    </r>
    <r>
      <rPr>
        <sz val="9"/>
        <color theme="1"/>
        <rFont val="Arial"/>
        <family val="2"/>
        <charset val="1"/>
      </rPr>
      <t>, Coincidence Factor for summer peak demand in the efficient configuration</t>
    </r>
  </si>
  <si>
    <t>EDC Data Gathering.
Default: 0.594 for indoor operations
0.238 for greenhouses</t>
  </si>
  <si>
    <r>
      <t>CF</t>
    </r>
    <r>
      <rPr>
        <i/>
        <vertAlign val="subscript"/>
        <sz val="9"/>
        <color theme="1"/>
        <rFont val="Arial"/>
        <family val="2"/>
        <charset val="1"/>
      </rPr>
      <t>w_base</t>
    </r>
    <r>
      <rPr>
        <sz val="9"/>
        <color theme="1"/>
        <rFont val="Arial"/>
        <family val="2"/>
        <charset val="1"/>
      </rPr>
      <t>, Coincidence Factor for winter peak demand in the baseline configuration</t>
    </r>
  </si>
  <si>
    <r>
      <t>CF</t>
    </r>
    <r>
      <rPr>
        <i/>
        <vertAlign val="subscript"/>
        <sz val="9"/>
        <color theme="1"/>
        <rFont val="Arial"/>
        <family val="2"/>
        <charset val="1"/>
      </rPr>
      <t>w_ee</t>
    </r>
    <r>
      <rPr>
        <sz val="9"/>
        <color theme="1"/>
        <rFont val="Arial"/>
        <family val="2"/>
        <charset val="1"/>
      </rPr>
      <t>, Coincidence Factor for winter peak demand in the efficient configuration</t>
    </r>
  </si>
  <si>
    <r>
      <t>HOU</t>
    </r>
    <r>
      <rPr>
        <i/>
        <vertAlign val="subscript"/>
        <sz val="9"/>
        <color theme="1"/>
        <rFont val="Arial"/>
        <family val="2"/>
        <charset val="1"/>
      </rPr>
      <t>adj</t>
    </r>
    <r>
      <rPr>
        <sz val="9"/>
        <color theme="1"/>
        <rFont val="Arial"/>
        <family val="2"/>
        <charset val="1"/>
      </rPr>
      <t>, Scheduled hours of use of lighting, adjusted for dimming</t>
    </r>
  </si>
  <si>
    <t>Calculation</t>
  </si>
  <si>
    <r>
      <t xml:space="preserve">DF, </t>
    </r>
    <r>
      <rPr>
        <sz val="9"/>
        <color theme="1"/>
        <rFont val="Arial"/>
        <family val="2"/>
        <charset val="1"/>
      </rPr>
      <t>Dimming factor to adjust scheduled hours of use to account for dimming level and duration</t>
    </r>
  </si>
  <si>
    <r>
      <t>Dim</t>
    </r>
    <r>
      <rPr>
        <i/>
        <vertAlign val="subscript"/>
        <sz val="9"/>
        <color theme="1"/>
        <rFont val="Arial"/>
        <family val="2"/>
        <charset val="1"/>
      </rPr>
      <t>level_%</t>
    </r>
    <r>
      <rPr>
        <sz val="9"/>
        <color theme="1"/>
        <rFont val="Arial"/>
        <family val="2"/>
        <charset val="1"/>
      </rPr>
      <t>, Average dimming level as a percentage of full power when dimming strategy is in place. If LEDs are dimmed to 75% of the rated output, this term is equal to 0.25 or 25%</t>
    </r>
  </si>
  <si>
    <r>
      <t>Dim</t>
    </r>
    <r>
      <rPr>
        <i/>
        <vertAlign val="subscript"/>
        <sz val="9"/>
        <color theme="1"/>
        <rFont val="Arial"/>
        <family val="2"/>
        <charset val="1"/>
      </rPr>
      <t>time_%</t>
    </r>
    <r>
      <rPr>
        <sz val="9"/>
        <color theme="1"/>
        <rFont val="Arial"/>
        <family val="2"/>
        <charset val="1"/>
      </rPr>
      <t>, Percentage of the scheduled hours of use of the lighting when lights are dimmed. If LEDs are dimmed 520 of the 5,200 annual operating hours, this term is equal to 0.1 or 10%</t>
    </r>
  </si>
  <si>
    <t>Indoor Horticultural Lighting Calculator (2026 PA TRM Section 3.1.7)</t>
  </si>
  <si>
    <t>=((D2/(F2*1000))*H2*(1+N2)) 'Indoor HortLightingCalc'!J35- (E2*I2*(1+N2))</t>
  </si>
  <si>
    <t>Instructions: Enter the project information in the yellow cells below. Add any notes about operation that may be relevant to saving calculations.</t>
  </si>
  <si>
    <t>Project Details</t>
  </si>
  <si>
    <t xml:space="preserve">Project Summary </t>
  </si>
  <si>
    <t xml:space="preserve">Baseline </t>
  </si>
  <si>
    <t xml:space="preserve">Efficient </t>
  </si>
  <si>
    <t>Estimated Savings</t>
  </si>
  <si>
    <t>Project Name</t>
  </si>
  <si>
    <t>Annual Energy Consumption (kWh/yr)</t>
  </si>
  <si>
    <t>Program Name</t>
  </si>
  <si>
    <t>Peak Demand, Summer (kW)</t>
  </si>
  <si>
    <t>Application Date*</t>
  </si>
  <si>
    <t>Peak Demand, Winter (kW)</t>
  </si>
  <si>
    <t>Peak Demand, Project Average (kW)</t>
  </si>
  <si>
    <t>Lighting Details</t>
  </si>
  <si>
    <t>Potential Incentive</t>
  </si>
  <si>
    <t>Efficient Fixture #1</t>
  </si>
  <si>
    <t xml:space="preserve">*Application date required for incentive calculation. Note that program incentive caps may limit this total potential incentive. </t>
  </si>
  <si>
    <t>Manufacturer</t>
  </si>
  <si>
    <t>Notes</t>
  </si>
  <si>
    <t>Model</t>
  </si>
  <si>
    <t>Lamp Wattage (DLC tested value)</t>
  </si>
  <si>
    <t>W</t>
  </si>
  <si>
    <t>Lamp PPF (DLC tested value)</t>
  </si>
  <si>
    <t>µmol/s</t>
  </si>
  <si>
    <t>Efficient Fixture #2</t>
  </si>
  <si>
    <t>Efficient Fixture #3</t>
  </si>
  <si>
    <t>Building Details</t>
  </si>
  <si>
    <t>Crop Type</t>
  </si>
  <si>
    <t>Cannabis</t>
  </si>
  <si>
    <t>Crop Configuration</t>
  </si>
  <si>
    <t>Converted Warehouse (Sole Source Lighting)</t>
  </si>
  <si>
    <t>Will the lights operate on dimming control?</t>
  </si>
  <si>
    <t>Yes</t>
  </si>
  <si>
    <t>If dimming control selected, user must enter Average % Full Power in cell below. Note: written dimming schedule will be required for each growing area.</t>
  </si>
  <si>
    <t>Average % Full Power Lights Operate during Crop Cycle</t>
  </si>
  <si>
    <t xml:space="preserve">Is growing area mechanically cooled? </t>
  </si>
  <si>
    <t>No</t>
  </si>
  <si>
    <t>Growing Area Details</t>
  </si>
  <si>
    <t>Efficient Fixture Quantity Serving Area</t>
  </si>
  <si>
    <t>Propagation, Seeding, Cloning (Cannabis)</t>
  </si>
  <si>
    <t>Vegetative (Cannabis)</t>
  </si>
  <si>
    <t>Stock Plants / Mothers (Cannabis)</t>
  </si>
  <si>
    <t>Flowering (Cannabis)</t>
  </si>
  <si>
    <t>Leafy Greens</t>
  </si>
  <si>
    <t>Other</t>
  </si>
  <si>
    <t>Greenhouse Horticultural Lighting Calculator (2026 PA TRM Section 3.1.7)</t>
  </si>
  <si>
    <t>Instructions: Enter the project information in the yellow cells below. See Instructions Worksheet for further details.</t>
  </si>
  <si>
    <t>(HIDE AND LOCK THIS TAB)</t>
  </si>
  <si>
    <t>$/kWh</t>
  </si>
  <si>
    <t>Indoor</t>
  </si>
  <si>
    <t>Greenhouse</t>
  </si>
  <si>
    <t>Growing Area Type</t>
  </si>
  <si>
    <t>Efficient Fixture Quantity</t>
  </si>
  <si>
    <t>Lamp Wattage</t>
  </si>
  <si>
    <t>Lamp PPF</t>
  </si>
  <si>
    <t>Is Growing Area Mechanically Cooled</t>
  </si>
  <si>
    <t>Photoperiod</t>
  </si>
  <si>
    <t>PPE base</t>
  </si>
  <si>
    <t>PPF total</t>
  </si>
  <si>
    <t>kWee</t>
  </si>
  <si>
    <t>HOU ee</t>
  </si>
  <si>
    <t>HOU base</t>
  </si>
  <si>
    <t>HOU adj</t>
  </si>
  <si>
    <t>IF energy</t>
  </si>
  <si>
    <t>IF demand summer</t>
  </si>
  <si>
    <t>IF demand winter</t>
  </si>
  <si>
    <t>CF summer base</t>
  </si>
  <si>
    <t>CF summer ee</t>
  </si>
  <si>
    <t>CF summer adj</t>
  </si>
  <si>
    <t>CF winter base</t>
  </si>
  <si>
    <t>CF winter ee</t>
  </si>
  <si>
    <t>CF winter adj</t>
  </si>
  <si>
    <t xml:space="preserve">Average % Full Power when Lights On </t>
  </si>
  <si>
    <t>Annual Electric Energy Savings (kWh)</t>
  </si>
  <si>
    <t>Summer Peak Demand Savings (kW)</t>
  </si>
  <si>
    <t>WInter Peak Demand Savings (kW)</t>
  </si>
  <si>
    <t>Average kW</t>
  </si>
  <si>
    <t>Incentive</t>
  </si>
  <si>
    <t>These are site-specific EDC CFs, with default values used if schedules not provided</t>
  </si>
  <si>
    <t>Quantity</t>
  </si>
  <si>
    <t xml:space="preserve">PPF EE Total </t>
  </si>
  <si>
    <t>kW EE</t>
  </si>
  <si>
    <t>kW BL (calc)</t>
  </si>
  <si>
    <t>PPE Base</t>
  </si>
  <si>
    <t xml:space="preserve">Dim Level % </t>
  </si>
  <si>
    <t>Dim Time %</t>
  </si>
  <si>
    <t xml:space="preserve">DF </t>
  </si>
  <si>
    <t>HOUbase</t>
  </si>
  <si>
    <t>HOUadj</t>
  </si>
  <si>
    <t>Default CFs_Base</t>
  </si>
  <si>
    <t>Default CFs_ee</t>
  </si>
  <si>
    <t>Default CFs_adj</t>
  </si>
  <si>
    <t>Default CFw_Base</t>
  </si>
  <si>
    <t>Default CFw_ee</t>
  </si>
  <si>
    <t>Default CFw_adj</t>
  </si>
  <si>
    <t xml:space="preserve"> CFs_Base_EDC</t>
  </si>
  <si>
    <t xml:space="preserve"> CFs_ee_EDC</t>
  </si>
  <si>
    <t xml:space="preserve"> CFs_adj_EDC</t>
  </si>
  <si>
    <t xml:space="preserve"> CFw_Base_EDC</t>
  </si>
  <si>
    <t xml:space="preserve"> CFw_ee_EDC</t>
  </si>
  <si>
    <t xml:space="preserve"> CFw_adj_EDC</t>
  </si>
  <si>
    <t>IF demand_s</t>
  </si>
  <si>
    <t>IF demand_w</t>
  </si>
  <si>
    <t>kWh_baseline</t>
  </si>
  <si>
    <t>kWh_ee</t>
  </si>
  <si>
    <t>ΔkWh</t>
  </si>
  <si>
    <t>kW_s Baseline</t>
  </si>
  <si>
    <t>kW_s EE</t>
  </si>
  <si>
    <t>kW_w Baseline</t>
  </si>
  <si>
    <t>kW_w EE</t>
  </si>
  <si>
    <t>ΔkW_summer peak</t>
  </si>
  <si>
    <t>ΔkW_winter peak</t>
  </si>
  <si>
    <t>Sum</t>
  </si>
  <si>
    <t xml:space="preserve">Greenhouse Ag Lighting ONLY </t>
  </si>
  <si>
    <t>Type</t>
  </si>
  <si>
    <t>Dim Level %</t>
  </si>
  <si>
    <t>Dim Time % (Deemed)</t>
  </si>
  <si>
    <t>CFs_Base</t>
  </si>
  <si>
    <t>CFs_ee</t>
  </si>
  <si>
    <t>Leafy Greens**</t>
  </si>
  <si>
    <t xml:space="preserve">Indoor Ag Lighting ONLY </t>
  </si>
  <si>
    <t xml:space="preserve"># days in typical crop cycle </t>
  </si>
  <si>
    <t>Week 01</t>
  </si>
  <si>
    <t>Week 02</t>
  </si>
  <si>
    <t>Week 03</t>
  </si>
  <si>
    <t>Week 04</t>
  </si>
  <si>
    <t>w/o the schedule</t>
  </si>
  <si>
    <t>Week 05</t>
  </si>
  <si>
    <t>F - could enter schedule</t>
  </si>
  <si>
    <t>Week 06</t>
  </si>
  <si>
    <t>Week 07</t>
  </si>
  <si>
    <t>Week 08</t>
  </si>
  <si>
    <t>Week 09</t>
  </si>
  <si>
    <t>Week 10</t>
  </si>
  <si>
    <t xml:space="preserve">*use this section for operating schedule </t>
  </si>
  <si>
    <t xml:space="preserve">Hour of Day </t>
  </si>
  <si>
    <t>CF Calculation - Indoor</t>
  </si>
  <si>
    <t>CF Calculation - Greenhouse</t>
  </si>
  <si>
    <t>Total time between 2pm and 6pm</t>
  </si>
  <si>
    <t>est. total peak time within HOU</t>
  </si>
  <si>
    <t>CF summer</t>
  </si>
  <si>
    <t>hrs/day %</t>
  </si>
  <si>
    <t>avg hr/day %</t>
  </si>
  <si>
    <t>Pull Down Lists</t>
  </si>
  <si>
    <t>PPF /fixture</t>
  </si>
  <si>
    <t>Wattage</t>
  </si>
  <si>
    <t>Efficient Fixture 1</t>
  </si>
  <si>
    <t>Efficient Fixture 2</t>
  </si>
  <si>
    <t>Greenhouse (Supplemental Lighting)</t>
  </si>
  <si>
    <t>Efficient Fixture 3</t>
  </si>
  <si>
    <t>This is used to calculate an EDC-specific Coincidence Factor for Indoor Hort Lighting Calculator</t>
  </si>
  <si>
    <t>CF calculation EDC - Prop</t>
  </si>
  <si>
    <t>CF_S_EDC</t>
  </si>
  <si>
    <t>CF_W_EDC</t>
  </si>
  <si>
    <t>Summer CF</t>
  </si>
  <si>
    <t>Winter CF</t>
  </si>
  <si>
    <t>CF calculation EDC - Veg</t>
  </si>
  <si>
    <t>CF calculation EDC - Mothers/Stock</t>
  </si>
  <si>
    <t>CF calculation EDC - Flower</t>
  </si>
  <si>
    <t>CF calculatin EDC - Leafy Greens</t>
  </si>
  <si>
    <t>CF calculatin EDC - Other</t>
  </si>
  <si>
    <t>Version Log</t>
  </si>
  <si>
    <t>Primary Developer:</t>
  </si>
  <si>
    <t>Griffen Juckniewitz; Jeannie Sikora</t>
  </si>
  <si>
    <t>QA/QC Engineer(s):</t>
  </si>
  <si>
    <t>Tom Cosgro</t>
  </si>
  <si>
    <t>Current Version:</t>
  </si>
  <si>
    <t>Senior Engineer Approval:</t>
  </si>
  <si>
    <t>Date:</t>
  </si>
  <si>
    <t>Version</t>
  </si>
  <si>
    <t>Date</t>
  </si>
  <si>
    <t>Reason for Change</t>
  </si>
  <si>
    <t>Change Description</t>
  </si>
  <si>
    <t>Contact, Department</t>
  </si>
  <si>
    <t>Genesis</t>
  </si>
  <si>
    <t>New program phase V calculator for 2026 PA TRM (published September 2024)</t>
  </si>
  <si>
    <t>East Engineering</t>
  </si>
  <si>
    <t>Fully Indoor (Sole Source Lighting)</t>
  </si>
  <si>
    <t>Required</t>
  </si>
  <si>
    <t>Add if available</t>
  </si>
  <si>
    <t>Configuration__c</t>
  </si>
  <si>
    <t>Efficient_Fixture_Quantity__c</t>
  </si>
  <si>
    <t>Efficient_Wattage__c</t>
  </si>
  <si>
    <t>Factor_3__c</t>
  </si>
  <si>
    <t>Factor_4__c</t>
  </si>
  <si>
    <t>Factor_5__c</t>
  </si>
  <si>
    <t>Factor_6__c</t>
  </si>
  <si>
    <t>Factor_7__c</t>
  </si>
  <si>
    <t>Factor_8__c</t>
  </si>
  <si>
    <t>Child___Factor_9__c</t>
  </si>
  <si>
    <t>Electric_HVAC_IE__c</t>
  </si>
  <si>
    <t>Electric_Demand_HVAC_IE__c</t>
  </si>
  <si>
    <t>Child___Electric_Demand_HVAC_IE_WC__c</t>
  </si>
  <si>
    <t>Coincident_Factor__c</t>
  </si>
  <si>
    <t>Child___Coincident_Factor_WC__c</t>
  </si>
  <si>
    <t>Annual_Electric_Energy_Savings_kwh__c</t>
  </si>
  <si>
    <t>Summer_Coincident_Peak_Demand_Savings_kW__c</t>
  </si>
  <si>
    <t>Child___WC_Peak_Demand_Savings_kW__c</t>
  </si>
  <si>
    <t>Child___Average_Demand_Savings_kW__c</t>
  </si>
  <si>
    <t>Total_Incentive__c</t>
  </si>
  <si>
    <t>Coincident_Factor_PJM_SC__c</t>
  </si>
  <si>
    <t>Coincident_Factor_PJM_WC__c</t>
  </si>
  <si>
    <t>Baseline_Average_Annual_Hours_of_Use__c</t>
  </si>
  <si>
    <t>Efficient_Average_Annual_Hours_of_Use__c</t>
  </si>
  <si>
    <t>Quantity__c</t>
  </si>
  <si>
    <t>Measure Type</t>
  </si>
  <si>
    <t>Description_Product_Style__c</t>
  </si>
  <si>
    <t>Measure Code</t>
  </si>
  <si>
    <t>Incentive_Unit__c</t>
  </si>
  <si>
    <t xml:space="preserve">Per Unit Incentive </t>
  </si>
  <si>
    <t>Date Installed</t>
  </si>
  <si>
    <t>Date_Installed__c</t>
  </si>
  <si>
    <t>Type__c</t>
  </si>
  <si>
    <t>Efficient_Control_Strategy__c</t>
  </si>
  <si>
    <t>Efficient Control Strategy</t>
  </si>
  <si>
    <t>Space_Cooling_Type__c</t>
  </si>
  <si>
    <t>GreenHouseHortLighting 1</t>
  </si>
  <si>
    <t>GreenHouseHortLighting 2</t>
  </si>
  <si>
    <t>GreenHouseHortLighting 3</t>
  </si>
  <si>
    <t>IndoorHortLighting 1</t>
  </si>
  <si>
    <t>IndoorHortLighting 2</t>
  </si>
  <si>
    <t>IndoorHortLighting 3</t>
  </si>
  <si>
    <t>Fixture Reference</t>
  </si>
  <si>
    <t>Photosynthetic_Photon_Flux__c</t>
  </si>
  <si>
    <t>Average_Daily_Hours_of_Use__c</t>
  </si>
  <si>
    <t>FirstEnergy</t>
  </si>
  <si>
    <t>Incentive Manager</t>
  </si>
  <si>
    <t>Workbook Headers (Named Range 'Logo')</t>
  </si>
  <si>
    <t>Report Logos (Named Range 'Report Logo')</t>
  </si>
  <si>
    <t>Utility</t>
  </si>
  <si>
    <t>$/kW</t>
  </si>
  <si>
    <t>PPL Logo</t>
  </si>
  <si>
    <t>PPL</t>
  </si>
  <si>
    <t>PECO</t>
  </si>
  <si>
    <t>PECO Logo</t>
  </si>
  <si>
    <t>First Energy Logo</t>
  </si>
  <si>
    <t>The workbook is currently configured for:</t>
  </si>
  <si>
    <t>Efficient Fixture Serving Area 
(select from dropdown)</t>
  </si>
  <si>
    <t>Photoperiod (hrs/day grow lights operate)</t>
  </si>
  <si>
    <t>Lights on time 
(0 = 12:00 AM, 23 = 11:PM)</t>
  </si>
  <si>
    <t># days per year room is empty 
(e.g., grow lights are not used for harvesting)</t>
  </si>
  <si>
    <t>Incentive Cap 1</t>
  </si>
  <si>
    <t>Incentive Cap 2</t>
  </si>
  <si>
    <t>Total Project Cost</t>
  </si>
  <si>
    <t>Maximum Dollar Amount</t>
  </si>
  <si>
    <t>Total Project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</si>
</sst>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_);_(* \(#,##0.000\);_(* &quot;-&quot;??_);_(@_)"/>
    <numFmt numFmtId="167" formatCode="0.000"/>
    <numFmt numFmtId="168" formatCode="_(* #,##0.0000000_);_(* \(#,##0.0000000\);_(* &quot;-&quot;??_);_(@_)"/>
    <numFmt numFmtId="169" formatCode="_(* #,##0.000000000_);_(* \(#,##0.000000000\);_(* &quot;-&quot;??_);_(@_)"/>
    <numFmt numFmtId="170" formatCode="0.0"/>
    <numFmt numFmtId="171" formatCode="0.000000"/>
    <numFmt numFmtId="172" formatCode="#,##0.0000"/>
    <numFmt numFmtId="173" formatCode="_(* #,##0.0000_);_(* \(#,##0.0000\);_(* &quot;-&quot;??_);_(@_)"/>
    <numFmt numFmtId="174" formatCode="0.0000"/>
    <numFmt numFmtId="175" formatCode="&quot;$&quot;#,##0.00"/>
  </numFmts>
  <fonts count="63" x14ac:knownFonts="1">
    <font>
      <sz val="11"/>
      <color theme="1"/>
      <name val="Arial"/>
      <family val="2"/>
      <scheme val="minor"/>
    </font>
    <font>
      <sz val="11"/>
      <color theme="1"/>
      <name val="Arial"/>
      <family val="2"/>
      <scheme val="minor"/>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name val="Arial"/>
      <family val="2"/>
    </font>
    <font>
      <sz val="10"/>
      <name val="Arial"/>
      <family val="2"/>
    </font>
    <font>
      <b/>
      <u/>
      <sz val="27"/>
      <color theme="5"/>
      <name val="Arial"/>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scheme val="minor"/>
    </font>
    <font>
      <sz val="18"/>
      <color theme="1"/>
      <name val="Arial"/>
      <family val="2"/>
      <scheme val="minor"/>
    </font>
    <font>
      <sz val="18"/>
      <color theme="5"/>
      <name val="Arial"/>
      <family val="2"/>
      <scheme val="minor"/>
    </font>
    <font>
      <i/>
      <sz val="11"/>
      <color theme="5"/>
      <name val="Arial"/>
      <family val="2"/>
      <scheme val="minor"/>
    </font>
    <font>
      <i/>
      <sz val="11"/>
      <color theme="1"/>
      <name val="Arial"/>
      <family val="2"/>
      <scheme val="minor"/>
    </font>
    <font>
      <b/>
      <sz val="9"/>
      <color rgb="FF000000"/>
      <name val="Arial"/>
      <family val="2"/>
      <charset val="1"/>
    </font>
    <font>
      <i/>
      <vertAlign val="subscript"/>
      <sz val="9"/>
      <color theme="1"/>
      <name val="Arial"/>
      <family val="2"/>
      <charset val="1"/>
    </font>
    <font>
      <sz val="9"/>
      <color theme="1"/>
      <name val="Arial"/>
      <family val="2"/>
      <charset val="1"/>
    </font>
    <font>
      <i/>
      <sz val="9"/>
      <color theme="1"/>
      <name val="Arial"/>
      <family val="2"/>
      <charset val="1"/>
    </font>
    <font>
      <sz val="11"/>
      <color rgb="FF000000"/>
      <name val="Arial"/>
      <family val="2"/>
      <scheme val="minor"/>
    </font>
    <font>
      <strike/>
      <sz val="11"/>
      <color theme="1"/>
      <name val="Arial"/>
      <family val="2"/>
      <scheme val="minor"/>
    </font>
    <font>
      <u/>
      <sz val="16"/>
      <color theme="5"/>
      <name val="Arial"/>
      <family val="2"/>
    </font>
    <font>
      <sz val="11"/>
      <name val="Arial"/>
      <family val="2"/>
      <scheme val="minor"/>
    </font>
    <font>
      <sz val="11"/>
      <color rgb="FFC00000"/>
      <name val="Arial"/>
      <family val="2"/>
      <scheme val="minor"/>
    </font>
    <font>
      <b/>
      <sz val="11"/>
      <color rgb="FFC00000"/>
      <name val="Arial"/>
      <family val="2"/>
      <scheme val="minor"/>
    </font>
    <font>
      <strike/>
      <sz val="11"/>
      <color rgb="FFC00000"/>
      <name val="Arial"/>
      <family val="2"/>
      <scheme val="minor"/>
    </font>
    <font>
      <b/>
      <sz val="11"/>
      <name val="Arial"/>
      <family val="2"/>
      <scheme val="minor"/>
    </font>
    <font>
      <b/>
      <sz val="11"/>
      <color rgb="FF000000"/>
      <name val="Arial"/>
      <family val="2"/>
      <scheme val="minor"/>
    </font>
    <font>
      <b/>
      <sz val="14"/>
      <color theme="1"/>
      <name val="Arial"/>
      <family val="2"/>
      <scheme val="minor"/>
    </font>
    <font>
      <sz val="14"/>
      <color theme="1"/>
      <name val="Arial"/>
      <family val="2"/>
      <scheme val="minor"/>
    </font>
    <font>
      <b/>
      <sz val="12"/>
      <color theme="1"/>
      <name val="Arial"/>
      <family val="2"/>
      <scheme val="minor"/>
    </font>
    <font>
      <b/>
      <u/>
      <sz val="27"/>
      <color rgb="FF001489"/>
      <name val="Arial"/>
      <family val="2"/>
      <scheme val="minor"/>
    </font>
    <font>
      <sz val="11"/>
      <color rgb="FF001489"/>
      <name val="Arial"/>
      <family val="2"/>
      <scheme val="minor"/>
    </font>
    <font>
      <i/>
      <sz val="11"/>
      <color rgb="FF001489"/>
      <name val="Arial"/>
      <family val="2"/>
      <scheme val="minor"/>
    </font>
    <font>
      <sz val="18"/>
      <color rgb="FF001489"/>
      <name val="Arial"/>
      <family val="2"/>
      <scheme val="minor"/>
    </font>
  </fonts>
  <fills count="7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499984740745262"/>
        <bgColor indexed="64"/>
      </patternFill>
    </fill>
    <fill>
      <patternFill patternType="solid">
        <fgColor theme="1"/>
        <bgColor indexed="64"/>
      </patternFill>
    </fill>
    <fill>
      <patternFill patternType="solid">
        <fgColor rgb="FFBFBFBF"/>
        <bgColor indexed="64"/>
      </patternFill>
    </fill>
    <fill>
      <patternFill patternType="solid">
        <fgColor theme="0" tint="-0.249977111117893"/>
        <bgColor indexed="64"/>
      </patternFill>
    </fill>
    <fill>
      <patternFill patternType="solid">
        <fgColor rgb="FFBDD3D7"/>
        <bgColor indexed="64"/>
      </patternFill>
    </fill>
    <fill>
      <patternFill patternType="solid">
        <fgColor rgb="FFFFF8CA"/>
        <bgColor indexed="64"/>
      </patternFill>
    </fill>
    <fill>
      <patternFill patternType="solid">
        <fgColor theme="9"/>
        <bgColor indexed="64"/>
      </patternFill>
    </fill>
    <fill>
      <patternFill patternType="solid">
        <fgColor theme="9"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D7F9FD"/>
        <bgColor rgb="FF000000"/>
      </patternFill>
    </fill>
    <fill>
      <patternFill patternType="solid">
        <fgColor theme="5" tint="0.89999084444715716"/>
        <bgColor indexed="64"/>
      </patternFill>
    </fill>
    <fill>
      <patternFill patternType="solid">
        <fgColor theme="5" tint="0.89999084444715716"/>
        <bgColor rgb="FF000000"/>
      </patternFill>
    </fill>
    <fill>
      <patternFill patternType="solid">
        <fgColor rgb="FF1E427C"/>
        <bgColor indexed="64"/>
      </patternFill>
    </fill>
    <fill>
      <patternFill patternType="solid">
        <fgColor rgb="FFFFFFCC"/>
        <bgColor indexed="64"/>
      </patternFill>
    </fill>
    <fill>
      <patternFill patternType="solid">
        <fgColor rgb="FF001489"/>
        <bgColor indexed="64"/>
      </patternFill>
    </fill>
    <fill>
      <patternFill patternType="solid">
        <fgColor rgb="FF6E06C1"/>
        <bgColor indexed="64"/>
      </patternFill>
    </fill>
  </fills>
  <borders count="9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auto="1"/>
      </left>
      <right style="medium">
        <color auto="1"/>
      </right>
      <top/>
      <bottom style="medium">
        <color auto="1"/>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auto="1"/>
      </left>
      <right/>
      <top/>
      <bottom style="medium">
        <color auto="1"/>
      </bottom>
      <diagonal/>
    </border>
  </borders>
  <cellStyleXfs count="2000">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9" fontId="19" fillId="0" borderId="0" applyFont="0" applyFill="0" applyBorder="0" applyAlignment="0" applyProtection="0"/>
    <xf numFmtId="9" fontId="19" fillId="0" borderId="0" applyFont="0" applyFill="0" applyBorder="0" applyAlignment="0" applyProtection="0"/>
    <xf numFmtId="0" fontId="18" fillId="0" borderId="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3" borderId="0" applyNumberFormat="0" applyBorder="0" applyAlignment="0" applyProtection="0"/>
    <xf numFmtId="0" fontId="21" fillId="46" borderId="0" applyNumberFormat="0" applyBorder="0" applyAlignment="0" applyProtection="0"/>
    <xf numFmtId="0" fontId="22" fillId="47"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4" borderId="0" applyNumberFormat="0" applyBorder="0" applyAlignment="0" applyProtection="0"/>
    <xf numFmtId="0" fontId="23" fillId="38" borderId="0" applyNumberFormat="0" applyBorder="0" applyAlignment="0" applyProtection="0"/>
    <xf numFmtId="0" fontId="24" fillId="55" borderId="19" applyNumberFormat="0" applyAlignment="0" applyProtection="0"/>
    <xf numFmtId="0" fontId="25" fillId="56" borderId="20" applyNumberFormat="0" applyAlignment="0" applyProtection="0"/>
    <xf numFmtId="44" fontId="18" fillId="0" borderId="0" applyFont="0" applyFill="0" applyBorder="0" applyAlignment="0" applyProtection="0"/>
    <xf numFmtId="44" fontId="21" fillId="0" borderId="0" applyFont="0" applyFill="0" applyBorder="0" applyAlignment="0" applyProtection="0"/>
    <xf numFmtId="0" fontId="26" fillId="0" borderId="0" applyNumberFormat="0" applyFill="0" applyBorder="0" applyAlignment="0" applyProtection="0"/>
    <xf numFmtId="0" fontId="27" fillId="39" borderId="0" applyNumberFormat="0" applyBorder="0" applyAlignment="0" applyProtection="0"/>
    <xf numFmtId="0" fontId="28" fillId="0" borderId="21" applyNumberFormat="0" applyFill="0" applyAlignment="0" applyProtection="0"/>
    <xf numFmtId="0" fontId="29" fillId="0" borderId="22" applyNumberFormat="0" applyFill="0" applyAlignment="0" applyProtection="0"/>
    <xf numFmtId="0" fontId="30" fillId="0" borderId="23" applyNumberFormat="0" applyFill="0" applyAlignment="0" applyProtection="0"/>
    <xf numFmtId="0" fontId="30" fillId="0" borderId="0" applyNumberFormat="0" applyFill="0" applyBorder="0" applyAlignment="0" applyProtection="0"/>
    <xf numFmtId="0" fontId="31" fillId="42" borderId="19" applyNumberFormat="0" applyAlignment="0" applyProtection="0"/>
    <xf numFmtId="0" fontId="32" fillId="0" borderId="24" applyNumberFormat="0" applyFill="0" applyAlignment="0" applyProtection="0"/>
    <xf numFmtId="0" fontId="33" fillId="57"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58" borderId="25" applyNumberFormat="0" applyFont="0" applyAlignment="0" applyProtection="0"/>
    <xf numFmtId="0" fontId="34" fillId="55" borderId="26" applyNumberFormat="0" applyAlignment="0" applyProtection="0"/>
    <xf numFmtId="9" fontId="18" fillId="0" borderId="0" applyFont="0" applyFill="0" applyBorder="0" applyAlignment="0" applyProtection="0"/>
    <xf numFmtId="0" fontId="35" fillId="0" borderId="0" applyNumberFormat="0" applyFill="0" applyBorder="0" applyAlignment="0" applyProtection="0"/>
    <xf numFmtId="0" fontId="36" fillId="0" borderId="27" applyNumberFormat="0" applyFill="0" applyAlignment="0" applyProtection="0"/>
    <xf numFmtId="0" fontId="37"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47">
    <xf numFmtId="0" fontId="0" fillId="0" borderId="0" xfId="0"/>
    <xf numFmtId="0" fontId="0" fillId="34" borderId="0" xfId="0" applyFill="1"/>
    <xf numFmtId="0" fontId="0" fillId="34" borderId="0" xfId="0" applyFill="1" applyAlignment="1">
      <alignment horizontal="center"/>
    </xf>
    <xf numFmtId="0" fontId="20" fillId="34" borderId="0" xfId="0" applyFont="1" applyFill="1"/>
    <xf numFmtId="0" fontId="16" fillId="34" borderId="0" xfId="0" applyFont="1" applyFill="1" applyAlignment="1">
      <alignment horizontal="center"/>
    </xf>
    <xf numFmtId="0" fontId="0" fillId="34" borderId="0" xfId="0" applyFill="1" applyAlignment="1">
      <alignment vertical="center"/>
    </xf>
    <xf numFmtId="0" fontId="0" fillId="34" borderId="0" xfId="0" applyFill="1" applyAlignment="1">
      <alignment horizontal="left" vertical="top" wrapText="1"/>
    </xf>
    <xf numFmtId="0" fontId="0" fillId="34" borderId="0" xfId="0" applyFill="1" applyAlignment="1">
      <alignment vertical="top" wrapText="1"/>
    </xf>
    <xf numFmtId="44" fontId="0" fillId="34" borderId="0" xfId="1998" applyFont="1" applyFill="1" applyBorder="1"/>
    <xf numFmtId="0" fontId="39" fillId="34" borderId="0" xfId="0" applyFont="1" applyFill="1" applyAlignment="1">
      <alignment vertical="center"/>
    </xf>
    <xf numFmtId="0" fontId="40" fillId="34" borderId="0" xfId="0" applyFont="1" applyFill="1" applyAlignment="1">
      <alignment vertical="center"/>
    </xf>
    <xf numFmtId="0" fontId="0" fillId="59" borderId="0" xfId="0" applyFill="1" applyAlignment="1">
      <alignment vertical="center"/>
    </xf>
    <xf numFmtId="164" fontId="0" fillId="34" borderId="0" xfId="0" applyNumberFormat="1" applyFill="1"/>
    <xf numFmtId="0" fontId="0" fillId="35" borderId="15" xfId="0" applyFill="1" applyBorder="1" applyAlignment="1">
      <alignment horizontal="left" vertical="center" indent="1"/>
    </xf>
    <xf numFmtId="0" fontId="39" fillId="34" borderId="0" xfId="0" applyFont="1" applyFill="1" applyAlignment="1">
      <alignment horizontal="center" vertical="center"/>
    </xf>
    <xf numFmtId="49" fontId="16" fillId="34" borderId="0" xfId="0" applyNumberFormat="1" applyFont="1" applyFill="1" applyAlignment="1">
      <alignment vertical="center"/>
    </xf>
    <xf numFmtId="0" fontId="16" fillId="34" borderId="0" xfId="0" applyFont="1" applyFill="1" applyAlignment="1">
      <alignment horizontal="center" vertical="center" textRotation="90" wrapText="1"/>
    </xf>
    <xf numFmtId="0" fontId="13" fillId="34" borderId="0" xfId="0" applyFont="1" applyFill="1" applyAlignment="1">
      <alignment horizontal="center" vertical="center" wrapText="1"/>
    </xf>
    <xf numFmtId="0" fontId="0" fillId="34" borderId="0" xfId="0" applyFill="1" applyAlignment="1">
      <alignment vertical="center" wrapText="1"/>
    </xf>
    <xf numFmtId="0" fontId="42" fillId="34" borderId="0" xfId="0" applyFont="1" applyFill="1" applyAlignment="1">
      <alignment vertical="center"/>
    </xf>
    <xf numFmtId="44" fontId="0" fillId="34" borderId="0" xfId="1998" applyFont="1" applyFill="1" applyBorder="1" applyAlignment="1">
      <alignment wrapText="1"/>
    </xf>
    <xf numFmtId="164" fontId="0" fillId="34" borderId="0" xfId="0" applyNumberFormat="1" applyFill="1" applyAlignment="1">
      <alignment wrapText="1"/>
    </xf>
    <xf numFmtId="0" fontId="17" fillId="34" borderId="0" xfId="0" applyFont="1" applyFill="1" applyAlignment="1">
      <alignment horizontal="left" vertical="center" wrapText="1"/>
    </xf>
    <xf numFmtId="0" fontId="41" fillId="34" borderId="0" xfId="0" applyFont="1" applyFill="1" applyAlignment="1">
      <alignment horizontal="left" vertical="top" wrapText="1"/>
    </xf>
    <xf numFmtId="9" fontId="17" fillId="34" borderId="0" xfId="0" applyNumberFormat="1" applyFont="1" applyFill="1" applyAlignment="1">
      <alignment horizontal="left" vertical="center" wrapText="1"/>
    </xf>
    <xf numFmtId="0" fontId="45" fillId="0" borderId="10" xfId="0" applyFont="1" applyBorder="1" applyAlignment="1">
      <alignment wrapText="1"/>
    </xf>
    <xf numFmtId="0" fontId="45" fillId="0" borderId="28" xfId="0" applyFont="1" applyBorder="1" applyAlignment="1">
      <alignment wrapText="1"/>
    </xf>
    <xf numFmtId="0" fontId="0" fillId="33" borderId="32" xfId="0" applyFill="1" applyBorder="1" applyAlignment="1" applyProtection="1">
      <alignment horizontal="left" vertical="top" wrapText="1" indent="1"/>
      <protection locked="0"/>
    </xf>
    <xf numFmtId="0" fontId="0" fillId="33" borderId="37" xfId="0" applyFill="1" applyBorder="1" applyAlignment="1" applyProtection="1">
      <alignment horizontal="left" vertical="top" wrapText="1" indent="1"/>
      <protection locked="0"/>
    </xf>
    <xf numFmtId="0" fontId="43" fillId="61" borderId="10" xfId="0" applyFont="1" applyFill="1" applyBorder="1" applyAlignment="1">
      <alignment wrapText="1"/>
    </xf>
    <xf numFmtId="0" fontId="46" fillId="0" borderId="10" xfId="0" applyFont="1" applyBorder="1" applyAlignment="1">
      <alignment wrapText="1"/>
    </xf>
    <xf numFmtId="3" fontId="45" fillId="0" borderId="10" xfId="0" applyNumberFormat="1" applyFont="1" applyBorder="1" applyAlignment="1">
      <alignment wrapText="1"/>
    </xf>
    <xf numFmtId="0" fontId="46" fillId="0" borderId="28" xfId="0" applyFont="1" applyBorder="1" applyAlignment="1">
      <alignment wrapText="1"/>
    </xf>
    <xf numFmtId="0" fontId="0" fillId="0" borderId="11" xfId="0" applyBorder="1" applyAlignment="1">
      <alignment wrapText="1"/>
    </xf>
    <xf numFmtId="0" fontId="45" fillId="0" borderId="11" xfId="0" applyFont="1" applyBorder="1" applyAlignment="1">
      <alignment wrapText="1"/>
    </xf>
    <xf numFmtId="0" fontId="43" fillId="61" borderId="10" xfId="0" applyFont="1" applyFill="1" applyBorder="1"/>
    <xf numFmtId="0" fontId="46" fillId="0" borderId="10" xfId="0" applyFont="1" applyBorder="1"/>
    <xf numFmtId="0" fontId="45" fillId="0" borderId="10" xfId="0" applyFont="1" applyBorder="1"/>
    <xf numFmtId="0" fontId="46" fillId="0" borderId="28" xfId="0" applyFont="1" applyBorder="1"/>
    <xf numFmtId="0" fontId="45" fillId="0" borderId="28" xfId="0" applyFont="1" applyBorder="1"/>
    <xf numFmtId="0" fontId="0" fillId="0" borderId="11" xfId="0" applyBorder="1"/>
    <xf numFmtId="0" fontId="0" fillId="0" borderId="0" xfId="0" applyAlignment="1">
      <alignment wrapText="1"/>
    </xf>
    <xf numFmtId="0" fontId="0" fillId="36" borderId="43" xfId="0" applyFill="1" applyBorder="1" applyAlignment="1">
      <alignment horizontal="left" vertical="center" wrapText="1"/>
    </xf>
    <xf numFmtId="0" fontId="0" fillId="36" borderId="44" xfId="0" applyFill="1" applyBorder="1" applyAlignment="1">
      <alignment horizontal="left" vertical="center" wrapText="1"/>
    </xf>
    <xf numFmtId="0" fontId="0" fillId="36" borderId="45" xfId="0" applyFill="1" applyBorder="1" applyAlignment="1">
      <alignment horizontal="left" vertical="center" wrapText="1"/>
    </xf>
    <xf numFmtId="0" fontId="0" fillId="33" borderId="0" xfId="0" applyFill="1" applyAlignment="1" applyProtection="1">
      <alignment horizontal="left" vertical="top" wrapText="1" indent="1"/>
      <protection locked="0"/>
    </xf>
    <xf numFmtId="0" fontId="0" fillId="33" borderId="38" xfId="0" applyFill="1" applyBorder="1" applyAlignment="1" applyProtection="1">
      <alignment horizontal="left" vertical="top" wrapText="1" indent="1"/>
      <protection locked="0"/>
    </xf>
    <xf numFmtId="0" fontId="0" fillId="33" borderId="46" xfId="0" applyFill="1" applyBorder="1" applyAlignment="1" applyProtection="1">
      <alignment horizontal="left" vertical="top" wrapText="1" indent="1"/>
      <protection locked="0"/>
    </xf>
    <xf numFmtId="0" fontId="0" fillId="33" borderId="47" xfId="0" applyFill="1" applyBorder="1" applyAlignment="1" applyProtection="1">
      <alignment horizontal="left" vertical="top" wrapText="1" indent="1"/>
      <protection locked="0"/>
    </xf>
    <xf numFmtId="49" fontId="42" fillId="34" borderId="0" xfId="0" applyNumberFormat="1" applyFont="1" applyFill="1" applyAlignment="1">
      <alignment horizontal="left" vertical="center"/>
    </xf>
    <xf numFmtId="44" fontId="0" fillId="34" borderId="0" xfId="1998" applyFont="1" applyFill="1" applyAlignment="1">
      <alignment wrapText="1"/>
    </xf>
    <xf numFmtId="44" fontId="0" fillId="34" borderId="0" xfId="1998" applyFont="1" applyFill="1"/>
    <xf numFmtId="0" fontId="0" fillId="0" borderId="10" xfId="0" applyBorder="1" applyAlignment="1">
      <alignment wrapText="1"/>
    </xf>
    <xf numFmtId="0" fontId="0" fillId="62" borderId="10" xfId="0" applyFill="1" applyBorder="1" applyAlignment="1">
      <alignment vertical="center" wrapText="1"/>
    </xf>
    <xf numFmtId="0" fontId="0" fillId="0" borderId="10" xfId="0" applyBorder="1" applyAlignment="1">
      <alignment horizontal="right" vertical="center"/>
    </xf>
    <xf numFmtId="165" fontId="0" fillId="0" borderId="10" xfId="1" applyNumberFormat="1" applyFont="1" applyBorder="1" applyAlignment="1">
      <alignment horizontal="right" vertical="center"/>
    </xf>
    <xf numFmtId="0" fontId="0" fillId="62" borderId="10" xfId="0" applyFill="1" applyBorder="1" applyAlignment="1">
      <alignment horizontal="center"/>
    </xf>
    <xf numFmtId="0" fontId="47" fillId="62" borderId="10" xfId="0" applyFont="1" applyFill="1" applyBorder="1" applyAlignment="1">
      <alignment horizontal="center"/>
    </xf>
    <xf numFmtId="166" fontId="0" fillId="0" borderId="10" xfId="1" applyNumberFormat="1" applyFont="1" applyBorder="1" applyAlignment="1">
      <alignment horizontal="right" vertical="center"/>
    </xf>
    <xf numFmtId="0" fontId="16" fillId="64" borderId="10" xfId="0" applyFont="1" applyFill="1" applyBorder="1" applyAlignment="1">
      <alignment horizontal="center"/>
    </xf>
    <xf numFmtId="0" fontId="0" fillId="64" borderId="10" xfId="0" applyFill="1" applyBorder="1" applyAlignment="1">
      <alignment horizontal="center"/>
    </xf>
    <xf numFmtId="0" fontId="48" fillId="62" borderId="10" xfId="0" applyFont="1" applyFill="1" applyBorder="1" applyAlignment="1">
      <alignment horizontal="center"/>
    </xf>
    <xf numFmtId="0" fontId="48" fillId="0" borderId="10" xfId="0" applyFont="1" applyBorder="1" applyAlignment="1">
      <alignment horizontal="right" vertical="center"/>
    </xf>
    <xf numFmtId="0" fontId="0" fillId="0" borderId="36" xfId="0" applyBorder="1"/>
    <xf numFmtId="0" fontId="0" fillId="0" borderId="34" xfId="0" applyBorder="1"/>
    <xf numFmtId="0" fontId="0" fillId="0" borderId="37" xfId="0" applyBorder="1"/>
    <xf numFmtId="0" fontId="0" fillId="0" borderId="47" xfId="0" applyBorder="1"/>
    <xf numFmtId="0" fontId="0" fillId="0" borderId="30" xfId="0" applyBorder="1"/>
    <xf numFmtId="0" fontId="0" fillId="0" borderId="35" xfId="0" applyBorder="1"/>
    <xf numFmtId="0" fontId="0" fillId="0" borderId="42" xfId="0" applyBorder="1"/>
    <xf numFmtId="0" fontId="0" fillId="0" borderId="30" xfId="0" applyBorder="1" applyAlignment="1">
      <alignment horizontal="center"/>
    </xf>
    <xf numFmtId="0" fontId="0" fillId="0" borderId="35" xfId="0" quotePrefix="1" applyBorder="1" applyAlignment="1">
      <alignment horizontal="center"/>
    </xf>
    <xf numFmtId="0" fontId="0" fillId="0" borderId="35" xfId="0" applyBorder="1" applyAlignment="1">
      <alignment horizontal="center"/>
    </xf>
    <xf numFmtId="0" fontId="0" fillId="0" borderId="42" xfId="0" quotePrefix="1" applyBorder="1" applyAlignment="1">
      <alignment horizontal="center"/>
    </xf>
    <xf numFmtId="0" fontId="0" fillId="0" borderId="33" xfId="0" applyBorder="1"/>
    <xf numFmtId="9" fontId="0" fillId="0" borderId="46" xfId="1999" applyFont="1" applyBorder="1"/>
    <xf numFmtId="9" fontId="0" fillId="0" borderId="47" xfId="1999" applyFont="1" applyBorder="1"/>
    <xf numFmtId="0" fontId="0" fillId="0" borderId="46" xfId="0" applyBorder="1"/>
    <xf numFmtId="0" fontId="0" fillId="0" borderId="30" xfId="0" applyBorder="1" applyAlignment="1">
      <alignment wrapText="1"/>
    </xf>
    <xf numFmtId="165" fontId="0" fillId="0" borderId="10" xfId="1" applyNumberFormat="1" applyFont="1" applyFill="1" applyBorder="1" applyAlignment="1">
      <alignment horizontal="right" vertical="center"/>
    </xf>
    <xf numFmtId="0" fontId="0" fillId="0" borderId="38" xfId="0" applyBorder="1"/>
    <xf numFmtId="0" fontId="0" fillId="0" borderId="33" xfId="0" applyBorder="1" applyAlignment="1">
      <alignment wrapText="1"/>
    </xf>
    <xf numFmtId="0" fontId="0" fillId="0" borderId="32" xfId="0" applyBorder="1"/>
    <xf numFmtId="0" fontId="0" fillId="0" borderId="10" xfId="0" applyBorder="1" applyAlignment="1">
      <alignment vertical="center"/>
    </xf>
    <xf numFmtId="0" fontId="0" fillId="33" borderId="36" xfId="0" applyFill="1" applyBorder="1" applyAlignment="1" applyProtection="1">
      <alignment horizontal="left" vertical="top" wrapText="1" indent="1"/>
      <protection locked="0"/>
    </xf>
    <xf numFmtId="0" fontId="0" fillId="33" borderId="33" xfId="0" applyFill="1" applyBorder="1" applyAlignment="1" applyProtection="1">
      <alignment horizontal="left" vertical="top" wrapText="1" indent="1"/>
      <protection locked="0"/>
    </xf>
    <xf numFmtId="0" fontId="0" fillId="33" borderId="34" xfId="0" applyFill="1" applyBorder="1" applyAlignment="1" applyProtection="1">
      <alignment horizontal="left" vertical="top" wrapText="1" indent="1"/>
      <protection locked="0"/>
    </xf>
    <xf numFmtId="0" fontId="0" fillId="34" borderId="0" xfId="0" applyFill="1" applyAlignment="1">
      <alignment vertical="top"/>
    </xf>
    <xf numFmtId="0" fontId="16" fillId="34" borderId="0" xfId="0" applyFont="1" applyFill="1" applyAlignment="1">
      <alignment horizontal="left" vertical="top"/>
    </xf>
    <xf numFmtId="0" fontId="0" fillId="34" borderId="29" xfId="0" applyFill="1" applyBorder="1" applyAlignment="1">
      <alignment vertical="top"/>
    </xf>
    <xf numFmtId="0" fontId="16" fillId="34" borderId="0" xfId="0" applyFont="1" applyFill="1" applyAlignment="1">
      <alignment horizontal="left" vertical="top" indent="18"/>
    </xf>
    <xf numFmtId="0" fontId="0" fillId="34" borderId="51" xfId="0" applyFill="1" applyBorder="1" applyAlignment="1">
      <alignment vertical="top"/>
    </xf>
    <xf numFmtId="0" fontId="16" fillId="34" borderId="10" xfId="0" applyFont="1" applyFill="1" applyBorder="1"/>
    <xf numFmtId="0" fontId="16" fillId="34" borderId="0" xfId="0" applyFont="1" applyFill="1" applyAlignment="1">
      <alignment horizontal="left" vertical="top" wrapText="1" indent="18"/>
    </xf>
    <xf numFmtId="14" fontId="16" fillId="34" borderId="10" xfId="0" applyNumberFormat="1" applyFont="1" applyFill="1" applyBorder="1"/>
    <xf numFmtId="0" fontId="16" fillId="34" borderId="52" xfId="0" applyFont="1" applyFill="1" applyBorder="1" applyAlignment="1">
      <alignment horizontal="center" vertical="center"/>
    </xf>
    <xf numFmtId="0" fontId="16" fillId="34" borderId="11" xfId="0" applyFont="1" applyFill="1" applyBorder="1" applyAlignment="1">
      <alignment horizontal="center" vertical="center"/>
    </xf>
    <xf numFmtId="0" fontId="16" fillId="34" borderId="11" xfId="0" applyFont="1" applyFill="1" applyBorder="1" applyAlignment="1">
      <alignment horizontal="center" vertical="center" wrapText="1"/>
    </xf>
    <xf numFmtId="0" fontId="16" fillId="34" borderId="53" xfId="0" applyFont="1" applyFill="1" applyBorder="1" applyAlignment="1">
      <alignment horizontal="center" vertical="center"/>
    </xf>
    <xf numFmtId="0" fontId="16" fillId="34" borderId="0" xfId="0" applyFont="1" applyFill="1"/>
    <xf numFmtId="170" fontId="0" fillId="34" borderId="16" xfId="0" applyNumberFormat="1" applyFill="1" applyBorder="1" applyAlignment="1">
      <alignment horizontal="center" vertical="center"/>
    </xf>
    <xf numFmtId="14" fontId="0" fillId="34" borderId="10" xfId="0" applyNumberFormat="1" applyFill="1" applyBorder="1" applyAlignment="1">
      <alignment horizontal="left" vertical="center" indent="1"/>
    </xf>
    <xf numFmtId="0" fontId="0" fillId="34" borderId="10" xfId="0" applyFill="1" applyBorder="1" applyAlignment="1">
      <alignment horizontal="left" vertical="center" wrapText="1" indent="1"/>
    </xf>
    <xf numFmtId="0" fontId="0" fillId="34" borderId="14" xfId="0" applyFill="1" applyBorder="1" applyAlignment="1">
      <alignment horizontal="left" vertical="center" indent="1"/>
    </xf>
    <xf numFmtId="0" fontId="0" fillId="34" borderId="10" xfId="0" applyFill="1" applyBorder="1" applyAlignment="1">
      <alignment horizontal="left" vertical="center" indent="1"/>
    </xf>
    <xf numFmtId="2" fontId="0" fillId="34" borderId="16" xfId="0" applyNumberFormat="1" applyFill="1" applyBorder="1" applyAlignment="1">
      <alignment horizontal="center" vertical="center"/>
    </xf>
    <xf numFmtId="0" fontId="41" fillId="34" borderId="0" xfId="0" applyFont="1" applyFill="1" applyAlignment="1">
      <alignment vertical="top" wrapText="1"/>
    </xf>
    <xf numFmtId="0" fontId="0" fillId="35" borderId="18" xfId="0" applyFill="1" applyBorder="1" applyAlignment="1">
      <alignment horizontal="left" vertical="center" indent="1"/>
    </xf>
    <xf numFmtId="0" fontId="16" fillId="34" borderId="0" xfId="0" applyFont="1" applyFill="1" applyAlignment="1">
      <alignment horizontal="center" vertical="center" wrapText="1"/>
    </xf>
    <xf numFmtId="0" fontId="0" fillId="35" borderId="39" xfId="0" applyFill="1" applyBorder="1" applyAlignment="1">
      <alignment horizontal="left" vertical="center" indent="1"/>
    </xf>
    <xf numFmtId="0" fontId="13" fillId="34" borderId="0" xfId="0" applyFont="1" applyFill="1" applyAlignment="1">
      <alignment horizontal="left" vertical="center" wrapText="1" indent="1"/>
    </xf>
    <xf numFmtId="0" fontId="16" fillId="59" borderId="0" xfId="0" applyFont="1" applyFill="1" applyAlignment="1">
      <alignment vertical="center"/>
    </xf>
    <xf numFmtId="0" fontId="16" fillId="66" borderId="0" xfId="0" applyFont="1" applyFill="1"/>
    <xf numFmtId="0" fontId="0" fillId="66" borderId="0" xfId="0" applyFill="1"/>
    <xf numFmtId="9" fontId="0" fillId="66" borderId="0" xfId="0" applyNumberFormat="1" applyFill="1" applyAlignment="1">
      <alignment vertical="center"/>
    </xf>
    <xf numFmtId="2" fontId="0" fillId="66" borderId="0" xfId="0" applyNumberFormat="1" applyFill="1"/>
    <xf numFmtId="0" fontId="0" fillId="33" borderId="0" xfId="0" applyFill="1"/>
    <xf numFmtId="0" fontId="16" fillId="68" borderId="0" xfId="0" applyFont="1" applyFill="1"/>
    <xf numFmtId="2" fontId="0" fillId="33" borderId="58" xfId="0" applyNumberFormat="1" applyFill="1" applyBorder="1" applyAlignment="1" applyProtection="1">
      <alignment horizontal="left" vertical="center" indent="1"/>
      <protection locked="0"/>
    </xf>
    <xf numFmtId="2" fontId="0" fillId="33" borderId="58" xfId="0" applyNumberFormat="1" applyFill="1" applyBorder="1" applyAlignment="1" applyProtection="1">
      <alignment horizontal="center" vertical="center"/>
      <protection locked="0"/>
    </xf>
    <xf numFmtId="2" fontId="0" fillId="33" borderId="59" xfId="0" applyNumberFormat="1" applyFill="1" applyBorder="1" applyAlignment="1" applyProtection="1">
      <alignment horizontal="left" vertical="center" indent="1"/>
      <protection locked="0"/>
    </xf>
    <xf numFmtId="2" fontId="0" fillId="33" borderId="60" xfId="0" applyNumberFormat="1" applyFill="1" applyBorder="1" applyAlignment="1" applyProtection="1">
      <alignment horizontal="left" vertical="center" indent="1"/>
      <protection locked="0"/>
    </xf>
    <xf numFmtId="2" fontId="0" fillId="33" borderId="60" xfId="0" applyNumberFormat="1" applyFill="1" applyBorder="1" applyAlignment="1" applyProtection="1">
      <alignment horizontal="center" vertical="center"/>
      <protection locked="0"/>
    </xf>
    <xf numFmtId="2" fontId="0" fillId="33" borderId="61" xfId="0" applyNumberFormat="1" applyFill="1" applyBorder="1" applyAlignment="1" applyProtection="1">
      <alignment horizontal="left" vertical="center" indent="1"/>
      <protection locked="0"/>
    </xf>
    <xf numFmtId="2" fontId="0" fillId="64" borderId="59" xfId="0" applyNumberFormat="1" applyFill="1" applyBorder="1" applyAlignment="1" applyProtection="1">
      <alignment horizontal="center" vertical="center" indent="1"/>
      <protection locked="0"/>
    </xf>
    <xf numFmtId="2" fontId="0" fillId="64" borderId="60" xfId="0" applyNumberFormat="1" applyFill="1" applyBorder="1" applyAlignment="1" applyProtection="1">
      <alignment horizontal="center" vertical="center" indent="1"/>
      <protection locked="0"/>
    </xf>
    <xf numFmtId="2" fontId="0" fillId="64" borderId="60" xfId="0" applyNumberFormat="1" applyFill="1" applyBorder="1" applyAlignment="1" applyProtection="1">
      <alignment horizontal="center" vertical="center"/>
      <protection locked="0"/>
    </xf>
    <xf numFmtId="2" fontId="0" fillId="64" borderId="61" xfId="0" applyNumberFormat="1" applyFill="1" applyBorder="1" applyAlignment="1" applyProtection="1">
      <alignment horizontal="center" vertical="center" indent="1"/>
      <protection locked="0"/>
    </xf>
    <xf numFmtId="2" fontId="0" fillId="64" borderId="58" xfId="0" applyNumberFormat="1" applyFill="1" applyBorder="1" applyAlignment="1" applyProtection="1">
      <alignment horizontal="center" vertical="center" indent="1"/>
      <protection locked="0"/>
    </xf>
    <xf numFmtId="2" fontId="0" fillId="64" borderId="58" xfId="0" applyNumberFormat="1" applyFill="1" applyBorder="1" applyAlignment="1" applyProtection="1">
      <alignment horizontal="center" vertical="center"/>
      <protection locked="0"/>
    </xf>
    <xf numFmtId="2" fontId="50" fillId="0" borderId="10" xfId="0" applyNumberFormat="1" applyFont="1" applyBorder="1" applyAlignment="1">
      <alignment horizontal="center" vertical="center"/>
    </xf>
    <xf numFmtId="0" fontId="0" fillId="62" borderId="10" xfId="0" applyFill="1" applyBorder="1" applyAlignment="1">
      <alignment horizontal="center" vertical="center" wrapText="1"/>
    </xf>
    <xf numFmtId="0" fontId="50" fillId="62" borderId="10" xfId="0" applyFont="1" applyFill="1" applyBorder="1" applyAlignment="1">
      <alignment horizontal="center" vertical="center" wrapText="1"/>
    </xf>
    <xf numFmtId="0" fontId="47" fillId="62" borderId="10" xfId="0" applyFont="1" applyFill="1" applyBorder="1" applyAlignment="1">
      <alignment horizontal="center" vertical="center" wrapText="1"/>
    </xf>
    <xf numFmtId="0" fontId="50" fillId="64" borderId="10" xfId="0" applyFont="1" applyFill="1" applyBorder="1" applyAlignment="1">
      <alignment horizontal="center" vertical="center" wrapText="1"/>
    </xf>
    <xf numFmtId="0" fontId="51" fillId="62" borderId="10" xfId="0" applyFont="1" applyFill="1" applyBorder="1" applyAlignment="1">
      <alignment horizontal="center" vertical="center"/>
    </xf>
    <xf numFmtId="0" fontId="52" fillId="64" borderId="10" xfId="0" applyFont="1" applyFill="1" applyBorder="1" applyAlignment="1">
      <alignment horizontal="center" vertical="center"/>
    </xf>
    <xf numFmtId="0" fontId="51" fillId="64" borderId="10" xfId="0" applyFont="1" applyFill="1" applyBorder="1" applyAlignment="1">
      <alignment horizontal="center" vertical="center"/>
    </xf>
    <xf numFmtId="0" fontId="53" fillId="62" borderId="10" xfId="0" applyFont="1" applyFill="1" applyBorder="1" applyAlignment="1">
      <alignment horizontal="center" vertical="center"/>
    </xf>
    <xf numFmtId="4" fontId="0" fillId="34" borderId="0" xfId="0" applyNumberFormat="1" applyFill="1" applyAlignment="1">
      <alignment vertical="center"/>
    </xf>
    <xf numFmtId="172" fontId="0" fillId="34" borderId="0" xfId="0" applyNumberFormat="1" applyFill="1" applyAlignment="1">
      <alignment vertical="center"/>
    </xf>
    <xf numFmtId="4" fontId="0" fillId="34" borderId="0" xfId="0" applyNumberFormat="1" applyFill="1" applyAlignment="1">
      <alignment horizontal="center" vertical="center"/>
    </xf>
    <xf numFmtId="174" fontId="0" fillId="34" borderId="0" xfId="0" applyNumberFormat="1" applyFill="1" applyAlignment="1">
      <alignment horizontal="center" vertical="center"/>
    </xf>
    <xf numFmtId="3" fontId="0" fillId="33" borderId="10" xfId="0" applyNumberFormat="1" applyFill="1" applyBorder="1" applyAlignment="1" applyProtection="1">
      <alignment horizontal="left" vertical="center" indent="1"/>
      <protection locked="0"/>
    </xf>
    <xf numFmtId="3" fontId="0" fillId="33" borderId="28" xfId="0" applyNumberFormat="1" applyFill="1" applyBorder="1" applyAlignment="1" applyProtection="1">
      <alignment horizontal="left" vertical="center" indent="1"/>
      <protection locked="0"/>
    </xf>
    <xf numFmtId="3" fontId="0" fillId="33" borderId="17" xfId="0" applyNumberFormat="1" applyFill="1" applyBorder="1" applyAlignment="1" applyProtection="1">
      <alignment horizontal="left" vertical="center" indent="1"/>
      <protection locked="0"/>
    </xf>
    <xf numFmtId="0" fontId="16" fillId="62" borderId="10" xfId="0" applyFont="1" applyFill="1" applyBorder="1" applyAlignment="1">
      <alignment horizontal="center" vertical="center" wrapText="1"/>
    </xf>
    <xf numFmtId="0" fontId="56" fillId="68" borderId="0" xfId="0" applyFont="1" applyFill="1" applyAlignment="1">
      <alignment horizontal="center" vertical="center"/>
    </xf>
    <xf numFmtId="0" fontId="57" fillId="68" borderId="0" xfId="0" applyFont="1" applyFill="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165" fontId="0" fillId="0" borderId="10" xfId="1" applyNumberFormat="1" applyFont="1" applyBorder="1" applyAlignment="1">
      <alignment horizontal="center" vertical="center"/>
    </xf>
    <xf numFmtId="173" fontId="0" fillId="67" borderId="10" xfId="1" applyNumberFormat="1" applyFont="1" applyFill="1" applyBorder="1" applyAlignment="1">
      <alignment horizontal="center" vertical="center"/>
    </xf>
    <xf numFmtId="171" fontId="0" fillId="67" borderId="10" xfId="0" applyNumberFormat="1" applyFill="1" applyBorder="1" applyAlignment="1">
      <alignment horizontal="center" vertical="center"/>
    </xf>
    <xf numFmtId="9" fontId="0" fillId="67" borderId="10" xfId="0" applyNumberFormat="1" applyFill="1" applyBorder="1" applyAlignment="1">
      <alignment horizontal="center" vertical="center"/>
    </xf>
    <xf numFmtId="0" fontId="50" fillId="67" borderId="10" xfId="0" applyFont="1" applyFill="1" applyBorder="1" applyAlignment="1">
      <alignment horizontal="center" vertical="center"/>
    </xf>
    <xf numFmtId="173" fontId="50" fillId="65" borderId="10" xfId="0" applyNumberFormat="1" applyFont="1" applyFill="1" applyBorder="1" applyAlignment="1">
      <alignment horizontal="center" vertical="center"/>
    </xf>
    <xf numFmtId="167" fontId="0" fillId="0" borderId="10" xfId="0" applyNumberFormat="1" applyBorder="1" applyAlignment="1">
      <alignment horizontal="center" vertical="center"/>
    </xf>
    <xf numFmtId="166" fontId="0" fillId="0" borderId="10" xfId="1" applyNumberFormat="1" applyFont="1" applyBorder="1" applyAlignment="1">
      <alignment horizontal="center" vertical="center"/>
    </xf>
    <xf numFmtId="166" fontId="0" fillId="67" borderId="10" xfId="1" applyNumberFormat="1" applyFont="1" applyFill="1" applyBorder="1" applyAlignment="1">
      <alignment horizontal="center" vertical="center"/>
    </xf>
    <xf numFmtId="0" fontId="16" fillId="0" borderId="10" xfId="0" applyFont="1" applyBorder="1" applyAlignment="1">
      <alignment horizontal="center" vertical="center"/>
    </xf>
    <xf numFmtId="167" fontId="16" fillId="0" borderId="10" xfId="0" applyNumberFormat="1" applyFont="1" applyBorder="1" applyAlignment="1">
      <alignment horizontal="center" vertical="center"/>
    </xf>
    <xf numFmtId="0" fontId="16" fillId="67" borderId="10" xfId="0" applyFont="1" applyFill="1" applyBorder="1" applyAlignment="1">
      <alignment horizontal="center" vertical="center"/>
    </xf>
    <xf numFmtId="0" fontId="50" fillId="0" borderId="10" xfId="0" applyFont="1" applyBorder="1" applyAlignment="1">
      <alignment horizontal="center" vertical="center"/>
    </xf>
    <xf numFmtId="166" fontId="16" fillId="0" borderId="10" xfId="1" applyNumberFormat="1" applyFont="1" applyBorder="1" applyAlignment="1">
      <alignment horizontal="center" vertical="center"/>
    </xf>
    <xf numFmtId="165" fontId="0" fillId="0" borderId="0" xfId="0" applyNumberFormat="1" applyAlignment="1">
      <alignment horizontal="center" vertical="center"/>
    </xf>
    <xf numFmtId="0" fontId="50" fillId="0" borderId="0" xfId="0" applyFont="1" applyAlignment="1">
      <alignment horizontal="center" vertical="center"/>
    </xf>
    <xf numFmtId="166" fontId="0" fillId="0" borderId="0" xfId="1" applyNumberFormat="1" applyFont="1" applyBorder="1" applyAlignment="1">
      <alignment horizontal="center" vertical="center"/>
    </xf>
    <xf numFmtId="166" fontId="0" fillId="0" borderId="49" xfId="1" applyNumberFormat="1" applyFont="1" applyBorder="1" applyAlignment="1">
      <alignment horizontal="center" vertical="center"/>
    </xf>
    <xf numFmtId="0" fontId="48" fillId="0" borderId="0" xfId="0" applyFont="1" applyAlignment="1">
      <alignment horizontal="center" vertical="center"/>
    </xf>
    <xf numFmtId="43" fontId="0" fillId="0" borderId="0" xfId="0" applyNumberFormat="1" applyAlignment="1">
      <alignment horizontal="center" vertical="center"/>
    </xf>
    <xf numFmtId="167" fontId="50" fillId="65" borderId="10" xfId="0" applyNumberFormat="1" applyFont="1" applyFill="1" applyBorder="1" applyAlignment="1">
      <alignment horizontal="center" vertical="center"/>
    </xf>
    <xf numFmtId="0" fontId="50" fillId="65" borderId="10" xfId="0" applyFont="1" applyFill="1" applyBorder="1" applyAlignment="1">
      <alignment horizontal="center" vertical="center"/>
    </xf>
    <xf numFmtId="166" fontId="50" fillId="0" borderId="10" xfId="1" applyNumberFormat="1" applyFont="1" applyBorder="1" applyAlignment="1">
      <alignment horizontal="center" vertical="center"/>
    </xf>
    <xf numFmtId="0" fontId="0" fillId="62" borderId="11" xfId="0" applyFill="1" applyBorder="1" applyAlignment="1">
      <alignment horizontal="center" vertical="center" wrapText="1"/>
    </xf>
    <xf numFmtId="165" fontId="16" fillId="0" borderId="10" xfId="0" applyNumberFormat="1" applyFont="1" applyBorder="1" applyAlignment="1">
      <alignment horizontal="center" vertical="center"/>
    </xf>
    <xf numFmtId="0" fontId="52" fillId="0" borderId="10" xfId="0" applyFont="1" applyBorder="1" applyAlignment="1">
      <alignment horizontal="center" vertical="center"/>
    </xf>
    <xf numFmtId="0" fontId="54" fillId="0" borderId="10" xfId="0" applyFont="1" applyBorder="1" applyAlignment="1">
      <alignment horizontal="center" vertical="center"/>
    </xf>
    <xf numFmtId="166" fontId="54" fillId="0" borderId="10" xfId="1" applyNumberFormat="1" applyFont="1" applyBorder="1" applyAlignment="1">
      <alignment horizontal="center" vertical="center"/>
    </xf>
    <xf numFmtId="169" fontId="0" fillId="0" borderId="0" xfId="0" applyNumberFormat="1" applyAlignment="1">
      <alignment horizontal="center" vertical="center"/>
    </xf>
    <xf numFmtId="168" fontId="0" fillId="0" borderId="0" xfId="0" applyNumberFormat="1" applyAlignment="1">
      <alignment horizontal="center" vertical="center"/>
    </xf>
    <xf numFmtId="0" fontId="51" fillId="0" borderId="10" xfId="0" applyFont="1" applyBorder="1" applyAlignment="1">
      <alignment horizontal="center" vertical="center" wrapText="1"/>
    </xf>
    <xf numFmtId="0" fontId="51" fillId="62" borderId="10" xfId="0" applyFont="1" applyFill="1" applyBorder="1" applyAlignment="1">
      <alignment horizontal="center" vertical="center" wrapText="1"/>
    </xf>
    <xf numFmtId="0" fontId="51" fillId="0" borderId="10" xfId="0" applyFont="1" applyBorder="1" applyAlignment="1">
      <alignment horizontal="center" vertical="center"/>
    </xf>
    <xf numFmtId="165" fontId="51" fillId="0" borderId="10" xfId="1" applyNumberFormat="1" applyFont="1" applyBorder="1" applyAlignment="1">
      <alignment horizontal="center" vertical="center"/>
    </xf>
    <xf numFmtId="166" fontId="51" fillId="0" borderId="10" xfId="1" applyNumberFormat="1" applyFont="1" applyBorder="1" applyAlignment="1">
      <alignment horizontal="center" vertical="center"/>
    </xf>
    <xf numFmtId="0" fontId="53" fillId="0" borderId="10" xfId="0" applyFont="1" applyBorder="1" applyAlignment="1">
      <alignment horizontal="center" vertical="center"/>
    </xf>
    <xf numFmtId="0" fontId="0" fillId="64" borderId="10" xfId="0" applyFill="1" applyBorder="1" applyAlignment="1">
      <alignment horizontal="center" vertical="center" wrapText="1"/>
    </xf>
    <xf numFmtId="0" fontId="0" fillId="0" borderId="10" xfId="0" applyBorder="1"/>
    <xf numFmtId="0" fontId="0" fillId="0" borderId="0" xfId="0" applyAlignment="1">
      <alignment vertical="center"/>
    </xf>
    <xf numFmtId="0" fontId="0" fillId="0" borderId="0" xfId="0" applyAlignment="1">
      <alignment vertical="center" wrapText="1"/>
    </xf>
    <xf numFmtId="2" fontId="0" fillId="0" borderId="11" xfId="0" applyNumberFormat="1" applyBorder="1"/>
    <xf numFmtId="3" fontId="0" fillId="0" borderId="11" xfId="0" applyNumberFormat="1" applyBorder="1"/>
    <xf numFmtId="0" fontId="55" fillId="69" borderId="71" xfId="0" applyFont="1" applyFill="1" applyBorder="1" applyAlignment="1">
      <alignment horizontal="center" vertical="center" wrapText="1"/>
    </xf>
    <xf numFmtId="0" fontId="55" fillId="70" borderId="71" xfId="0" applyFont="1" applyFill="1" applyBorder="1" applyAlignment="1">
      <alignment horizontal="center" vertical="center" wrapText="1"/>
    </xf>
    <xf numFmtId="171" fontId="0" fillId="0" borderId="11" xfId="0" applyNumberFormat="1" applyBorder="1"/>
    <xf numFmtId="44" fontId="55" fillId="70" borderId="71" xfId="1998" applyFont="1" applyFill="1" applyBorder="1" applyAlignment="1">
      <alignment horizontal="center" vertical="center" wrapText="1"/>
    </xf>
    <xf numFmtId="0" fontId="55" fillId="71" borderId="71" xfId="0" applyFont="1" applyFill="1" applyBorder="1" applyAlignment="1">
      <alignment horizontal="center" vertical="center" wrapText="1"/>
    </xf>
    <xf numFmtId="14" fontId="0" fillId="0" borderId="11" xfId="0" applyNumberFormat="1" applyBorder="1"/>
    <xf numFmtId="1" fontId="0" fillId="0" borderId="11" xfId="0" applyNumberFormat="1" applyBorder="1"/>
    <xf numFmtId="0" fontId="0" fillId="35" borderId="11" xfId="0" applyFill="1" applyBorder="1"/>
    <xf numFmtId="0" fontId="0" fillId="35" borderId="10" xfId="0" applyFill="1" applyBorder="1"/>
    <xf numFmtId="172" fontId="0" fillId="0" borderId="11" xfId="0" applyNumberFormat="1" applyBorder="1"/>
    <xf numFmtId="0" fontId="16" fillId="0" borderId="0" xfId="0" applyFont="1"/>
    <xf numFmtId="0" fontId="58" fillId="64" borderId="72" xfId="0" applyFont="1" applyFill="1" applyBorder="1" applyAlignment="1">
      <alignment horizontal="center" vertical="center"/>
    </xf>
    <xf numFmtId="0" fontId="0" fillId="0" borderId="73" xfId="0" applyBorder="1"/>
    <xf numFmtId="0" fontId="16" fillId="0" borderId="74" xfId="0" applyFont="1" applyBorder="1"/>
    <xf numFmtId="0" fontId="0" fillId="0" borderId="74" xfId="0" applyBorder="1"/>
    <xf numFmtId="0" fontId="0" fillId="0" borderId="75" xfId="0" applyBorder="1"/>
    <xf numFmtId="0" fontId="0" fillId="0" borderId="76" xfId="0" applyBorder="1"/>
    <xf numFmtId="0" fontId="0" fillId="0" borderId="77" xfId="0" applyBorder="1"/>
    <xf numFmtId="0" fontId="16" fillId="0" borderId="78" xfId="0" applyFont="1" applyBorder="1" applyAlignment="1">
      <alignment horizontal="center"/>
    </xf>
    <xf numFmtId="0" fontId="16" fillId="0" borderId="79" xfId="0" applyFont="1" applyBorder="1" applyAlignment="1">
      <alignment horizontal="center"/>
    </xf>
    <xf numFmtId="0" fontId="16" fillId="0" borderId="80" xfId="0" applyFont="1" applyBorder="1" applyAlignment="1">
      <alignment horizontal="center"/>
    </xf>
    <xf numFmtId="0" fontId="16" fillId="0" borderId="76" xfId="0" applyFont="1" applyBorder="1"/>
    <xf numFmtId="0" fontId="0" fillId="74" borderId="0" xfId="0" applyFill="1"/>
    <xf numFmtId="0" fontId="0" fillId="0" borderId="82" xfId="0" applyBorder="1" applyAlignment="1">
      <alignment horizontal="center"/>
    </xf>
    <xf numFmtId="0" fontId="0" fillId="75" borderId="0" xfId="0" applyFill="1"/>
    <xf numFmtId="0" fontId="0" fillId="72" borderId="0" xfId="0" applyFill="1"/>
    <xf numFmtId="0" fontId="0" fillId="0" borderId="83" xfId="0" applyBorder="1"/>
    <xf numFmtId="0" fontId="0" fillId="0" borderId="84" xfId="0" applyBorder="1"/>
    <xf numFmtId="0" fontId="0" fillId="0" borderId="85" xfId="0" applyBorder="1"/>
    <xf numFmtId="175" fontId="0" fillId="0" borderId="52" xfId="0" applyNumberFormat="1" applyBorder="1" applyAlignment="1">
      <alignment horizontal="center"/>
    </xf>
    <xf numFmtId="175" fontId="0" fillId="0" borderId="81" xfId="0" applyNumberFormat="1" applyBorder="1" applyAlignment="1">
      <alignment horizontal="center"/>
    </xf>
    <xf numFmtId="175" fontId="0" fillId="0" borderId="16" xfId="0" applyNumberFormat="1" applyBorder="1" applyAlignment="1">
      <alignment horizontal="center"/>
    </xf>
    <xf numFmtId="175" fontId="0" fillId="0" borderId="15" xfId="0" applyNumberFormat="1" applyBorder="1" applyAlignment="1">
      <alignment horizontal="center"/>
    </xf>
    <xf numFmtId="175" fontId="0" fillId="0" borderId="48" xfId="0" applyNumberFormat="1" applyBorder="1" applyAlignment="1">
      <alignment horizontal="center"/>
    </xf>
    <xf numFmtId="175" fontId="0" fillId="0" borderId="18" xfId="0" applyNumberFormat="1" applyBorder="1" applyAlignment="1">
      <alignment horizontal="center"/>
    </xf>
    <xf numFmtId="0" fontId="16" fillId="34" borderId="0" xfId="0" applyFont="1" applyFill="1" applyAlignment="1">
      <alignment textRotation="90" wrapText="1"/>
    </xf>
    <xf numFmtId="0" fontId="59" fillId="34" borderId="0" xfId="0" applyFont="1" applyFill="1"/>
    <xf numFmtId="0" fontId="60" fillId="34" borderId="0" xfId="0" applyFont="1" applyFill="1"/>
    <xf numFmtId="0" fontId="62" fillId="34" borderId="0" xfId="0" applyFont="1" applyFill="1" applyAlignment="1">
      <alignment vertical="center"/>
    </xf>
    <xf numFmtId="0" fontId="0" fillId="34" borderId="0" xfId="0" applyFill="1" applyAlignment="1">
      <alignment horizontal="center" vertical="center" wrapText="1"/>
    </xf>
    <xf numFmtId="0" fontId="0" fillId="34" borderId="0" xfId="0" applyFill="1" applyAlignment="1">
      <alignment horizontal="center" vertical="center"/>
    </xf>
    <xf numFmtId="0" fontId="0" fillId="33" borderId="89" xfId="0" applyFill="1" applyBorder="1" applyAlignment="1" applyProtection="1">
      <alignment horizontal="center" vertical="center"/>
      <protection locked="0"/>
    </xf>
    <xf numFmtId="0" fontId="0" fillId="33" borderId="90" xfId="0" applyFill="1" applyBorder="1" applyAlignment="1" applyProtection="1">
      <alignment horizontal="center" vertical="center" indent="1"/>
      <protection locked="0"/>
    </xf>
    <xf numFmtId="0" fontId="0" fillId="33" borderId="91" xfId="0" applyFill="1" applyBorder="1" applyAlignment="1" applyProtection="1">
      <alignment horizontal="center" vertical="center"/>
      <protection locked="0"/>
    </xf>
    <xf numFmtId="0" fontId="0" fillId="33" borderId="92" xfId="0" applyFill="1" applyBorder="1" applyAlignment="1" applyProtection="1">
      <alignment horizontal="center" vertical="center" indent="1"/>
      <protection locked="0"/>
    </xf>
    <xf numFmtId="0" fontId="0" fillId="33" borderId="93" xfId="0" applyFill="1" applyBorder="1" applyAlignment="1" applyProtection="1">
      <alignment horizontal="center" vertical="center"/>
      <protection locked="0"/>
    </xf>
    <xf numFmtId="2" fontId="0" fillId="33" borderId="94" xfId="0" applyNumberFormat="1" applyFill="1" applyBorder="1" applyAlignment="1" applyProtection="1">
      <alignment horizontal="center" vertical="center"/>
      <protection locked="0"/>
    </xf>
    <xf numFmtId="2" fontId="0" fillId="33" borderId="95" xfId="0" applyNumberFormat="1" applyFill="1" applyBorder="1" applyAlignment="1" applyProtection="1">
      <alignment horizontal="left" vertical="center" indent="1"/>
      <protection locked="0"/>
    </xf>
    <xf numFmtId="2" fontId="0" fillId="33" borderId="94" xfId="0" applyNumberFormat="1" applyFill="1" applyBorder="1" applyAlignment="1" applyProtection="1">
      <alignment horizontal="left" vertical="center" indent="1"/>
      <protection locked="0"/>
    </xf>
    <xf numFmtId="0" fontId="0" fillId="33" borderId="96" xfId="0" applyFill="1" applyBorder="1" applyAlignment="1" applyProtection="1">
      <alignment horizontal="center" vertical="center" indent="1"/>
      <protection locked="0"/>
    </xf>
    <xf numFmtId="0" fontId="16" fillId="34" borderId="0" xfId="0" applyFont="1" applyFill="1" applyAlignment="1">
      <alignment horizontal="center" vertical="center"/>
    </xf>
    <xf numFmtId="0" fontId="0" fillId="34" borderId="0" xfId="0" applyFill="1" applyAlignment="1">
      <alignment horizontal="left" vertical="center" indent="1"/>
    </xf>
    <xf numFmtId="0" fontId="0" fillId="34" borderId="0" xfId="0" applyFill="1" applyAlignment="1" applyProtection="1">
      <alignment horizontal="left" vertical="center" indent="1"/>
      <protection locked="0"/>
    </xf>
    <xf numFmtId="0" fontId="13" fillId="74" borderId="10" xfId="0" applyFont="1" applyFill="1" applyBorder="1" applyAlignment="1">
      <alignment vertical="center" wrapText="1"/>
    </xf>
    <xf numFmtId="0" fontId="17" fillId="74" borderId="31" xfId="0" applyFont="1" applyFill="1" applyBorder="1" applyAlignment="1">
      <alignment horizontal="left" vertical="center" indent="1"/>
    </xf>
    <xf numFmtId="0" fontId="17" fillId="74" borderId="16" xfId="0" applyFont="1" applyFill="1" applyBorder="1" applyAlignment="1">
      <alignment horizontal="left" vertical="center" indent="1"/>
    </xf>
    <xf numFmtId="0" fontId="17" fillId="74" borderId="48" xfId="0" applyFont="1" applyFill="1" applyBorder="1" applyAlignment="1">
      <alignment horizontal="left" vertical="center" indent="1"/>
    </xf>
    <xf numFmtId="0" fontId="17" fillId="74" borderId="54" xfId="0" applyFont="1" applyFill="1" applyBorder="1" applyAlignment="1">
      <alignment horizontal="left" vertical="center" indent="1"/>
    </xf>
    <xf numFmtId="0" fontId="17" fillId="74" borderId="86" xfId="0" applyFont="1" applyFill="1" applyBorder="1" applyAlignment="1">
      <alignment horizontal="left" vertical="center" indent="1"/>
    </xf>
    <xf numFmtId="0" fontId="17" fillId="74" borderId="87" xfId="0" applyFont="1" applyFill="1" applyBorder="1" applyAlignment="1">
      <alignment horizontal="left" vertical="center" indent="1"/>
    </xf>
    <xf numFmtId="0" fontId="17" fillId="74" borderId="88" xfId="0" applyFont="1" applyFill="1" applyBorder="1" applyAlignment="1">
      <alignment horizontal="left" vertical="center" indent="1"/>
    </xf>
    <xf numFmtId="0" fontId="13" fillId="74" borderId="10" xfId="0" applyFont="1" applyFill="1" applyBorder="1" applyAlignment="1">
      <alignment horizontal="center" vertical="center"/>
    </xf>
    <xf numFmtId="4" fontId="16" fillId="35" borderId="11" xfId="1" applyNumberFormat="1" applyFont="1" applyFill="1" applyBorder="1" applyAlignment="1">
      <alignment horizontal="center" vertical="center"/>
    </xf>
    <xf numFmtId="4" fontId="16" fillId="35" borderId="10" xfId="1" applyNumberFormat="1" applyFont="1" applyFill="1" applyBorder="1" applyAlignment="1">
      <alignment horizontal="center" vertical="center"/>
    </xf>
    <xf numFmtId="4" fontId="16" fillId="60" borderId="10" xfId="1" applyNumberFormat="1" applyFont="1" applyFill="1" applyBorder="1" applyAlignment="1">
      <alignment horizontal="center" vertical="center"/>
    </xf>
    <xf numFmtId="172" fontId="16" fillId="35" borderId="10" xfId="1" applyNumberFormat="1" applyFont="1" applyFill="1" applyBorder="1" applyAlignment="1">
      <alignment horizontal="center" vertical="center"/>
    </xf>
    <xf numFmtId="175" fontId="16" fillId="35" borderId="10" xfId="1998" applyNumberFormat="1" applyFont="1" applyFill="1" applyBorder="1" applyAlignment="1">
      <alignment horizontal="center" vertical="center"/>
    </xf>
    <xf numFmtId="0" fontId="17" fillId="74" borderId="55" xfId="0" applyFont="1" applyFill="1" applyBorder="1" applyAlignment="1">
      <alignment horizontal="left" vertical="center" indent="1"/>
    </xf>
    <xf numFmtId="0" fontId="17" fillId="74" borderId="56" xfId="0" applyFont="1" applyFill="1" applyBorder="1" applyAlignment="1">
      <alignment horizontal="left" vertical="center" indent="1"/>
    </xf>
    <xf numFmtId="0" fontId="17" fillId="74" borderId="57" xfId="0" applyFont="1" applyFill="1" applyBorder="1" applyAlignment="1">
      <alignment horizontal="left" vertical="center" indent="1"/>
    </xf>
    <xf numFmtId="0" fontId="13" fillId="74" borderId="50" xfId="0" applyFont="1" applyFill="1" applyBorder="1" applyAlignment="1">
      <alignment horizontal="center" vertical="center" wrapText="1"/>
    </xf>
    <xf numFmtId="0" fontId="13" fillId="74" borderId="40" xfId="0" applyFont="1" applyFill="1" applyBorder="1" applyAlignment="1">
      <alignment horizontal="center" vertical="center" wrapText="1"/>
    </xf>
    <xf numFmtId="0" fontId="13" fillId="74" borderId="41" xfId="0" applyFont="1" applyFill="1" applyBorder="1" applyAlignment="1">
      <alignment horizontal="center" vertical="center" wrapText="1"/>
    </xf>
    <xf numFmtId="0" fontId="0" fillId="34" borderId="0" xfId="0" applyFill="1" applyAlignment="1" applyProtection="1">
      <alignment horizontal="center" vertical="center"/>
      <protection locked="0"/>
    </xf>
    <xf numFmtId="0" fontId="0" fillId="64" borderId="89" xfId="0" applyFill="1" applyBorder="1" applyAlignment="1" applyProtection="1">
      <alignment horizontal="center" vertical="center"/>
      <protection locked="0"/>
    </xf>
    <xf numFmtId="0" fontId="0" fillId="64" borderId="90" xfId="0" applyFill="1" applyBorder="1" applyAlignment="1" applyProtection="1">
      <alignment horizontal="center" vertical="center" indent="1"/>
      <protection locked="0"/>
    </xf>
    <xf numFmtId="0" fontId="0" fillId="64" borderId="91" xfId="0" applyFill="1" applyBorder="1" applyAlignment="1" applyProtection="1">
      <alignment horizontal="center" vertical="center"/>
      <protection locked="0"/>
    </xf>
    <xf numFmtId="0" fontId="0" fillId="64" borderId="92" xfId="0" applyFill="1" applyBorder="1" applyAlignment="1" applyProtection="1">
      <alignment horizontal="center" vertical="center" indent="1"/>
      <protection locked="0"/>
    </xf>
    <xf numFmtId="0" fontId="0" fillId="64" borderId="93" xfId="0" applyFill="1" applyBorder="1" applyAlignment="1" applyProtection="1">
      <alignment horizontal="center" vertical="center"/>
      <protection locked="0"/>
    </xf>
    <xf numFmtId="2" fontId="0" fillId="64" borderId="94" xfId="0" applyNumberFormat="1" applyFill="1" applyBorder="1" applyAlignment="1" applyProtection="1">
      <alignment horizontal="center" vertical="center"/>
      <protection locked="0"/>
    </xf>
    <xf numFmtId="2" fontId="0" fillId="64" borderId="95" xfId="0" applyNumberFormat="1" applyFill="1" applyBorder="1" applyAlignment="1" applyProtection="1">
      <alignment horizontal="center" vertical="center" indent="1"/>
      <protection locked="0"/>
    </xf>
    <xf numFmtId="2" fontId="0" fillId="64" borderId="94" xfId="0" applyNumberFormat="1" applyFill="1" applyBorder="1" applyAlignment="1" applyProtection="1">
      <alignment horizontal="center" vertical="center" indent="1"/>
      <protection locked="0"/>
    </xf>
    <xf numFmtId="0" fontId="0" fillId="64" borderId="96" xfId="0" applyFill="1" applyBorder="1" applyAlignment="1" applyProtection="1">
      <alignment horizontal="center" vertical="center" indent="1"/>
      <protection locked="0"/>
    </xf>
    <xf numFmtId="0" fontId="61" fillId="34" borderId="0" xfId="0" applyFont="1" applyFill="1" applyAlignment="1">
      <alignment vertical="top"/>
    </xf>
    <xf numFmtId="9" fontId="0" fillId="0" borderId="0" xfId="0" applyNumberFormat="1" applyAlignment="1">
      <alignment horizontal="center" vertical="center"/>
    </xf>
    <xf numFmtId="6" fontId="0" fillId="0" borderId="0" xfId="0" applyNumberFormat="1" applyAlignment="1">
      <alignment horizontal="center" vertical="center"/>
    </xf>
    <xf numFmtId="0" fontId="17" fillId="34" borderId="0" xfId="0" applyFont="1" applyFill="1" applyAlignment="1">
      <alignment horizontal="left" vertical="center" indent="1"/>
    </xf>
    <xf numFmtId="14" fontId="0" fillId="34" borderId="0" xfId="0" applyNumberFormat="1" applyFill="1" applyAlignment="1" applyProtection="1">
      <alignment horizontal="left" vertical="center" indent="1"/>
      <protection locked="0"/>
    </xf>
    <xf numFmtId="0" fontId="16" fillId="34" borderId="36" xfId="0" applyFont="1" applyFill="1" applyBorder="1" applyAlignment="1">
      <alignment horizontal="center" vertical="center"/>
    </xf>
    <xf numFmtId="0" fontId="16" fillId="34" borderId="32" xfId="0" applyFont="1" applyFill="1" applyBorder="1" applyAlignment="1">
      <alignment horizontal="center" vertical="center"/>
    </xf>
    <xf numFmtId="0" fontId="16" fillId="34" borderId="97" xfId="0" applyFont="1" applyFill="1" applyBorder="1" applyAlignment="1">
      <alignment horizontal="center" vertical="center"/>
    </xf>
    <xf numFmtId="14" fontId="0" fillId="33" borderId="17" xfId="0" applyNumberFormat="1" applyFill="1" applyBorder="1" applyAlignment="1" applyProtection="1">
      <alignment horizontal="left" vertical="center" indent="1"/>
      <protection locked="0"/>
    </xf>
    <xf numFmtId="0" fontId="0" fillId="33" borderId="18" xfId="0" applyFill="1" applyBorder="1" applyAlignment="1" applyProtection="1">
      <alignment horizontal="left" vertical="center" indent="1"/>
      <protection locked="0"/>
    </xf>
    <xf numFmtId="0" fontId="0" fillId="33" borderId="10" xfId="0" applyFill="1" applyBorder="1" applyAlignment="1" applyProtection="1">
      <alignment horizontal="left" vertical="center" indent="1"/>
      <protection locked="0"/>
    </xf>
    <xf numFmtId="0" fontId="0" fillId="33" borderId="15" xfId="0" applyFill="1" applyBorder="1" applyAlignment="1" applyProtection="1">
      <alignment horizontal="left" vertical="center" indent="1"/>
      <protection locked="0"/>
    </xf>
    <xf numFmtId="0" fontId="0" fillId="33" borderId="62" xfId="0" applyFill="1" applyBorder="1" applyAlignment="1" applyProtection="1">
      <alignment horizontal="center" vertical="top" wrapText="1" indent="1"/>
      <protection locked="0"/>
    </xf>
    <xf numFmtId="0" fontId="0" fillId="33" borderId="63" xfId="0" applyFill="1" applyBorder="1" applyAlignment="1" applyProtection="1">
      <alignment horizontal="center" vertical="top" wrapText="1" indent="1"/>
      <protection locked="0"/>
    </xf>
    <xf numFmtId="0" fontId="0" fillId="33" borderId="64" xfId="0" applyFill="1" applyBorder="1" applyAlignment="1" applyProtection="1">
      <alignment horizontal="center" vertical="top" wrapText="1" indent="1"/>
      <protection locked="0"/>
    </xf>
    <xf numFmtId="0" fontId="0" fillId="33" borderId="65" xfId="0" applyFill="1" applyBorder="1" applyAlignment="1" applyProtection="1">
      <alignment horizontal="center" vertical="top" wrapText="1" indent="1"/>
      <protection locked="0"/>
    </xf>
    <xf numFmtId="0" fontId="0" fillId="33" borderId="0" xfId="0" applyFill="1" applyAlignment="1" applyProtection="1">
      <alignment horizontal="center" vertical="top" wrapText="1" indent="1"/>
      <protection locked="0"/>
    </xf>
    <xf numFmtId="0" fontId="0" fillId="33" borderId="66" xfId="0" applyFill="1" applyBorder="1" applyAlignment="1" applyProtection="1">
      <alignment horizontal="center" vertical="top" wrapText="1" indent="1"/>
      <protection locked="0"/>
    </xf>
    <xf numFmtId="0" fontId="0" fillId="33" borderId="67" xfId="0" applyFill="1" applyBorder="1" applyAlignment="1" applyProtection="1">
      <alignment horizontal="center" vertical="top" wrapText="1" indent="1"/>
      <protection locked="0"/>
    </xf>
    <xf numFmtId="0" fontId="0" fillId="33" borderId="68" xfId="0" applyFill="1" applyBorder="1" applyAlignment="1" applyProtection="1">
      <alignment horizontal="center" vertical="top" wrapText="1" indent="1"/>
      <protection locked="0"/>
    </xf>
    <xf numFmtId="0" fontId="0" fillId="33" borderId="69" xfId="0" applyFill="1" applyBorder="1" applyAlignment="1" applyProtection="1">
      <alignment horizontal="center" vertical="top" wrapText="1" indent="1"/>
      <protection locked="0"/>
    </xf>
    <xf numFmtId="0" fontId="61" fillId="34" borderId="0" xfId="0" applyFont="1" applyFill="1" applyAlignment="1">
      <alignment horizontal="left" vertical="top" wrapText="1"/>
    </xf>
    <xf numFmtId="0" fontId="0" fillId="33" borderId="12" xfId="0" applyFill="1" applyBorder="1" applyAlignment="1" applyProtection="1">
      <alignment horizontal="left" vertical="center" indent="1"/>
      <protection locked="0"/>
    </xf>
    <xf numFmtId="0" fontId="0" fillId="33" borderId="13" xfId="0" applyFill="1" applyBorder="1" applyAlignment="1" applyProtection="1">
      <alignment horizontal="left" vertical="center" indent="1"/>
      <protection locked="0"/>
    </xf>
    <xf numFmtId="14" fontId="0" fillId="33" borderId="10" xfId="0" applyNumberFormat="1" applyFill="1" applyBorder="1" applyAlignment="1" applyProtection="1">
      <alignment horizontal="left" vertical="center" indent="1"/>
      <protection locked="0"/>
    </xf>
    <xf numFmtId="0" fontId="13" fillId="34" borderId="0" xfId="0" applyFont="1" applyFill="1" applyAlignment="1">
      <alignment horizontal="left" vertical="center" wrapText="1" indent="1"/>
    </xf>
    <xf numFmtId="49" fontId="16" fillId="34" borderId="32" xfId="0" applyNumberFormat="1" applyFont="1" applyFill="1" applyBorder="1" applyAlignment="1">
      <alignment horizontal="center" vertical="center"/>
    </xf>
    <xf numFmtId="49" fontId="16" fillId="34" borderId="38" xfId="0" applyNumberFormat="1" applyFont="1" applyFill="1" applyBorder="1" applyAlignment="1">
      <alignment horizontal="center" vertical="center"/>
    </xf>
    <xf numFmtId="0" fontId="16" fillId="34" borderId="30"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13" fillId="74" borderId="43" xfId="0" applyFont="1" applyFill="1" applyBorder="1" applyAlignment="1">
      <alignment horizontal="center" vertical="center"/>
    </xf>
    <xf numFmtId="0" fontId="13" fillId="74" borderId="44" xfId="0" applyFont="1" applyFill="1" applyBorder="1" applyAlignment="1">
      <alignment horizontal="center" vertical="center"/>
    </xf>
    <xf numFmtId="0" fontId="13" fillId="74" borderId="45" xfId="0" applyFont="1" applyFill="1" applyBorder="1" applyAlignment="1">
      <alignment horizontal="center" vertical="center"/>
    </xf>
    <xf numFmtId="9" fontId="0" fillId="33" borderId="10" xfId="0" applyNumberFormat="1" applyFill="1" applyBorder="1" applyAlignment="1" applyProtection="1">
      <alignment horizontal="left" vertical="center" indent="1"/>
      <protection locked="0"/>
    </xf>
    <xf numFmtId="0" fontId="0" fillId="33" borderId="17" xfId="0" applyFill="1" applyBorder="1" applyAlignment="1" applyProtection="1">
      <alignment horizontal="left" vertical="center" indent="1"/>
      <protection locked="0"/>
    </xf>
    <xf numFmtId="0" fontId="16" fillId="34" borderId="38" xfId="0" applyFont="1" applyFill="1" applyBorder="1" applyAlignment="1">
      <alignment horizontal="center" vertical="center"/>
    </xf>
    <xf numFmtId="0" fontId="0" fillId="33" borderId="14" xfId="0" applyFill="1" applyBorder="1" applyAlignment="1" applyProtection="1">
      <alignment horizontal="left" vertical="center" indent="1"/>
      <protection locked="0"/>
    </xf>
    <xf numFmtId="0" fontId="0" fillId="33" borderId="70" xfId="0" applyFill="1" applyBorder="1" applyAlignment="1" applyProtection="1">
      <alignment horizontal="left" vertical="center" indent="1"/>
      <protection locked="0"/>
    </xf>
    <xf numFmtId="0" fontId="0" fillId="72" borderId="0" xfId="0" applyFill="1" applyAlignment="1">
      <alignment horizontal="center" vertical="top"/>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73" borderId="36" xfId="0" applyFont="1" applyFill="1" applyBorder="1" applyAlignment="1">
      <alignment horizontal="center"/>
    </xf>
    <xf numFmtId="0" fontId="16" fillId="73" borderId="33" xfId="0" applyFont="1" applyFill="1" applyBorder="1" applyAlignment="1">
      <alignment horizontal="center"/>
    </xf>
    <xf numFmtId="0" fontId="16" fillId="73" borderId="34" xfId="0" applyFont="1" applyFill="1" applyBorder="1" applyAlignment="1">
      <alignment horizontal="center"/>
    </xf>
    <xf numFmtId="0" fontId="16" fillId="64" borderId="0" xfId="0" applyFont="1" applyFill="1" applyAlignment="1">
      <alignment horizontal="center"/>
    </xf>
    <xf numFmtId="9" fontId="17" fillId="34" borderId="0" xfId="0" applyNumberFormat="1" applyFont="1" applyFill="1" applyAlignment="1">
      <alignment horizontal="left" vertical="center" wrapText="1"/>
    </xf>
    <xf numFmtId="0" fontId="16" fillId="34" borderId="30" xfId="0" applyFont="1" applyFill="1" applyBorder="1" applyAlignment="1">
      <alignment horizontal="center" vertical="center"/>
    </xf>
    <xf numFmtId="49" fontId="16" fillId="34" borderId="35" xfId="0" applyNumberFormat="1" applyFont="1" applyFill="1" applyBorder="1" applyAlignment="1">
      <alignment horizontal="center" vertical="center"/>
    </xf>
    <xf numFmtId="49" fontId="16" fillId="34" borderId="42" xfId="0" applyNumberFormat="1" applyFont="1" applyFill="1" applyBorder="1" applyAlignment="1">
      <alignment horizontal="center" vertical="center"/>
    </xf>
    <xf numFmtId="0" fontId="16" fillId="34" borderId="35" xfId="0" applyFont="1" applyFill="1" applyBorder="1" applyAlignment="1">
      <alignment horizontal="center" vertical="center"/>
    </xf>
    <xf numFmtId="0" fontId="16" fillId="34" borderId="42" xfId="0" applyFont="1" applyFill="1" applyBorder="1" applyAlignment="1">
      <alignment horizontal="center" vertical="center"/>
    </xf>
    <xf numFmtId="0" fontId="0" fillId="63" borderId="10" xfId="0" applyFill="1" applyBorder="1" applyAlignment="1">
      <alignment horizontal="center" vertical="center" wrapText="1"/>
    </xf>
    <xf numFmtId="0" fontId="51" fillId="63" borderId="10" xfId="0" applyFont="1" applyFill="1" applyBorder="1" applyAlignment="1">
      <alignment horizontal="center" vertical="center" wrapText="1"/>
    </xf>
    <xf numFmtId="0" fontId="51" fillId="0" borderId="14" xfId="0" applyFont="1" applyBorder="1" applyAlignment="1">
      <alignment horizontal="center" vertical="center"/>
    </xf>
    <xf numFmtId="0" fontId="51" fillId="0" borderId="29" xfId="0" applyFont="1" applyBorder="1" applyAlignment="1">
      <alignment horizontal="center" vertical="center"/>
    </xf>
    <xf numFmtId="0" fontId="51" fillId="0" borderId="16" xfId="0" applyFont="1" applyBorder="1" applyAlignment="1">
      <alignment horizontal="center" vertical="center"/>
    </xf>
    <xf numFmtId="0" fontId="0" fillId="63" borderId="28" xfId="0" applyFill="1" applyBorder="1" applyAlignment="1">
      <alignment horizontal="center" vertical="center" wrapText="1"/>
    </xf>
    <xf numFmtId="0" fontId="0" fillId="63" borderId="49" xfId="0" applyFill="1" applyBorder="1" applyAlignment="1">
      <alignment horizontal="center" vertical="center" wrapText="1"/>
    </xf>
    <xf numFmtId="0" fontId="0" fillId="63" borderId="11" xfId="0" applyFill="1" applyBorder="1" applyAlignment="1">
      <alignment horizontal="center" vertical="center" wrapText="1"/>
    </xf>
    <xf numFmtId="0" fontId="16" fillId="65" borderId="51" xfId="0" applyFont="1" applyFill="1"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6" xfId="0" applyBorder="1" applyAlignment="1">
      <alignment horizontal="center" vertical="center"/>
    </xf>
    <xf numFmtId="0" fontId="0" fillId="36" borderId="32" xfId="0" applyFill="1" applyBorder="1" applyAlignment="1">
      <alignment horizontal="center" vertical="center" wrapText="1"/>
    </xf>
    <xf numFmtId="0" fontId="0" fillId="36" borderId="0" xfId="0" applyFill="1" applyAlignment="1">
      <alignment horizontal="center" vertical="center" wrapText="1"/>
    </xf>
    <xf numFmtId="0" fontId="49" fillId="34" borderId="0" xfId="43" applyFont="1" applyFill="1" applyAlignment="1" applyProtection="1">
      <alignment horizontal="left" vertical="center"/>
      <protection hidden="1"/>
    </xf>
  </cellXfs>
  <cellStyles count="2000">
    <cellStyle name="20% - Accent1" xfId="20" builtinId="30" customBuiltin="1"/>
    <cellStyle name="20% - Accent1 2" xfId="56" xr:uid="{00000000-0005-0000-0000-000001000000}"/>
    <cellStyle name="20% - Accent2" xfId="24" builtinId="34" customBuiltin="1"/>
    <cellStyle name="20% - Accent2 2" xfId="57" xr:uid="{00000000-0005-0000-0000-000003000000}"/>
    <cellStyle name="20% - Accent3" xfId="28" builtinId="38" customBuiltin="1"/>
    <cellStyle name="20% - Accent3 2" xfId="58" xr:uid="{00000000-0005-0000-0000-000005000000}"/>
    <cellStyle name="20% - Accent4" xfId="32" builtinId="42" customBuiltin="1"/>
    <cellStyle name="20% - Accent4 2" xfId="59" xr:uid="{00000000-0005-0000-0000-000007000000}"/>
    <cellStyle name="20% - Accent5" xfId="36" builtinId="46" customBuiltin="1"/>
    <cellStyle name="20% - Accent5 2" xfId="60" xr:uid="{00000000-0005-0000-0000-000009000000}"/>
    <cellStyle name="20% - Accent6" xfId="40" builtinId="50" customBuiltin="1"/>
    <cellStyle name="20% - Accent6 2" xfId="61" xr:uid="{00000000-0005-0000-0000-00000B000000}"/>
    <cellStyle name="40% - Accent1" xfId="21" builtinId="31" customBuiltin="1"/>
    <cellStyle name="40% - Accent1 2" xfId="62" xr:uid="{00000000-0005-0000-0000-00000D000000}"/>
    <cellStyle name="40% - Accent2" xfId="25" builtinId="35" customBuiltin="1"/>
    <cellStyle name="40% - Accent2 2" xfId="63" xr:uid="{00000000-0005-0000-0000-00000F000000}"/>
    <cellStyle name="40% - Accent3" xfId="29" builtinId="39" customBuiltin="1"/>
    <cellStyle name="40% - Accent3 2" xfId="64" xr:uid="{00000000-0005-0000-0000-000011000000}"/>
    <cellStyle name="40% - Accent4" xfId="33" builtinId="43" customBuiltin="1"/>
    <cellStyle name="40% - Accent4 2" xfId="65" xr:uid="{00000000-0005-0000-0000-000013000000}"/>
    <cellStyle name="40% - Accent5" xfId="37" builtinId="47" customBuiltin="1"/>
    <cellStyle name="40% - Accent5 2" xfId="66" xr:uid="{00000000-0005-0000-0000-000015000000}"/>
    <cellStyle name="40% - Accent6" xfId="41" builtinId="51" customBuiltin="1"/>
    <cellStyle name="40% - Accent6 2" xfId="67" xr:uid="{00000000-0005-0000-0000-000017000000}"/>
    <cellStyle name="60% - Accent1" xfId="22" builtinId="32" customBuiltin="1"/>
    <cellStyle name="60% - Accent1 2" xfId="68" xr:uid="{00000000-0005-0000-0000-000019000000}"/>
    <cellStyle name="60% - Accent2" xfId="26" builtinId="36" customBuiltin="1"/>
    <cellStyle name="60% - Accent2 2" xfId="69" xr:uid="{00000000-0005-0000-0000-00001B000000}"/>
    <cellStyle name="60% - Accent3" xfId="30" builtinId="40" customBuiltin="1"/>
    <cellStyle name="60% - Accent3 2" xfId="70" xr:uid="{00000000-0005-0000-0000-00001D000000}"/>
    <cellStyle name="60% - Accent4" xfId="34" builtinId="44" customBuiltin="1"/>
    <cellStyle name="60% - Accent4 2" xfId="71" xr:uid="{00000000-0005-0000-0000-00001F000000}"/>
    <cellStyle name="60% - Accent5" xfId="38" builtinId="48" customBuiltin="1"/>
    <cellStyle name="60% - Accent5 2" xfId="72" xr:uid="{00000000-0005-0000-0000-000021000000}"/>
    <cellStyle name="60% - Accent6" xfId="42" builtinId="52" customBuiltin="1"/>
    <cellStyle name="60% - Accent6 2" xfId="73" xr:uid="{00000000-0005-0000-0000-000023000000}"/>
    <cellStyle name="Accent1" xfId="19" builtinId="29" customBuiltin="1"/>
    <cellStyle name="Accent1 2" xfId="74" xr:uid="{00000000-0005-0000-0000-000025000000}"/>
    <cellStyle name="Accent2" xfId="23" builtinId="33" customBuiltin="1"/>
    <cellStyle name="Accent2 2" xfId="75" xr:uid="{00000000-0005-0000-0000-000027000000}"/>
    <cellStyle name="Accent3" xfId="27" builtinId="37" customBuiltin="1"/>
    <cellStyle name="Accent3 2" xfId="76" xr:uid="{00000000-0005-0000-0000-000029000000}"/>
    <cellStyle name="Accent4" xfId="31" builtinId="41" customBuiltin="1"/>
    <cellStyle name="Accent4 2" xfId="77" xr:uid="{00000000-0005-0000-0000-00002B000000}"/>
    <cellStyle name="Accent5" xfId="35" builtinId="45" customBuiltin="1"/>
    <cellStyle name="Accent5 2" xfId="78" xr:uid="{00000000-0005-0000-0000-00002D000000}"/>
    <cellStyle name="Accent6" xfId="39" builtinId="49" customBuiltin="1"/>
    <cellStyle name="Accent6 2" xfId="79" xr:uid="{00000000-0005-0000-0000-00002F000000}"/>
    <cellStyle name="Bad" xfId="8" builtinId="27" customBuiltin="1"/>
    <cellStyle name="Bad 2" xfId="80" xr:uid="{00000000-0005-0000-0000-000031000000}"/>
    <cellStyle name="Calculation" xfId="12" builtinId="22" customBuiltin="1"/>
    <cellStyle name="Calculation 2" xfId="81" xr:uid="{00000000-0005-0000-0000-000033000000}"/>
    <cellStyle name="Check Cell" xfId="14" builtinId="23" customBuiltin="1"/>
    <cellStyle name="Check Cell 2" xfId="82" xr:uid="{00000000-0005-0000-0000-000035000000}"/>
    <cellStyle name="Comma" xfId="1" builtinId="3"/>
    <cellStyle name="Comma 2" xfId="45" xr:uid="{00000000-0005-0000-0000-000037000000}"/>
    <cellStyle name="Comma 2 2" xfId="46" xr:uid="{00000000-0005-0000-0000-000038000000}"/>
    <cellStyle name="Comma 3" xfId="47" xr:uid="{00000000-0005-0000-0000-000039000000}"/>
    <cellStyle name="Comma 4" xfId="48" xr:uid="{00000000-0005-0000-0000-00003A000000}"/>
    <cellStyle name="Comma 5" xfId="44" xr:uid="{00000000-0005-0000-0000-00003B000000}"/>
    <cellStyle name="Currency" xfId="1998" builtinId="4"/>
    <cellStyle name="Currency 2" xfId="83" xr:uid="{00000000-0005-0000-0000-00003C000000}"/>
    <cellStyle name="Currency 3" xfId="84" xr:uid="{00000000-0005-0000-0000-00003D000000}"/>
    <cellStyle name="Explanatory Text" xfId="17" builtinId="53" customBuiltin="1"/>
    <cellStyle name="Explanatory Text 2" xfId="85" xr:uid="{00000000-0005-0000-0000-00003F000000}"/>
    <cellStyle name="Good" xfId="7" builtinId="26" customBuiltin="1"/>
    <cellStyle name="Good 2" xfId="86" xr:uid="{00000000-0005-0000-0000-000041000000}"/>
    <cellStyle name="Heading 1" xfId="3" builtinId="16" customBuiltin="1"/>
    <cellStyle name="Heading 1 2" xfId="87" xr:uid="{00000000-0005-0000-0000-000043000000}"/>
    <cellStyle name="Heading 2" xfId="4" builtinId="17" customBuiltin="1"/>
    <cellStyle name="Heading 2 2" xfId="88" xr:uid="{00000000-0005-0000-0000-000045000000}"/>
    <cellStyle name="Heading 3" xfId="5" builtinId="18" customBuiltin="1"/>
    <cellStyle name="Heading 3 2" xfId="89" xr:uid="{00000000-0005-0000-0000-000047000000}"/>
    <cellStyle name="Heading 4" xfId="6" builtinId="19" customBuiltin="1"/>
    <cellStyle name="Heading 4 2" xfId="90" xr:uid="{00000000-0005-0000-0000-000049000000}"/>
    <cellStyle name="Input" xfId="10" builtinId="20" customBuiltin="1"/>
    <cellStyle name="Input 2" xfId="91" xr:uid="{00000000-0005-0000-0000-00004B000000}"/>
    <cellStyle name="Linked Cell" xfId="13" builtinId="24" customBuiltin="1"/>
    <cellStyle name="Linked Cell 2" xfId="92" xr:uid="{00000000-0005-0000-0000-00004D000000}"/>
    <cellStyle name="Neutral" xfId="9" builtinId="28" customBuiltin="1"/>
    <cellStyle name="Neutral 2" xfId="93" xr:uid="{00000000-0005-0000-0000-00004F000000}"/>
    <cellStyle name="Normal" xfId="0" builtinId="0"/>
    <cellStyle name="Normal 2" xfId="49" xr:uid="{00000000-0005-0000-0000-000051000000}"/>
    <cellStyle name="Normal 2 10" xfId="94" xr:uid="{00000000-0005-0000-0000-000052000000}"/>
    <cellStyle name="Normal 2 10 10" xfId="95" xr:uid="{00000000-0005-0000-0000-000053000000}"/>
    <cellStyle name="Normal 2 10 11" xfId="96" xr:uid="{00000000-0005-0000-0000-000054000000}"/>
    <cellStyle name="Normal 2 10 12" xfId="97" xr:uid="{00000000-0005-0000-0000-000055000000}"/>
    <cellStyle name="Normal 2 10 13" xfId="98" xr:uid="{00000000-0005-0000-0000-000056000000}"/>
    <cellStyle name="Normal 2 10 14" xfId="99" xr:uid="{00000000-0005-0000-0000-000057000000}"/>
    <cellStyle name="Normal 2 10 15" xfId="100" xr:uid="{00000000-0005-0000-0000-000058000000}"/>
    <cellStyle name="Normal 2 10 16" xfId="101" xr:uid="{00000000-0005-0000-0000-000059000000}"/>
    <cellStyle name="Normal 2 10 17" xfId="102" xr:uid="{00000000-0005-0000-0000-00005A000000}"/>
    <cellStyle name="Normal 2 10 18" xfId="103" xr:uid="{00000000-0005-0000-0000-00005B000000}"/>
    <cellStyle name="Normal 2 10 19" xfId="104" xr:uid="{00000000-0005-0000-0000-00005C000000}"/>
    <cellStyle name="Normal 2 10 2" xfId="105" xr:uid="{00000000-0005-0000-0000-00005D000000}"/>
    <cellStyle name="Normal 2 10 20" xfId="106" xr:uid="{00000000-0005-0000-0000-00005E000000}"/>
    <cellStyle name="Normal 2 10 21" xfId="107" xr:uid="{00000000-0005-0000-0000-00005F000000}"/>
    <cellStyle name="Normal 2 10 22" xfId="108" xr:uid="{00000000-0005-0000-0000-000060000000}"/>
    <cellStyle name="Normal 2 10 23" xfId="109" xr:uid="{00000000-0005-0000-0000-000061000000}"/>
    <cellStyle name="Normal 2 10 3" xfId="110" xr:uid="{00000000-0005-0000-0000-000062000000}"/>
    <cellStyle name="Normal 2 10 4" xfId="111" xr:uid="{00000000-0005-0000-0000-000063000000}"/>
    <cellStyle name="Normal 2 10 5" xfId="112" xr:uid="{00000000-0005-0000-0000-000064000000}"/>
    <cellStyle name="Normal 2 10 6" xfId="113" xr:uid="{00000000-0005-0000-0000-000065000000}"/>
    <cellStyle name="Normal 2 10 7" xfId="114" xr:uid="{00000000-0005-0000-0000-000066000000}"/>
    <cellStyle name="Normal 2 10 8" xfId="115" xr:uid="{00000000-0005-0000-0000-000067000000}"/>
    <cellStyle name="Normal 2 10 9" xfId="116" xr:uid="{00000000-0005-0000-0000-000068000000}"/>
    <cellStyle name="Normal 2 11" xfId="117" xr:uid="{00000000-0005-0000-0000-000069000000}"/>
    <cellStyle name="Normal 2 11 10" xfId="118" xr:uid="{00000000-0005-0000-0000-00006A000000}"/>
    <cellStyle name="Normal 2 11 11" xfId="119" xr:uid="{00000000-0005-0000-0000-00006B000000}"/>
    <cellStyle name="Normal 2 11 12" xfId="120" xr:uid="{00000000-0005-0000-0000-00006C000000}"/>
    <cellStyle name="Normal 2 11 13" xfId="121" xr:uid="{00000000-0005-0000-0000-00006D000000}"/>
    <cellStyle name="Normal 2 11 14" xfId="122" xr:uid="{00000000-0005-0000-0000-00006E000000}"/>
    <cellStyle name="Normal 2 11 15" xfId="123" xr:uid="{00000000-0005-0000-0000-00006F000000}"/>
    <cellStyle name="Normal 2 11 16" xfId="124" xr:uid="{00000000-0005-0000-0000-000070000000}"/>
    <cellStyle name="Normal 2 11 17" xfId="125" xr:uid="{00000000-0005-0000-0000-000071000000}"/>
    <cellStyle name="Normal 2 11 18" xfId="126" xr:uid="{00000000-0005-0000-0000-000072000000}"/>
    <cellStyle name="Normal 2 11 19" xfId="127" xr:uid="{00000000-0005-0000-0000-000073000000}"/>
    <cellStyle name="Normal 2 11 2" xfId="128" xr:uid="{00000000-0005-0000-0000-000074000000}"/>
    <cellStyle name="Normal 2 11 20" xfId="129" xr:uid="{00000000-0005-0000-0000-000075000000}"/>
    <cellStyle name="Normal 2 11 21" xfId="130" xr:uid="{00000000-0005-0000-0000-000076000000}"/>
    <cellStyle name="Normal 2 11 22" xfId="131" xr:uid="{00000000-0005-0000-0000-000077000000}"/>
    <cellStyle name="Normal 2 11 23" xfId="132" xr:uid="{00000000-0005-0000-0000-000078000000}"/>
    <cellStyle name="Normal 2 11 3" xfId="133" xr:uid="{00000000-0005-0000-0000-000079000000}"/>
    <cellStyle name="Normal 2 11 4" xfId="134" xr:uid="{00000000-0005-0000-0000-00007A000000}"/>
    <cellStyle name="Normal 2 11 5" xfId="135" xr:uid="{00000000-0005-0000-0000-00007B000000}"/>
    <cellStyle name="Normal 2 11 6" xfId="136" xr:uid="{00000000-0005-0000-0000-00007C000000}"/>
    <cellStyle name="Normal 2 11 7" xfId="137" xr:uid="{00000000-0005-0000-0000-00007D000000}"/>
    <cellStyle name="Normal 2 11 8" xfId="138" xr:uid="{00000000-0005-0000-0000-00007E000000}"/>
    <cellStyle name="Normal 2 11 9" xfId="139" xr:uid="{00000000-0005-0000-0000-00007F000000}"/>
    <cellStyle name="Normal 2 12" xfId="140" xr:uid="{00000000-0005-0000-0000-000080000000}"/>
    <cellStyle name="Normal 2 12 10" xfId="141" xr:uid="{00000000-0005-0000-0000-000081000000}"/>
    <cellStyle name="Normal 2 12 11" xfId="142" xr:uid="{00000000-0005-0000-0000-000082000000}"/>
    <cellStyle name="Normal 2 12 12" xfId="143" xr:uid="{00000000-0005-0000-0000-000083000000}"/>
    <cellStyle name="Normal 2 12 13" xfId="144" xr:uid="{00000000-0005-0000-0000-000084000000}"/>
    <cellStyle name="Normal 2 12 14" xfId="145" xr:uid="{00000000-0005-0000-0000-000085000000}"/>
    <cellStyle name="Normal 2 12 15" xfId="146" xr:uid="{00000000-0005-0000-0000-000086000000}"/>
    <cellStyle name="Normal 2 12 16" xfId="147" xr:uid="{00000000-0005-0000-0000-000087000000}"/>
    <cellStyle name="Normal 2 12 17" xfId="148" xr:uid="{00000000-0005-0000-0000-000088000000}"/>
    <cellStyle name="Normal 2 12 18" xfId="149" xr:uid="{00000000-0005-0000-0000-000089000000}"/>
    <cellStyle name="Normal 2 12 19" xfId="150" xr:uid="{00000000-0005-0000-0000-00008A000000}"/>
    <cellStyle name="Normal 2 12 2" xfId="151" xr:uid="{00000000-0005-0000-0000-00008B000000}"/>
    <cellStyle name="Normal 2 12 20" xfId="152" xr:uid="{00000000-0005-0000-0000-00008C000000}"/>
    <cellStyle name="Normal 2 12 21" xfId="153" xr:uid="{00000000-0005-0000-0000-00008D000000}"/>
    <cellStyle name="Normal 2 12 22" xfId="154" xr:uid="{00000000-0005-0000-0000-00008E000000}"/>
    <cellStyle name="Normal 2 12 23" xfId="155" xr:uid="{00000000-0005-0000-0000-00008F000000}"/>
    <cellStyle name="Normal 2 12 3" xfId="156" xr:uid="{00000000-0005-0000-0000-000090000000}"/>
    <cellStyle name="Normal 2 12 4" xfId="157" xr:uid="{00000000-0005-0000-0000-000091000000}"/>
    <cellStyle name="Normal 2 12 5" xfId="158" xr:uid="{00000000-0005-0000-0000-000092000000}"/>
    <cellStyle name="Normal 2 12 6" xfId="159" xr:uid="{00000000-0005-0000-0000-000093000000}"/>
    <cellStyle name="Normal 2 12 7" xfId="160" xr:uid="{00000000-0005-0000-0000-000094000000}"/>
    <cellStyle name="Normal 2 12 8" xfId="161" xr:uid="{00000000-0005-0000-0000-000095000000}"/>
    <cellStyle name="Normal 2 12 9" xfId="162" xr:uid="{00000000-0005-0000-0000-000096000000}"/>
    <cellStyle name="Normal 2 13" xfId="163" xr:uid="{00000000-0005-0000-0000-000097000000}"/>
    <cellStyle name="Normal 2 13 10" xfId="164" xr:uid="{00000000-0005-0000-0000-000098000000}"/>
    <cellStyle name="Normal 2 13 11" xfId="165" xr:uid="{00000000-0005-0000-0000-000099000000}"/>
    <cellStyle name="Normal 2 13 12" xfId="166" xr:uid="{00000000-0005-0000-0000-00009A000000}"/>
    <cellStyle name="Normal 2 13 13" xfId="167" xr:uid="{00000000-0005-0000-0000-00009B000000}"/>
    <cellStyle name="Normal 2 13 14" xfId="168" xr:uid="{00000000-0005-0000-0000-00009C000000}"/>
    <cellStyle name="Normal 2 13 15" xfId="169" xr:uid="{00000000-0005-0000-0000-00009D000000}"/>
    <cellStyle name="Normal 2 13 16" xfId="170" xr:uid="{00000000-0005-0000-0000-00009E000000}"/>
    <cellStyle name="Normal 2 13 17" xfId="171" xr:uid="{00000000-0005-0000-0000-00009F000000}"/>
    <cellStyle name="Normal 2 13 18" xfId="172" xr:uid="{00000000-0005-0000-0000-0000A0000000}"/>
    <cellStyle name="Normal 2 13 19" xfId="173" xr:uid="{00000000-0005-0000-0000-0000A1000000}"/>
    <cellStyle name="Normal 2 13 2" xfId="174" xr:uid="{00000000-0005-0000-0000-0000A2000000}"/>
    <cellStyle name="Normal 2 13 20" xfId="175" xr:uid="{00000000-0005-0000-0000-0000A3000000}"/>
    <cellStyle name="Normal 2 13 21" xfId="176" xr:uid="{00000000-0005-0000-0000-0000A4000000}"/>
    <cellStyle name="Normal 2 13 22" xfId="177" xr:uid="{00000000-0005-0000-0000-0000A5000000}"/>
    <cellStyle name="Normal 2 13 23" xfId="178" xr:uid="{00000000-0005-0000-0000-0000A6000000}"/>
    <cellStyle name="Normal 2 13 3" xfId="179" xr:uid="{00000000-0005-0000-0000-0000A7000000}"/>
    <cellStyle name="Normal 2 13 4" xfId="180" xr:uid="{00000000-0005-0000-0000-0000A8000000}"/>
    <cellStyle name="Normal 2 13 5" xfId="181" xr:uid="{00000000-0005-0000-0000-0000A9000000}"/>
    <cellStyle name="Normal 2 13 6" xfId="182" xr:uid="{00000000-0005-0000-0000-0000AA000000}"/>
    <cellStyle name="Normal 2 13 7" xfId="183" xr:uid="{00000000-0005-0000-0000-0000AB000000}"/>
    <cellStyle name="Normal 2 13 8" xfId="184" xr:uid="{00000000-0005-0000-0000-0000AC000000}"/>
    <cellStyle name="Normal 2 13 9" xfId="185" xr:uid="{00000000-0005-0000-0000-0000AD000000}"/>
    <cellStyle name="Normal 2 14" xfId="186" xr:uid="{00000000-0005-0000-0000-0000AE000000}"/>
    <cellStyle name="Normal 2 14 10" xfId="187" xr:uid="{00000000-0005-0000-0000-0000AF000000}"/>
    <cellStyle name="Normal 2 14 11" xfId="188" xr:uid="{00000000-0005-0000-0000-0000B0000000}"/>
    <cellStyle name="Normal 2 14 12" xfId="189" xr:uid="{00000000-0005-0000-0000-0000B1000000}"/>
    <cellStyle name="Normal 2 14 13" xfId="190" xr:uid="{00000000-0005-0000-0000-0000B2000000}"/>
    <cellStyle name="Normal 2 14 14" xfId="191" xr:uid="{00000000-0005-0000-0000-0000B3000000}"/>
    <cellStyle name="Normal 2 14 15" xfId="192" xr:uid="{00000000-0005-0000-0000-0000B4000000}"/>
    <cellStyle name="Normal 2 14 16" xfId="193" xr:uid="{00000000-0005-0000-0000-0000B5000000}"/>
    <cellStyle name="Normal 2 14 17" xfId="194" xr:uid="{00000000-0005-0000-0000-0000B6000000}"/>
    <cellStyle name="Normal 2 14 18" xfId="195" xr:uid="{00000000-0005-0000-0000-0000B7000000}"/>
    <cellStyle name="Normal 2 14 19" xfId="196" xr:uid="{00000000-0005-0000-0000-0000B8000000}"/>
    <cellStyle name="Normal 2 14 2" xfId="197" xr:uid="{00000000-0005-0000-0000-0000B9000000}"/>
    <cellStyle name="Normal 2 14 20" xfId="198" xr:uid="{00000000-0005-0000-0000-0000BA000000}"/>
    <cellStyle name="Normal 2 14 21" xfId="199" xr:uid="{00000000-0005-0000-0000-0000BB000000}"/>
    <cellStyle name="Normal 2 14 22" xfId="200" xr:uid="{00000000-0005-0000-0000-0000BC000000}"/>
    <cellStyle name="Normal 2 14 23" xfId="201" xr:uid="{00000000-0005-0000-0000-0000BD000000}"/>
    <cellStyle name="Normal 2 14 3" xfId="202" xr:uid="{00000000-0005-0000-0000-0000BE000000}"/>
    <cellStyle name="Normal 2 14 4" xfId="203" xr:uid="{00000000-0005-0000-0000-0000BF000000}"/>
    <cellStyle name="Normal 2 14 5" xfId="204" xr:uid="{00000000-0005-0000-0000-0000C0000000}"/>
    <cellStyle name="Normal 2 14 6" xfId="205" xr:uid="{00000000-0005-0000-0000-0000C1000000}"/>
    <cellStyle name="Normal 2 14 7" xfId="206" xr:uid="{00000000-0005-0000-0000-0000C2000000}"/>
    <cellStyle name="Normal 2 14 8" xfId="207" xr:uid="{00000000-0005-0000-0000-0000C3000000}"/>
    <cellStyle name="Normal 2 14 9" xfId="208" xr:uid="{00000000-0005-0000-0000-0000C4000000}"/>
    <cellStyle name="Normal 2 15" xfId="209" xr:uid="{00000000-0005-0000-0000-0000C5000000}"/>
    <cellStyle name="Normal 2 15 10" xfId="210" xr:uid="{00000000-0005-0000-0000-0000C6000000}"/>
    <cellStyle name="Normal 2 15 11" xfId="211" xr:uid="{00000000-0005-0000-0000-0000C7000000}"/>
    <cellStyle name="Normal 2 15 12" xfId="212" xr:uid="{00000000-0005-0000-0000-0000C8000000}"/>
    <cellStyle name="Normal 2 15 13" xfId="213" xr:uid="{00000000-0005-0000-0000-0000C9000000}"/>
    <cellStyle name="Normal 2 15 14" xfId="214" xr:uid="{00000000-0005-0000-0000-0000CA000000}"/>
    <cellStyle name="Normal 2 15 15" xfId="215" xr:uid="{00000000-0005-0000-0000-0000CB000000}"/>
    <cellStyle name="Normal 2 15 16" xfId="216" xr:uid="{00000000-0005-0000-0000-0000CC000000}"/>
    <cellStyle name="Normal 2 15 17" xfId="217" xr:uid="{00000000-0005-0000-0000-0000CD000000}"/>
    <cellStyle name="Normal 2 15 18" xfId="218" xr:uid="{00000000-0005-0000-0000-0000CE000000}"/>
    <cellStyle name="Normal 2 15 19" xfId="219" xr:uid="{00000000-0005-0000-0000-0000CF000000}"/>
    <cellStyle name="Normal 2 15 2" xfId="220" xr:uid="{00000000-0005-0000-0000-0000D0000000}"/>
    <cellStyle name="Normal 2 15 20" xfId="221" xr:uid="{00000000-0005-0000-0000-0000D1000000}"/>
    <cellStyle name="Normal 2 15 21" xfId="222" xr:uid="{00000000-0005-0000-0000-0000D2000000}"/>
    <cellStyle name="Normal 2 15 22" xfId="223" xr:uid="{00000000-0005-0000-0000-0000D3000000}"/>
    <cellStyle name="Normal 2 15 23" xfId="224" xr:uid="{00000000-0005-0000-0000-0000D4000000}"/>
    <cellStyle name="Normal 2 15 3" xfId="225" xr:uid="{00000000-0005-0000-0000-0000D5000000}"/>
    <cellStyle name="Normal 2 15 4" xfId="226" xr:uid="{00000000-0005-0000-0000-0000D6000000}"/>
    <cellStyle name="Normal 2 15 5" xfId="227" xr:uid="{00000000-0005-0000-0000-0000D7000000}"/>
    <cellStyle name="Normal 2 15 6" xfId="228" xr:uid="{00000000-0005-0000-0000-0000D8000000}"/>
    <cellStyle name="Normal 2 15 7" xfId="229" xr:uid="{00000000-0005-0000-0000-0000D9000000}"/>
    <cellStyle name="Normal 2 15 8" xfId="230" xr:uid="{00000000-0005-0000-0000-0000DA000000}"/>
    <cellStyle name="Normal 2 15 9" xfId="231" xr:uid="{00000000-0005-0000-0000-0000DB000000}"/>
    <cellStyle name="Normal 2 16" xfId="232" xr:uid="{00000000-0005-0000-0000-0000DC000000}"/>
    <cellStyle name="Normal 2 16 10" xfId="233" xr:uid="{00000000-0005-0000-0000-0000DD000000}"/>
    <cellStyle name="Normal 2 16 11" xfId="234" xr:uid="{00000000-0005-0000-0000-0000DE000000}"/>
    <cellStyle name="Normal 2 16 12" xfId="235" xr:uid="{00000000-0005-0000-0000-0000DF000000}"/>
    <cellStyle name="Normal 2 16 13" xfId="236" xr:uid="{00000000-0005-0000-0000-0000E0000000}"/>
    <cellStyle name="Normal 2 16 14" xfId="237" xr:uid="{00000000-0005-0000-0000-0000E1000000}"/>
    <cellStyle name="Normal 2 16 15" xfId="238" xr:uid="{00000000-0005-0000-0000-0000E2000000}"/>
    <cellStyle name="Normal 2 16 16" xfId="239" xr:uid="{00000000-0005-0000-0000-0000E3000000}"/>
    <cellStyle name="Normal 2 16 17" xfId="240" xr:uid="{00000000-0005-0000-0000-0000E4000000}"/>
    <cellStyle name="Normal 2 16 18" xfId="241" xr:uid="{00000000-0005-0000-0000-0000E5000000}"/>
    <cellStyle name="Normal 2 16 19" xfId="242" xr:uid="{00000000-0005-0000-0000-0000E6000000}"/>
    <cellStyle name="Normal 2 16 2" xfId="243" xr:uid="{00000000-0005-0000-0000-0000E7000000}"/>
    <cellStyle name="Normal 2 16 20" xfId="244" xr:uid="{00000000-0005-0000-0000-0000E8000000}"/>
    <cellStyle name="Normal 2 16 21" xfId="245" xr:uid="{00000000-0005-0000-0000-0000E9000000}"/>
    <cellStyle name="Normal 2 16 22" xfId="246" xr:uid="{00000000-0005-0000-0000-0000EA000000}"/>
    <cellStyle name="Normal 2 16 23" xfId="247" xr:uid="{00000000-0005-0000-0000-0000EB000000}"/>
    <cellStyle name="Normal 2 16 3" xfId="248" xr:uid="{00000000-0005-0000-0000-0000EC000000}"/>
    <cellStyle name="Normal 2 16 4" xfId="249" xr:uid="{00000000-0005-0000-0000-0000ED000000}"/>
    <cellStyle name="Normal 2 16 5" xfId="250" xr:uid="{00000000-0005-0000-0000-0000EE000000}"/>
    <cellStyle name="Normal 2 16 6" xfId="251" xr:uid="{00000000-0005-0000-0000-0000EF000000}"/>
    <cellStyle name="Normal 2 16 7" xfId="252" xr:uid="{00000000-0005-0000-0000-0000F0000000}"/>
    <cellStyle name="Normal 2 16 8" xfId="253" xr:uid="{00000000-0005-0000-0000-0000F1000000}"/>
    <cellStyle name="Normal 2 16 9" xfId="254" xr:uid="{00000000-0005-0000-0000-0000F2000000}"/>
    <cellStyle name="Normal 2 17" xfId="255" xr:uid="{00000000-0005-0000-0000-0000F3000000}"/>
    <cellStyle name="Normal 2 17 10" xfId="256" xr:uid="{00000000-0005-0000-0000-0000F4000000}"/>
    <cellStyle name="Normal 2 17 11" xfId="257" xr:uid="{00000000-0005-0000-0000-0000F5000000}"/>
    <cellStyle name="Normal 2 17 12" xfId="258" xr:uid="{00000000-0005-0000-0000-0000F6000000}"/>
    <cellStyle name="Normal 2 17 13" xfId="259" xr:uid="{00000000-0005-0000-0000-0000F7000000}"/>
    <cellStyle name="Normal 2 17 14" xfId="260" xr:uid="{00000000-0005-0000-0000-0000F8000000}"/>
    <cellStyle name="Normal 2 17 15" xfId="261" xr:uid="{00000000-0005-0000-0000-0000F9000000}"/>
    <cellStyle name="Normal 2 17 16" xfId="262" xr:uid="{00000000-0005-0000-0000-0000FA000000}"/>
    <cellStyle name="Normal 2 17 17" xfId="263" xr:uid="{00000000-0005-0000-0000-0000FB000000}"/>
    <cellStyle name="Normal 2 17 18" xfId="264" xr:uid="{00000000-0005-0000-0000-0000FC000000}"/>
    <cellStyle name="Normal 2 17 19" xfId="265" xr:uid="{00000000-0005-0000-0000-0000FD000000}"/>
    <cellStyle name="Normal 2 17 2" xfId="266" xr:uid="{00000000-0005-0000-0000-0000FE000000}"/>
    <cellStyle name="Normal 2 17 20" xfId="267" xr:uid="{00000000-0005-0000-0000-0000FF000000}"/>
    <cellStyle name="Normal 2 17 21" xfId="268" xr:uid="{00000000-0005-0000-0000-000000010000}"/>
    <cellStyle name="Normal 2 17 22" xfId="269" xr:uid="{00000000-0005-0000-0000-000001010000}"/>
    <cellStyle name="Normal 2 17 23" xfId="270" xr:uid="{00000000-0005-0000-0000-000002010000}"/>
    <cellStyle name="Normal 2 17 3" xfId="271" xr:uid="{00000000-0005-0000-0000-000003010000}"/>
    <cellStyle name="Normal 2 17 4" xfId="272" xr:uid="{00000000-0005-0000-0000-000004010000}"/>
    <cellStyle name="Normal 2 17 5" xfId="273" xr:uid="{00000000-0005-0000-0000-000005010000}"/>
    <cellStyle name="Normal 2 17 6" xfId="274" xr:uid="{00000000-0005-0000-0000-000006010000}"/>
    <cellStyle name="Normal 2 17 7" xfId="275" xr:uid="{00000000-0005-0000-0000-000007010000}"/>
    <cellStyle name="Normal 2 17 8" xfId="276" xr:uid="{00000000-0005-0000-0000-000008010000}"/>
    <cellStyle name="Normal 2 17 9" xfId="277" xr:uid="{00000000-0005-0000-0000-000009010000}"/>
    <cellStyle name="Normal 2 18" xfId="278" xr:uid="{00000000-0005-0000-0000-00000A010000}"/>
    <cellStyle name="Normal 2 18 10" xfId="279" xr:uid="{00000000-0005-0000-0000-00000B010000}"/>
    <cellStyle name="Normal 2 18 11" xfId="280" xr:uid="{00000000-0005-0000-0000-00000C010000}"/>
    <cellStyle name="Normal 2 18 12" xfId="281" xr:uid="{00000000-0005-0000-0000-00000D010000}"/>
    <cellStyle name="Normal 2 18 13" xfId="282" xr:uid="{00000000-0005-0000-0000-00000E010000}"/>
    <cellStyle name="Normal 2 18 14" xfId="283" xr:uid="{00000000-0005-0000-0000-00000F010000}"/>
    <cellStyle name="Normal 2 18 15" xfId="284" xr:uid="{00000000-0005-0000-0000-000010010000}"/>
    <cellStyle name="Normal 2 18 16" xfId="285" xr:uid="{00000000-0005-0000-0000-000011010000}"/>
    <cellStyle name="Normal 2 18 17" xfId="286" xr:uid="{00000000-0005-0000-0000-000012010000}"/>
    <cellStyle name="Normal 2 18 18" xfId="287" xr:uid="{00000000-0005-0000-0000-000013010000}"/>
    <cellStyle name="Normal 2 18 19" xfId="288" xr:uid="{00000000-0005-0000-0000-000014010000}"/>
    <cellStyle name="Normal 2 18 2" xfId="289" xr:uid="{00000000-0005-0000-0000-000015010000}"/>
    <cellStyle name="Normal 2 18 20" xfId="290" xr:uid="{00000000-0005-0000-0000-000016010000}"/>
    <cellStyle name="Normal 2 18 21" xfId="291" xr:uid="{00000000-0005-0000-0000-000017010000}"/>
    <cellStyle name="Normal 2 18 22" xfId="292" xr:uid="{00000000-0005-0000-0000-000018010000}"/>
    <cellStyle name="Normal 2 18 23" xfId="293" xr:uid="{00000000-0005-0000-0000-000019010000}"/>
    <cellStyle name="Normal 2 18 3" xfId="294" xr:uid="{00000000-0005-0000-0000-00001A010000}"/>
    <cellStyle name="Normal 2 18 4" xfId="295" xr:uid="{00000000-0005-0000-0000-00001B010000}"/>
    <cellStyle name="Normal 2 18 5" xfId="296" xr:uid="{00000000-0005-0000-0000-00001C010000}"/>
    <cellStyle name="Normal 2 18 6" xfId="297" xr:uid="{00000000-0005-0000-0000-00001D010000}"/>
    <cellStyle name="Normal 2 18 7" xfId="298" xr:uid="{00000000-0005-0000-0000-00001E010000}"/>
    <cellStyle name="Normal 2 18 8" xfId="299" xr:uid="{00000000-0005-0000-0000-00001F010000}"/>
    <cellStyle name="Normal 2 18 9" xfId="300" xr:uid="{00000000-0005-0000-0000-000020010000}"/>
    <cellStyle name="Normal 2 19" xfId="301" xr:uid="{00000000-0005-0000-0000-000021010000}"/>
    <cellStyle name="Normal 2 19 10" xfId="302" xr:uid="{00000000-0005-0000-0000-000022010000}"/>
    <cellStyle name="Normal 2 19 11" xfId="303" xr:uid="{00000000-0005-0000-0000-000023010000}"/>
    <cellStyle name="Normal 2 19 12" xfId="304" xr:uid="{00000000-0005-0000-0000-000024010000}"/>
    <cellStyle name="Normal 2 19 13" xfId="305" xr:uid="{00000000-0005-0000-0000-000025010000}"/>
    <cellStyle name="Normal 2 19 14" xfId="306" xr:uid="{00000000-0005-0000-0000-000026010000}"/>
    <cellStyle name="Normal 2 19 15" xfId="307" xr:uid="{00000000-0005-0000-0000-000027010000}"/>
    <cellStyle name="Normal 2 19 16" xfId="308" xr:uid="{00000000-0005-0000-0000-000028010000}"/>
    <cellStyle name="Normal 2 19 17" xfId="309" xr:uid="{00000000-0005-0000-0000-000029010000}"/>
    <cellStyle name="Normal 2 19 18" xfId="310" xr:uid="{00000000-0005-0000-0000-00002A010000}"/>
    <cellStyle name="Normal 2 19 19" xfId="311" xr:uid="{00000000-0005-0000-0000-00002B010000}"/>
    <cellStyle name="Normal 2 19 2" xfId="312" xr:uid="{00000000-0005-0000-0000-00002C010000}"/>
    <cellStyle name="Normal 2 19 20" xfId="313" xr:uid="{00000000-0005-0000-0000-00002D010000}"/>
    <cellStyle name="Normal 2 19 21" xfId="314" xr:uid="{00000000-0005-0000-0000-00002E010000}"/>
    <cellStyle name="Normal 2 19 22" xfId="315" xr:uid="{00000000-0005-0000-0000-00002F010000}"/>
    <cellStyle name="Normal 2 19 23" xfId="316" xr:uid="{00000000-0005-0000-0000-000030010000}"/>
    <cellStyle name="Normal 2 19 3" xfId="317" xr:uid="{00000000-0005-0000-0000-000031010000}"/>
    <cellStyle name="Normal 2 19 4" xfId="318" xr:uid="{00000000-0005-0000-0000-000032010000}"/>
    <cellStyle name="Normal 2 19 5" xfId="319" xr:uid="{00000000-0005-0000-0000-000033010000}"/>
    <cellStyle name="Normal 2 19 6" xfId="320" xr:uid="{00000000-0005-0000-0000-000034010000}"/>
    <cellStyle name="Normal 2 19 7" xfId="321" xr:uid="{00000000-0005-0000-0000-000035010000}"/>
    <cellStyle name="Normal 2 19 8" xfId="322" xr:uid="{00000000-0005-0000-0000-000036010000}"/>
    <cellStyle name="Normal 2 19 9" xfId="323" xr:uid="{00000000-0005-0000-0000-000037010000}"/>
    <cellStyle name="Normal 2 2" xfId="50" xr:uid="{00000000-0005-0000-0000-000038010000}"/>
    <cellStyle name="Normal 2 2 2" xfId="324" xr:uid="{00000000-0005-0000-0000-000039010000}"/>
    <cellStyle name="Normal 2 20" xfId="325" xr:uid="{00000000-0005-0000-0000-00003A010000}"/>
    <cellStyle name="Normal 2 20 10" xfId="326" xr:uid="{00000000-0005-0000-0000-00003B010000}"/>
    <cellStyle name="Normal 2 20 11" xfId="327" xr:uid="{00000000-0005-0000-0000-00003C010000}"/>
    <cellStyle name="Normal 2 20 12" xfId="328" xr:uid="{00000000-0005-0000-0000-00003D010000}"/>
    <cellStyle name="Normal 2 20 13" xfId="329" xr:uid="{00000000-0005-0000-0000-00003E010000}"/>
    <cellStyle name="Normal 2 20 14" xfId="330" xr:uid="{00000000-0005-0000-0000-00003F010000}"/>
    <cellStyle name="Normal 2 20 15" xfId="331" xr:uid="{00000000-0005-0000-0000-000040010000}"/>
    <cellStyle name="Normal 2 20 16" xfId="332" xr:uid="{00000000-0005-0000-0000-000041010000}"/>
    <cellStyle name="Normal 2 20 17" xfId="333" xr:uid="{00000000-0005-0000-0000-000042010000}"/>
    <cellStyle name="Normal 2 20 18" xfId="334" xr:uid="{00000000-0005-0000-0000-000043010000}"/>
    <cellStyle name="Normal 2 20 19" xfId="335" xr:uid="{00000000-0005-0000-0000-000044010000}"/>
    <cellStyle name="Normal 2 20 2" xfId="336" xr:uid="{00000000-0005-0000-0000-000045010000}"/>
    <cellStyle name="Normal 2 20 20" xfId="337" xr:uid="{00000000-0005-0000-0000-000046010000}"/>
    <cellStyle name="Normal 2 20 21" xfId="338" xr:uid="{00000000-0005-0000-0000-000047010000}"/>
    <cellStyle name="Normal 2 20 22" xfId="339" xr:uid="{00000000-0005-0000-0000-000048010000}"/>
    <cellStyle name="Normal 2 20 23" xfId="340" xr:uid="{00000000-0005-0000-0000-000049010000}"/>
    <cellStyle name="Normal 2 20 3" xfId="341" xr:uid="{00000000-0005-0000-0000-00004A010000}"/>
    <cellStyle name="Normal 2 20 4" xfId="342" xr:uid="{00000000-0005-0000-0000-00004B010000}"/>
    <cellStyle name="Normal 2 20 5" xfId="343" xr:uid="{00000000-0005-0000-0000-00004C010000}"/>
    <cellStyle name="Normal 2 20 6" xfId="344" xr:uid="{00000000-0005-0000-0000-00004D010000}"/>
    <cellStyle name="Normal 2 20 7" xfId="345" xr:uid="{00000000-0005-0000-0000-00004E010000}"/>
    <cellStyle name="Normal 2 20 8" xfId="346" xr:uid="{00000000-0005-0000-0000-00004F010000}"/>
    <cellStyle name="Normal 2 20 9" xfId="347" xr:uid="{00000000-0005-0000-0000-000050010000}"/>
    <cellStyle name="Normal 2 21" xfId="348" xr:uid="{00000000-0005-0000-0000-000051010000}"/>
    <cellStyle name="Normal 2 21 10" xfId="349" xr:uid="{00000000-0005-0000-0000-000052010000}"/>
    <cellStyle name="Normal 2 21 11" xfId="350" xr:uid="{00000000-0005-0000-0000-000053010000}"/>
    <cellStyle name="Normal 2 21 12" xfId="351" xr:uid="{00000000-0005-0000-0000-000054010000}"/>
    <cellStyle name="Normal 2 21 13" xfId="352" xr:uid="{00000000-0005-0000-0000-000055010000}"/>
    <cellStyle name="Normal 2 21 14" xfId="353" xr:uid="{00000000-0005-0000-0000-000056010000}"/>
    <cellStyle name="Normal 2 21 15" xfId="354" xr:uid="{00000000-0005-0000-0000-000057010000}"/>
    <cellStyle name="Normal 2 21 16" xfId="355" xr:uid="{00000000-0005-0000-0000-000058010000}"/>
    <cellStyle name="Normal 2 21 17" xfId="356" xr:uid="{00000000-0005-0000-0000-000059010000}"/>
    <cellStyle name="Normal 2 21 18" xfId="357" xr:uid="{00000000-0005-0000-0000-00005A010000}"/>
    <cellStyle name="Normal 2 21 19" xfId="358" xr:uid="{00000000-0005-0000-0000-00005B010000}"/>
    <cellStyle name="Normal 2 21 2" xfId="359" xr:uid="{00000000-0005-0000-0000-00005C010000}"/>
    <cellStyle name="Normal 2 21 20" xfId="360" xr:uid="{00000000-0005-0000-0000-00005D010000}"/>
    <cellStyle name="Normal 2 21 21" xfId="361" xr:uid="{00000000-0005-0000-0000-00005E010000}"/>
    <cellStyle name="Normal 2 21 22" xfId="362" xr:uid="{00000000-0005-0000-0000-00005F010000}"/>
    <cellStyle name="Normal 2 21 23" xfId="363" xr:uid="{00000000-0005-0000-0000-000060010000}"/>
    <cellStyle name="Normal 2 21 3" xfId="364" xr:uid="{00000000-0005-0000-0000-000061010000}"/>
    <cellStyle name="Normal 2 21 4" xfId="365" xr:uid="{00000000-0005-0000-0000-000062010000}"/>
    <cellStyle name="Normal 2 21 5" xfId="366" xr:uid="{00000000-0005-0000-0000-000063010000}"/>
    <cellStyle name="Normal 2 21 6" xfId="367" xr:uid="{00000000-0005-0000-0000-000064010000}"/>
    <cellStyle name="Normal 2 21 7" xfId="368" xr:uid="{00000000-0005-0000-0000-000065010000}"/>
    <cellStyle name="Normal 2 21 8" xfId="369" xr:uid="{00000000-0005-0000-0000-000066010000}"/>
    <cellStyle name="Normal 2 21 9" xfId="370" xr:uid="{00000000-0005-0000-0000-000067010000}"/>
    <cellStyle name="Normal 2 22" xfId="371" xr:uid="{00000000-0005-0000-0000-000068010000}"/>
    <cellStyle name="Normal 2 22 10" xfId="372" xr:uid="{00000000-0005-0000-0000-000069010000}"/>
    <cellStyle name="Normal 2 22 11" xfId="373" xr:uid="{00000000-0005-0000-0000-00006A010000}"/>
    <cellStyle name="Normal 2 22 12" xfId="374" xr:uid="{00000000-0005-0000-0000-00006B010000}"/>
    <cellStyle name="Normal 2 22 13" xfId="375" xr:uid="{00000000-0005-0000-0000-00006C010000}"/>
    <cellStyle name="Normal 2 22 14" xfId="376" xr:uid="{00000000-0005-0000-0000-00006D010000}"/>
    <cellStyle name="Normal 2 22 15" xfId="377" xr:uid="{00000000-0005-0000-0000-00006E010000}"/>
    <cellStyle name="Normal 2 22 16" xfId="378" xr:uid="{00000000-0005-0000-0000-00006F010000}"/>
    <cellStyle name="Normal 2 22 17" xfId="379" xr:uid="{00000000-0005-0000-0000-000070010000}"/>
    <cellStyle name="Normal 2 22 18" xfId="380" xr:uid="{00000000-0005-0000-0000-000071010000}"/>
    <cellStyle name="Normal 2 22 19" xfId="381" xr:uid="{00000000-0005-0000-0000-000072010000}"/>
    <cellStyle name="Normal 2 22 2" xfId="382" xr:uid="{00000000-0005-0000-0000-000073010000}"/>
    <cellStyle name="Normal 2 22 20" xfId="383" xr:uid="{00000000-0005-0000-0000-000074010000}"/>
    <cellStyle name="Normal 2 22 21" xfId="384" xr:uid="{00000000-0005-0000-0000-000075010000}"/>
    <cellStyle name="Normal 2 22 22" xfId="385" xr:uid="{00000000-0005-0000-0000-000076010000}"/>
    <cellStyle name="Normal 2 22 23" xfId="386" xr:uid="{00000000-0005-0000-0000-000077010000}"/>
    <cellStyle name="Normal 2 22 3" xfId="387" xr:uid="{00000000-0005-0000-0000-000078010000}"/>
    <cellStyle name="Normal 2 22 4" xfId="388" xr:uid="{00000000-0005-0000-0000-000079010000}"/>
    <cellStyle name="Normal 2 22 5" xfId="389" xr:uid="{00000000-0005-0000-0000-00007A010000}"/>
    <cellStyle name="Normal 2 22 6" xfId="390" xr:uid="{00000000-0005-0000-0000-00007B010000}"/>
    <cellStyle name="Normal 2 22 7" xfId="391" xr:uid="{00000000-0005-0000-0000-00007C010000}"/>
    <cellStyle name="Normal 2 22 8" xfId="392" xr:uid="{00000000-0005-0000-0000-00007D010000}"/>
    <cellStyle name="Normal 2 22 9" xfId="393" xr:uid="{00000000-0005-0000-0000-00007E010000}"/>
    <cellStyle name="Normal 2 23" xfId="394" xr:uid="{00000000-0005-0000-0000-00007F010000}"/>
    <cellStyle name="Normal 2 23 10" xfId="395" xr:uid="{00000000-0005-0000-0000-000080010000}"/>
    <cellStyle name="Normal 2 23 11" xfId="396" xr:uid="{00000000-0005-0000-0000-000081010000}"/>
    <cellStyle name="Normal 2 23 12" xfId="397" xr:uid="{00000000-0005-0000-0000-000082010000}"/>
    <cellStyle name="Normal 2 23 13" xfId="398" xr:uid="{00000000-0005-0000-0000-000083010000}"/>
    <cellStyle name="Normal 2 23 14" xfId="399" xr:uid="{00000000-0005-0000-0000-000084010000}"/>
    <cellStyle name="Normal 2 23 15" xfId="400" xr:uid="{00000000-0005-0000-0000-000085010000}"/>
    <cellStyle name="Normal 2 23 16" xfId="401" xr:uid="{00000000-0005-0000-0000-000086010000}"/>
    <cellStyle name="Normal 2 23 17" xfId="402" xr:uid="{00000000-0005-0000-0000-000087010000}"/>
    <cellStyle name="Normal 2 23 18" xfId="403" xr:uid="{00000000-0005-0000-0000-000088010000}"/>
    <cellStyle name="Normal 2 23 19" xfId="404" xr:uid="{00000000-0005-0000-0000-000089010000}"/>
    <cellStyle name="Normal 2 23 2" xfId="405" xr:uid="{00000000-0005-0000-0000-00008A010000}"/>
    <cellStyle name="Normal 2 23 20" xfId="406" xr:uid="{00000000-0005-0000-0000-00008B010000}"/>
    <cellStyle name="Normal 2 23 21" xfId="407" xr:uid="{00000000-0005-0000-0000-00008C010000}"/>
    <cellStyle name="Normal 2 23 22" xfId="408" xr:uid="{00000000-0005-0000-0000-00008D010000}"/>
    <cellStyle name="Normal 2 23 23" xfId="409" xr:uid="{00000000-0005-0000-0000-00008E010000}"/>
    <cellStyle name="Normal 2 23 3" xfId="410" xr:uid="{00000000-0005-0000-0000-00008F010000}"/>
    <cellStyle name="Normal 2 23 4" xfId="411" xr:uid="{00000000-0005-0000-0000-000090010000}"/>
    <cellStyle name="Normal 2 23 5" xfId="412" xr:uid="{00000000-0005-0000-0000-000091010000}"/>
    <cellStyle name="Normal 2 23 6" xfId="413" xr:uid="{00000000-0005-0000-0000-000092010000}"/>
    <cellStyle name="Normal 2 23 7" xfId="414" xr:uid="{00000000-0005-0000-0000-000093010000}"/>
    <cellStyle name="Normal 2 23 8" xfId="415" xr:uid="{00000000-0005-0000-0000-000094010000}"/>
    <cellStyle name="Normal 2 23 9" xfId="416" xr:uid="{00000000-0005-0000-0000-000095010000}"/>
    <cellStyle name="Normal 2 24" xfId="417" xr:uid="{00000000-0005-0000-0000-000096010000}"/>
    <cellStyle name="Normal 2 24 10" xfId="418" xr:uid="{00000000-0005-0000-0000-000097010000}"/>
    <cellStyle name="Normal 2 24 11" xfId="419" xr:uid="{00000000-0005-0000-0000-000098010000}"/>
    <cellStyle name="Normal 2 24 12" xfId="420" xr:uid="{00000000-0005-0000-0000-000099010000}"/>
    <cellStyle name="Normal 2 24 13" xfId="421" xr:uid="{00000000-0005-0000-0000-00009A010000}"/>
    <cellStyle name="Normal 2 24 14" xfId="422" xr:uid="{00000000-0005-0000-0000-00009B010000}"/>
    <cellStyle name="Normal 2 24 15" xfId="423" xr:uid="{00000000-0005-0000-0000-00009C010000}"/>
    <cellStyle name="Normal 2 24 16" xfId="424" xr:uid="{00000000-0005-0000-0000-00009D010000}"/>
    <cellStyle name="Normal 2 24 17" xfId="425" xr:uid="{00000000-0005-0000-0000-00009E010000}"/>
    <cellStyle name="Normal 2 24 18" xfId="426" xr:uid="{00000000-0005-0000-0000-00009F010000}"/>
    <cellStyle name="Normal 2 24 19" xfId="427" xr:uid="{00000000-0005-0000-0000-0000A0010000}"/>
    <cellStyle name="Normal 2 24 2" xfId="428" xr:uid="{00000000-0005-0000-0000-0000A1010000}"/>
    <cellStyle name="Normal 2 24 20" xfId="429" xr:uid="{00000000-0005-0000-0000-0000A2010000}"/>
    <cellStyle name="Normal 2 24 21" xfId="430" xr:uid="{00000000-0005-0000-0000-0000A3010000}"/>
    <cellStyle name="Normal 2 24 22" xfId="431" xr:uid="{00000000-0005-0000-0000-0000A4010000}"/>
    <cellStyle name="Normal 2 24 23" xfId="432" xr:uid="{00000000-0005-0000-0000-0000A5010000}"/>
    <cellStyle name="Normal 2 24 3" xfId="433" xr:uid="{00000000-0005-0000-0000-0000A6010000}"/>
    <cellStyle name="Normal 2 24 4" xfId="434" xr:uid="{00000000-0005-0000-0000-0000A7010000}"/>
    <cellStyle name="Normal 2 24 5" xfId="435" xr:uid="{00000000-0005-0000-0000-0000A8010000}"/>
    <cellStyle name="Normal 2 24 6" xfId="436" xr:uid="{00000000-0005-0000-0000-0000A9010000}"/>
    <cellStyle name="Normal 2 24 7" xfId="437" xr:uid="{00000000-0005-0000-0000-0000AA010000}"/>
    <cellStyle name="Normal 2 24 8" xfId="438" xr:uid="{00000000-0005-0000-0000-0000AB010000}"/>
    <cellStyle name="Normal 2 24 9" xfId="439" xr:uid="{00000000-0005-0000-0000-0000AC010000}"/>
    <cellStyle name="Normal 2 25" xfId="440" xr:uid="{00000000-0005-0000-0000-0000AD010000}"/>
    <cellStyle name="Normal 2 25 10" xfId="441" xr:uid="{00000000-0005-0000-0000-0000AE010000}"/>
    <cellStyle name="Normal 2 25 11" xfId="442" xr:uid="{00000000-0005-0000-0000-0000AF010000}"/>
    <cellStyle name="Normal 2 25 12" xfId="443" xr:uid="{00000000-0005-0000-0000-0000B0010000}"/>
    <cellStyle name="Normal 2 25 13" xfId="444" xr:uid="{00000000-0005-0000-0000-0000B1010000}"/>
    <cellStyle name="Normal 2 25 14" xfId="445" xr:uid="{00000000-0005-0000-0000-0000B2010000}"/>
    <cellStyle name="Normal 2 25 15" xfId="446" xr:uid="{00000000-0005-0000-0000-0000B3010000}"/>
    <cellStyle name="Normal 2 25 16" xfId="447" xr:uid="{00000000-0005-0000-0000-0000B4010000}"/>
    <cellStyle name="Normal 2 25 17" xfId="448" xr:uid="{00000000-0005-0000-0000-0000B5010000}"/>
    <cellStyle name="Normal 2 25 18" xfId="449" xr:uid="{00000000-0005-0000-0000-0000B6010000}"/>
    <cellStyle name="Normal 2 25 19" xfId="450" xr:uid="{00000000-0005-0000-0000-0000B7010000}"/>
    <cellStyle name="Normal 2 25 2" xfId="451" xr:uid="{00000000-0005-0000-0000-0000B8010000}"/>
    <cellStyle name="Normal 2 25 20" xfId="452" xr:uid="{00000000-0005-0000-0000-0000B9010000}"/>
    <cellStyle name="Normal 2 25 21" xfId="453" xr:uid="{00000000-0005-0000-0000-0000BA010000}"/>
    <cellStyle name="Normal 2 25 22" xfId="454" xr:uid="{00000000-0005-0000-0000-0000BB010000}"/>
    <cellStyle name="Normal 2 25 23" xfId="455" xr:uid="{00000000-0005-0000-0000-0000BC010000}"/>
    <cellStyle name="Normal 2 25 3" xfId="456" xr:uid="{00000000-0005-0000-0000-0000BD010000}"/>
    <cellStyle name="Normal 2 25 4" xfId="457" xr:uid="{00000000-0005-0000-0000-0000BE010000}"/>
    <cellStyle name="Normal 2 25 5" xfId="458" xr:uid="{00000000-0005-0000-0000-0000BF010000}"/>
    <cellStyle name="Normal 2 25 6" xfId="459" xr:uid="{00000000-0005-0000-0000-0000C0010000}"/>
    <cellStyle name="Normal 2 25 7" xfId="460" xr:uid="{00000000-0005-0000-0000-0000C1010000}"/>
    <cellStyle name="Normal 2 25 8" xfId="461" xr:uid="{00000000-0005-0000-0000-0000C2010000}"/>
    <cellStyle name="Normal 2 25 9" xfId="462" xr:uid="{00000000-0005-0000-0000-0000C3010000}"/>
    <cellStyle name="Normal 2 26" xfId="463" xr:uid="{00000000-0005-0000-0000-0000C4010000}"/>
    <cellStyle name="Normal 2 26 10" xfId="464" xr:uid="{00000000-0005-0000-0000-0000C5010000}"/>
    <cellStyle name="Normal 2 26 11" xfId="465" xr:uid="{00000000-0005-0000-0000-0000C6010000}"/>
    <cellStyle name="Normal 2 26 12" xfId="466" xr:uid="{00000000-0005-0000-0000-0000C7010000}"/>
    <cellStyle name="Normal 2 26 13" xfId="467" xr:uid="{00000000-0005-0000-0000-0000C8010000}"/>
    <cellStyle name="Normal 2 26 14" xfId="468" xr:uid="{00000000-0005-0000-0000-0000C9010000}"/>
    <cellStyle name="Normal 2 26 15" xfId="469" xr:uid="{00000000-0005-0000-0000-0000CA010000}"/>
    <cellStyle name="Normal 2 26 16" xfId="470" xr:uid="{00000000-0005-0000-0000-0000CB010000}"/>
    <cellStyle name="Normal 2 26 17" xfId="471" xr:uid="{00000000-0005-0000-0000-0000CC010000}"/>
    <cellStyle name="Normal 2 26 18" xfId="472" xr:uid="{00000000-0005-0000-0000-0000CD010000}"/>
    <cellStyle name="Normal 2 26 19" xfId="473" xr:uid="{00000000-0005-0000-0000-0000CE010000}"/>
    <cellStyle name="Normal 2 26 2" xfId="474" xr:uid="{00000000-0005-0000-0000-0000CF010000}"/>
    <cellStyle name="Normal 2 26 20" xfId="475" xr:uid="{00000000-0005-0000-0000-0000D0010000}"/>
    <cellStyle name="Normal 2 26 21" xfId="476" xr:uid="{00000000-0005-0000-0000-0000D1010000}"/>
    <cellStyle name="Normal 2 26 22" xfId="477" xr:uid="{00000000-0005-0000-0000-0000D2010000}"/>
    <cellStyle name="Normal 2 26 23" xfId="478" xr:uid="{00000000-0005-0000-0000-0000D3010000}"/>
    <cellStyle name="Normal 2 26 3" xfId="479" xr:uid="{00000000-0005-0000-0000-0000D4010000}"/>
    <cellStyle name="Normal 2 26 4" xfId="480" xr:uid="{00000000-0005-0000-0000-0000D5010000}"/>
    <cellStyle name="Normal 2 26 5" xfId="481" xr:uid="{00000000-0005-0000-0000-0000D6010000}"/>
    <cellStyle name="Normal 2 26 6" xfId="482" xr:uid="{00000000-0005-0000-0000-0000D7010000}"/>
    <cellStyle name="Normal 2 26 7" xfId="483" xr:uid="{00000000-0005-0000-0000-0000D8010000}"/>
    <cellStyle name="Normal 2 26 8" xfId="484" xr:uid="{00000000-0005-0000-0000-0000D9010000}"/>
    <cellStyle name="Normal 2 26 9" xfId="485" xr:uid="{00000000-0005-0000-0000-0000DA010000}"/>
    <cellStyle name="Normal 2 27" xfId="486" xr:uid="{00000000-0005-0000-0000-0000DB010000}"/>
    <cellStyle name="Normal 2 27 10" xfId="487" xr:uid="{00000000-0005-0000-0000-0000DC010000}"/>
    <cellStyle name="Normal 2 27 11" xfId="488" xr:uid="{00000000-0005-0000-0000-0000DD010000}"/>
    <cellStyle name="Normal 2 27 12" xfId="489" xr:uid="{00000000-0005-0000-0000-0000DE010000}"/>
    <cellStyle name="Normal 2 27 13" xfId="490" xr:uid="{00000000-0005-0000-0000-0000DF010000}"/>
    <cellStyle name="Normal 2 27 14" xfId="491" xr:uid="{00000000-0005-0000-0000-0000E0010000}"/>
    <cellStyle name="Normal 2 27 15" xfId="492" xr:uid="{00000000-0005-0000-0000-0000E1010000}"/>
    <cellStyle name="Normal 2 27 16" xfId="493" xr:uid="{00000000-0005-0000-0000-0000E2010000}"/>
    <cellStyle name="Normal 2 27 17" xfId="494" xr:uid="{00000000-0005-0000-0000-0000E3010000}"/>
    <cellStyle name="Normal 2 27 18" xfId="495" xr:uid="{00000000-0005-0000-0000-0000E4010000}"/>
    <cellStyle name="Normal 2 27 19" xfId="496" xr:uid="{00000000-0005-0000-0000-0000E5010000}"/>
    <cellStyle name="Normal 2 27 2" xfId="497" xr:uid="{00000000-0005-0000-0000-0000E6010000}"/>
    <cellStyle name="Normal 2 27 20" xfId="498" xr:uid="{00000000-0005-0000-0000-0000E7010000}"/>
    <cellStyle name="Normal 2 27 21" xfId="499" xr:uid="{00000000-0005-0000-0000-0000E8010000}"/>
    <cellStyle name="Normal 2 27 22" xfId="500" xr:uid="{00000000-0005-0000-0000-0000E9010000}"/>
    <cellStyle name="Normal 2 27 23" xfId="501" xr:uid="{00000000-0005-0000-0000-0000EA010000}"/>
    <cellStyle name="Normal 2 27 3" xfId="502" xr:uid="{00000000-0005-0000-0000-0000EB010000}"/>
    <cellStyle name="Normal 2 27 4" xfId="503" xr:uid="{00000000-0005-0000-0000-0000EC010000}"/>
    <cellStyle name="Normal 2 27 5" xfId="504" xr:uid="{00000000-0005-0000-0000-0000ED010000}"/>
    <cellStyle name="Normal 2 27 6" xfId="505" xr:uid="{00000000-0005-0000-0000-0000EE010000}"/>
    <cellStyle name="Normal 2 27 7" xfId="506" xr:uid="{00000000-0005-0000-0000-0000EF010000}"/>
    <cellStyle name="Normal 2 27 8" xfId="507" xr:uid="{00000000-0005-0000-0000-0000F0010000}"/>
    <cellStyle name="Normal 2 27 9" xfId="508" xr:uid="{00000000-0005-0000-0000-0000F1010000}"/>
    <cellStyle name="Normal 2 28" xfId="509" xr:uid="{00000000-0005-0000-0000-0000F2010000}"/>
    <cellStyle name="Normal 2 28 10" xfId="510" xr:uid="{00000000-0005-0000-0000-0000F3010000}"/>
    <cellStyle name="Normal 2 28 11" xfId="511" xr:uid="{00000000-0005-0000-0000-0000F4010000}"/>
    <cellStyle name="Normal 2 28 12" xfId="512" xr:uid="{00000000-0005-0000-0000-0000F5010000}"/>
    <cellStyle name="Normal 2 28 13" xfId="513" xr:uid="{00000000-0005-0000-0000-0000F6010000}"/>
    <cellStyle name="Normal 2 28 14" xfId="514" xr:uid="{00000000-0005-0000-0000-0000F7010000}"/>
    <cellStyle name="Normal 2 28 15" xfId="515" xr:uid="{00000000-0005-0000-0000-0000F8010000}"/>
    <cellStyle name="Normal 2 28 16" xfId="516" xr:uid="{00000000-0005-0000-0000-0000F9010000}"/>
    <cellStyle name="Normal 2 28 17" xfId="517" xr:uid="{00000000-0005-0000-0000-0000FA010000}"/>
    <cellStyle name="Normal 2 28 18" xfId="518" xr:uid="{00000000-0005-0000-0000-0000FB010000}"/>
    <cellStyle name="Normal 2 28 19" xfId="519" xr:uid="{00000000-0005-0000-0000-0000FC010000}"/>
    <cellStyle name="Normal 2 28 2" xfId="520" xr:uid="{00000000-0005-0000-0000-0000FD010000}"/>
    <cellStyle name="Normal 2 28 20" xfId="521" xr:uid="{00000000-0005-0000-0000-0000FE010000}"/>
    <cellStyle name="Normal 2 28 21" xfId="522" xr:uid="{00000000-0005-0000-0000-0000FF010000}"/>
    <cellStyle name="Normal 2 28 22" xfId="523" xr:uid="{00000000-0005-0000-0000-000000020000}"/>
    <cellStyle name="Normal 2 28 23" xfId="524" xr:uid="{00000000-0005-0000-0000-000001020000}"/>
    <cellStyle name="Normal 2 28 3" xfId="525" xr:uid="{00000000-0005-0000-0000-000002020000}"/>
    <cellStyle name="Normal 2 28 4" xfId="526" xr:uid="{00000000-0005-0000-0000-000003020000}"/>
    <cellStyle name="Normal 2 28 5" xfId="527" xr:uid="{00000000-0005-0000-0000-000004020000}"/>
    <cellStyle name="Normal 2 28 6" xfId="528" xr:uid="{00000000-0005-0000-0000-000005020000}"/>
    <cellStyle name="Normal 2 28 7" xfId="529" xr:uid="{00000000-0005-0000-0000-000006020000}"/>
    <cellStyle name="Normal 2 28 8" xfId="530" xr:uid="{00000000-0005-0000-0000-000007020000}"/>
    <cellStyle name="Normal 2 28 9" xfId="531" xr:uid="{00000000-0005-0000-0000-000008020000}"/>
    <cellStyle name="Normal 2 29" xfId="532" xr:uid="{00000000-0005-0000-0000-000009020000}"/>
    <cellStyle name="Normal 2 29 10" xfId="533" xr:uid="{00000000-0005-0000-0000-00000A020000}"/>
    <cellStyle name="Normal 2 29 11" xfId="534" xr:uid="{00000000-0005-0000-0000-00000B020000}"/>
    <cellStyle name="Normal 2 29 12" xfId="535" xr:uid="{00000000-0005-0000-0000-00000C020000}"/>
    <cellStyle name="Normal 2 29 13" xfId="536" xr:uid="{00000000-0005-0000-0000-00000D020000}"/>
    <cellStyle name="Normal 2 29 14" xfId="537" xr:uid="{00000000-0005-0000-0000-00000E020000}"/>
    <cellStyle name="Normal 2 29 15" xfId="538" xr:uid="{00000000-0005-0000-0000-00000F020000}"/>
    <cellStyle name="Normal 2 29 16" xfId="539" xr:uid="{00000000-0005-0000-0000-000010020000}"/>
    <cellStyle name="Normal 2 29 17" xfId="540" xr:uid="{00000000-0005-0000-0000-000011020000}"/>
    <cellStyle name="Normal 2 29 18" xfId="541" xr:uid="{00000000-0005-0000-0000-000012020000}"/>
    <cellStyle name="Normal 2 29 19" xfId="542" xr:uid="{00000000-0005-0000-0000-000013020000}"/>
    <cellStyle name="Normal 2 29 2" xfId="543" xr:uid="{00000000-0005-0000-0000-000014020000}"/>
    <cellStyle name="Normal 2 29 20" xfId="544" xr:uid="{00000000-0005-0000-0000-000015020000}"/>
    <cellStyle name="Normal 2 29 21" xfId="545" xr:uid="{00000000-0005-0000-0000-000016020000}"/>
    <cellStyle name="Normal 2 29 22" xfId="546" xr:uid="{00000000-0005-0000-0000-000017020000}"/>
    <cellStyle name="Normal 2 29 23" xfId="547" xr:uid="{00000000-0005-0000-0000-000018020000}"/>
    <cellStyle name="Normal 2 29 3" xfId="548" xr:uid="{00000000-0005-0000-0000-000019020000}"/>
    <cellStyle name="Normal 2 29 4" xfId="549" xr:uid="{00000000-0005-0000-0000-00001A020000}"/>
    <cellStyle name="Normal 2 29 5" xfId="550" xr:uid="{00000000-0005-0000-0000-00001B020000}"/>
    <cellStyle name="Normal 2 29 6" xfId="551" xr:uid="{00000000-0005-0000-0000-00001C020000}"/>
    <cellStyle name="Normal 2 29 7" xfId="552" xr:uid="{00000000-0005-0000-0000-00001D020000}"/>
    <cellStyle name="Normal 2 29 8" xfId="553" xr:uid="{00000000-0005-0000-0000-00001E020000}"/>
    <cellStyle name="Normal 2 29 9" xfId="554" xr:uid="{00000000-0005-0000-0000-00001F020000}"/>
    <cellStyle name="Normal 2 3" xfId="555" xr:uid="{00000000-0005-0000-0000-000020020000}"/>
    <cellStyle name="Normal 2 30" xfId="556" xr:uid="{00000000-0005-0000-0000-000021020000}"/>
    <cellStyle name="Normal 2 30 10" xfId="557" xr:uid="{00000000-0005-0000-0000-000022020000}"/>
    <cellStyle name="Normal 2 30 11" xfId="558" xr:uid="{00000000-0005-0000-0000-000023020000}"/>
    <cellStyle name="Normal 2 30 12" xfId="559" xr:uid="{00000000-0005-0000-0000-000024020000}"/>
    <cellStyle name="Normal 2 30 13" xfId="560" xr:uid="{00000000-0005-0000-0000-000025020000}"/>
    <cellStyle name="Normal 2 30 14" xfId="561" xr:uid="{00000000-0005-0000-0000-000026020000}"/>
    <cellStyle name="Normal 2 30 15" xfId="562" xr:uid="{00000000-0005-0000-0000-000027020000}"/>
    <cellStyle name="Normal 2 30 16" xfId="563" xr:uid="{00000000-0005-0000-0000-000028020000}"/>
    <cellStyle name="Normal 2 30 17" xfId="564" xr:uid="{00000000-0005-0000-0000-000029020000}"/>
    <cellStyle name="Normal 2 30 18" xfId="565" xr:uid="{00000000-0005-0000-0000-00002A020000}"/>
    <cellStyle name="Normal 2 30 19" xfId="566" xr:uid="{00000000-0005-0000-0000-00002B020000}"/>
    <cellStyle name="Normal 2 30 2" xfId="567" xr:uid="{00000000-0005-0000-0000-00002C020000}"/>
    <cellStyle name="Normal 2 30 20" xfId="568" xr:uid="{00000000-0005-0000-0000-00002D020000}"/>
    <cellStyle name="Normal 2 30 21" xfId="569" xr:uid="{00000000-0005-0000-0000-00002E020000}"/>
    <cellStyle name="Normal 2 30 22" xfId="570" xr:uid="{00000000-0005-0000-0000-00002F020000}"/>
    <cellStyle name="Normal 2 30 23" xfId="571" xr:uid="{00000000-0005-0000-0000-000030020000}"/>
    <cellStyle name="Normal 2 30 3" xfId="572" xr:uid="{00000000-0005-0000-0000-000031020000}"/>
    <cellStyle name="Normal 2 30 4" xfId="573" xr:uid="{00000000-0005-0000-0000-000032020000}"/>
    <cellStyle name="Normal 2 30 5" xfId="574" xr:uid="{00000000-0005-0000-0000-000033020000}"/>
    <cellStyle name="Normal 2 30 6" xfId="575" xr:uid="{00000000-0005-0000-0000-000034020000}"/>
    <cellStyle name="Normal 2 30 7" xfId="576" xr:uid="{00000000-0005-0000-0000-000035020000}"/>
    <cellStyle name="Normal 2 30 8" xfId="577" xr:uid="{00000000-0005-0000-0000-000036020000}"/>
    <cellStyle name="Normal 2 30 9" xfId="578" xr:uid="{00000000-0005-0000-0000-000037020000}"/>
    <cellStyle name="Normal 2 31" xfId="579" xr:uid="{00000000-0005-0000-0000-000038020000}"/>
    <cellStyle name="Normal 2 31 10" xfId="580" xr:uid="{00000000-0005-0000-0000-000039020000}"/>
    <cellStyle name="Normal 2 31 11" xfId="581" xr:uid="{00000000-0005-0000-0000-00003A020000}"/>
    <cellStyle name="Normal 2 31 12" xfId="582" xr:uid="{00000000-0005-0000-0000-00003B020000}"/>
    <cellStyle name="Normal 2 31 13" xfId="583" xr:uid="{00000000-0005-0000-0000-00003C020000}"/>
    <cellStyle name="Normal 2 31 14" xfId="584" xr:uid="{00000000-0005-0000-0000-00003D020000}"/>
    <cellStyle name="Normal 2 31 15" xfId="585" xr:uid="{00000000-0005-0000-0000-00003E020000}"/>
    <cellStyle name="Normal 2 31 16" xfId="586" xr:uid="{00000000-0005-0000-0000-00003F020000}"/>
    <cellStyle name="Normal 2 31 17" xfId="587" xr:uid="{00000000-0005-0000-0000-000040020000}"/>
    <cellStyle name="Normal 2 31 18" xfId="588" xr:uid="{00000000-0005-0000-0000-000041020000}"/>
    <cellStyle name="Normal 2 31 19" xfId="589" xr:uid="{00000000-0005-0000-0000-000042020000}"/>
    <cellStyle name="Normal 2 31 2" xfId="590" xr:uid="{00000000-0005-0000-0000-000043020000}"/>
    <cellStyle name="Normal 2 31 20" xfId="591" xr:uid="{00000000-0005-0000-0000-000044020000}"/>
    <cellStyle name="Normal 2 31 21" xfId="592" xr:uid="{00000000-0005-0000-0000-000045020000}"/>
    <cellStyle name="Normal 2 31 22" xfId="593" xr:uid="{00000000-0005-0000-0000-000046020000}"/>
    <cellStyle name="Normal 2 31 23" xfId="594" xr:uid="{00000000-0005-0000-0000-000047020000}"/>
    <cellStyle name="Normal 2 31 3" xfId="595" xr:uid="{00000000-0005-0000-0000-000048020000}"/>
    <cellStyle name="Normal 2 31 4" xfId="596" xr:uid="{00000000-0005-0000-0000-000049020000}"/>
    <cellStyle name="Normal 2 31 5" xfId="597" xr:uid="{00000000-0005-0000-0000-00004A020000}"/>
    <cellStyle name="Normal 2 31 6" xfId="598" xr:uid="{00000000-0005-0000-0000-00004B020000}"/>
    <cellStyle name="Normal 2 31 7" xfId="599" xr:uid="{00000000-0005-0000-0000-00004C020000}"/>
    <cellStyle name="Normal 2 31 8" xfId="600" xr:uid="{00000000-0005-0000-0000-00004D020000}"/>
    <cellStyle name="Normal 2 31 9" xfId="601" xr:uid="{00000000-0005-0000-0000-00004E020000}"/>
    <cellStyle name="Normal 2 32" xfId="602" xr:uid="{00000000-0005-0000-0000-00004F020000}"/>
    <cellStyle name="Normal 2 32 10" xfId="603" xr:uid="{00000000-0005-0000-0000-000050020000}"/>
    <cellStyle name="Normal 2 32 11" xfId="604" xr:uid="{00000000-0005-0000-0000-000051020000}"/>
    <cellStyle name="Normal 2 32 12" xfId="605" xr:uid="{00000000-0005-0000-0000-000052020000}"/>
    <cellStyle name="Normal 2 32 13" xfId="606" xr:uid="{00000000-0005-0000-0000-000053020000}"/>
    <cellStyle name="Normal 2 32 14" xfId="607" xr:uid="{00000000-0005-0000-0000-000054020000}"/>
    <cellStyle name="Normal 2 32 15" xfId="608" xr:uid="{00000000-0005-0000-0000-000055020000}"/>
    <cellStyle name="Normal 2 32 16" xfId="609" xr:uid="{00000000-0005-0000-0000-000056020000}"/>
    <cellStyle name="Normal 2 32 17" xfId="610" xr:uid="{00000000-0005-0000-0000-000057020000}"/>
    <cellStyle name="Normal 2 32 18" xfId="611" xr:uid="{00000000-0005-0000-0000-000058020000}"/>
    <cellStyle name="Normal 2 32 19" xfId="612" xr:uid="{00000000-0005-0000-0000-000059020000}"/>
    <cellStyle name="Normal 2 32 2" xfId="613" xr:uid="{00000000-0005-0000-0000-00005A020000}"/>
    <cellStyle name="Normal 2 32 20" xfId="614" xr:uid="{00000000-0005-0000-0000-00005B020000}"/>
    <cellStyle name="Normal 2 32 21" xfId="615" xr:uid="{00000000-0005-0000-0000-00005C020000}"/>
    <cellStyle name="Normal 2 32 22" xfId="616" xr:uid="{00000000-0005-0000-0000-00005D020000}"/>
    <cellStyle name="Normal 2 32 23" xfId="617" xr:uid="{00000000-0005-0000-0000-00005E020000}"/>
    <cellStyle name="Normal 2 32 3" xfId="618" xr:uid="{00000000-0005-0000-0000-00005F020000}"/>
    <cellStyle name="Normal 2 32 4" xfId="619" xr:uid="{00000000-0005-0000-0000-000060020000}"/>
    <cellStyle name="Normal 2 32 5" xfId="620" xr:uid="{00000000-0005-0000-0000-000061020000}"/>
    <cellStyle name="Normal 2 32 6" xfId="621" xr:uid="{00000000-0005-0000-0000-000062020000}"/>
    <cellStyle name="Normal 2 32 7" xfId="622" xr:uid="{00000000-0005-0000-0000-000063020000}"/>
    <cellStyle name="Normal 2 32 8" xfId="623" xr:uid="{00000000-0005-0000-0000-000064020000}"/>
    <cellStyle name="Normal 2 32 9" xfId="624" xr:uid="{00000000-0005-0000-0000-000065020000}"/>
    <cellStyle name="Normal 2 33" xfId="625" xr:uid="{00000000-0005-0000-0000-000066020000}"/>
    <cellStyle name="Normal 2 33 10" xfId="626" xr:uid="{00000000-0005-0000-0000-000067020000}"/>
    <cellStyle name="Normal 2 33 11" xfId="627" xr:uid="{00000000-0005-0000-0000-000068020000}"/>
    <cellStyle name="Normal 2 33 12" xfId="628" xr:uid="{00000000-0005-0000-0000-000069020000}"/>
    <cellStyle name="Normal 2 33 13" xfId="629" xr:uid="{00000000-0005-0000-0000-00006A020000}"/>
    <cellStyle name="Normal 2 33 14" xfId="630" xr:uid="{00000000-0005-0000-0000-00006B020000}"/>
    <cellStyle name="Normal 2 33 15" xfId="631" xr:uid="{00000000-0005-0000-0000-00006C020000}"/>
    <cellStyle name="Normal 2 33 16" xfId="632" xr:uid="{00000000-0005-0000-0000-00006D020000}"/>
    <cellStyle name="Normal 2 33 17" xfId="633" xr:uid="{00000000-0005-0000-0000-00006E020000}"/>
    <cellStyle name="Normal 2 33 18" xfId="634" xr:uid="{00000000-0005-0000-0000-00006F020000}"/>
    <cellStyle name="Normal 2 33 19" xfId="635" xr:uid="{00000000-0005-0000-0000-000070020000}"/>
    <cellStyle name="Normal 2 33 2" xfId="636" xr:uid="{00000000-0005-0000-0000-000071020000}"/>
    <cellStyle name="Normal 2 33 20" xfId="637" xr:uid="{00000000-0005-0000-0000-000072020000}"/>
    <cellStyle name="Normal 2 33 21" xfId="638" xr:uid="{00000000-0005-0000-0000-000073020000}"/>
    <cellStyle name="Normal 2 33 22" xfId="639" xr:uid="{00000000-0005-0000-0000-000074020000}"/>
    <cellStyle name="Normal 2 33 23" xfId="640" xr:uid="{00000000-0005-0000-0000-000075020000}"/>
    <cellStyle name="Normal 2 33 3" xfId="641" xr:uid="{00000000-0005-0000-0000-000076020000}"/>
    <cellStyle name="Normal 2 33 4" xfId="642" xr:uid="{00000000-0005-0000-0000-000077020000}"/>
    <cellStyle name="Normal 2 33 5" xfId="643" xr:uid="{00000000-0005-0000-0000-000078020000}"/>
    <cellStyle name="Normal 2 33 6" xfId="644" xr:uid="{00000000-0005-0000-0000-000079020000}"/>
    <cellStyle name="Normal 2 33 7" xfId="645" xr:uid="{00000000-0005-0000-0000-00007A020000}"/>
    <cellStyle name="Normal 2 33 8" xfId="646" xr:uid="{00000000-0005-0000-0000-00007B020000}"/>
    <cellStyle name="Normal 2 33 9" xfId="647" xr:uid="{00000000-0005-0000-0000-00007C020000}"/>
    <cellStyle name="Normal 2 34" xfId="648" xr:uid="{00000000-0005-0000-0000-00007D020000}"/>
    <cellStyle name="Normal 2 34 10" xfId="649" xr:uid="{00000000-0005-0000-0000-00007E020000}"/>
    <cellStyle name="Normal 2 34 11" xfId="650" xr:uid="{00000000-0005-0000-0000-00007F020000}"/>
    <cellStyle name="Normal 2 34 12" xfId="651" xr:uid="{00000000-0005-0000-0000-000080020000}"/>
    <cellStyle name="Normal 2 34 13" xfId="652" xr:uid="{00000000-0005-0000-0000-000081020000}"/>
    <cellStyle name="Normal 2 34 14" xfId="653" xr:uid="{00000000-0005-0000-0000-000082020000}"/>
    <cellStyle name="Normal 2 34 15" xfId="654" xr:uid="{00000000-0005-0000-0000-000083020000}"/>
    <cellStyle name="Normal 2 34 16" xfId="655" xr:uid="{00000000-0005-0000-0000-000084020000}"/>
    <cellStyle name="Normal 2 34 17" xfId="656" xr:uid="{00000000-0005-0000-0000-000085020000}"/>
    <cellStyle name="Normal 2 34 18" xfId="657" xr:uid="{00000000-0005-0000-0000-000086020000}"/>
    <cellStyle name="Normal 2 34 19" xfId="658" xr:uid="{00000000-0005-0000-0000-000087020000}"/>
    <cellStyle name="Normal 2 34 2" xfId="659" xr:uid="{00000000-0005-0000-0000-000088020000}"/>
    <cellStyle name="Normal 2 34 20" xfId="660" xr:uid="{00000000-0005-0000-0000-000089020000}"/>
    <cellStyle name="Normal 2 34 21" xfId="661" xr:uid="{00000000-0005-0000-0000-00008A020000}"/>
    <cellStyle name="Normal 2 34 22" xfId="662" xr:uid="{00000000-0005-0000-0000-00008B020000}"/>
    <cellStyle name="Normal 2 34 23" xfId="663" xr:uid="{00000000-0005-0000-0000-00008C020000}"/>
    <cellStyle name="Normal 2 34 3" xfId="664" xr:uid="{00000000-0005-0000-0000-00008D020000}"/>
    <cellStyle name="Normal 2 34 4" xfId="665" xr:uid="{00000000-0005-0000-0000-00008E020000}"/>
    <cellStyle name="Normal 2 34 5" xfId="666" xr:uid="{00000000-0005-0000-0000-00008F020000}"/>
    <cellStyle name="Normal 2 34 6" xfId="667" xr:uid="{00000000-0005-0000-0000-000090020000}"/>
    <cellStyle name="Normal 2 34 7" xfId="668" xr:uid="{00000000-0005-0000-0000-000091020000}"/>
    <cellStyle name="Normal 2 34 8" xfId="669" xr:uid="{00000000-0005-0000-0000-000092020000}"/>
    <cellStyle name="Normal 2 34 9" xfId="670" xr:uid="{00000000-0005-0000-0000-000093020000}"/>
    <cellStyle name="Normal 2 35" xfId="671" xr:uid="{00000000-0005-0000-0000-000094020000}"/>
    <cellStyle name="Normal 2 35 10" xfId="672" xr:uid="{00000000-0005-0000-0000-000095020000}"/>
    <cellStyle name="Normal 2 35 11" xfId="673" xr:uid="{00000000-0005-0000-0000-000096020000}"/>
    <cellStyle name="Normal 2 35 12" xfId="674" xr:uid="{00000000-0005-0000-0000-000097020000}"/>
    <cellStyle name="Normal 2 35 13" xfId="675" xr:uid="{00000000-0005-0000-0000-000098020000}"/>
    <cellStyle name="Normal 2 35 14" xfId="676" xr:uid="{00000000-0005-0000-0000-000099020000}"/>
    <cellStyle name="Normal 2 35 15" xfId="677" xr:uid="{00000000-0005-0000-0000-00009A020000}"/>
    <cellStyle name="Normal 2 35 16" xfId="678" xr:uid="{00000000-0005-0000-0000-00009B020000}"/>
    <cellStyle name="Normal 2 35 17" xfId="679" xr:uid="{00000000-0005-0000-0000-00009C020000}"/>
    <cellStyle name="Normal 2 35 18" xfId="680" xr:uid="{00000000-0005-0000-0000-00009D020000}"/>
    <cellStyle name="Normal 2 35 19" xfId="681" xr:uid="{00000000-0005-0000-0000-00009E020000}"/>
    <cellStyle name="Normal 2 35 2" xfId="682" xr:uid="{00000000-0005-0000-0000-00009F020000}"/>
    <cellStyle name="Normal 2 35 20" xfId="683" xr:uid="{00000000-0005-0000-0000-0000A0020000}"/>
    <cellStyle name="Normal 2 35 21" xfId="684" xr:uid="{00000000-0005-0000-0000-0000A1020000}"/>
    <cellStyle name="Normal 2 35 22" xfId="685" xr:uid="{00000000-0005-0000-0000-0000A2020000}"/>
    <cellStyle name="Normal 2 35 23" xfId="686" xr:uid="{00000000-0005-0000-0000-0000A3020000}"/>
    <cellStyle name="Normal 2 35 3" xfId="687" xr:uid="{00000000-0005-0000-0000-0000A4020000}"/>
    <cellStyle name="Normal 2 35 4" xfId="688" xr:uid="{00000000-0005-0000-0000-0000A5020000}"/>
    <cellStyle name="Normal 2 35 5" xfId="689" xr:uid="{00000000-0005-0000-0000-0000A6020000}"/>
    <cellStyle name="Normal 2 35 6" xfId="690" xr:uid="{00000000-0005-0000-0000-0000A7020000}"/>
    <cellStyle name="Normal 2 35 7" xfId="691" xr:uid="{00000000-0005-0000-0000-0000A8020000}"/>
    <cellStyle name="Normal 2 35 8" xfId="692" xr:uid="{00000000-0005-0000-0000-0000A9020000}"/>
    <cellStyle name="Normal 2 35 9" xfId="693" xr:uid="{00000000-0005-0000-0000-0000AA020000}"/>
    <cellStyle name="Normal 2 36" xfId="694" xr:uid="{00000000-0005-0000-0000-0000AB020000}"/>
    <cellStyle name="Normal 2 36 10" xfId="695" xr:uid="{00000000-0005-0000-0000-0000AC020000}"/>
    <cellStyle name="Normal 2 36 11" xfId="696" xr:uid="{00000000-0005-0000-0000-0000AD020000}"/>
    <cellStyle name="Normal 2 36 12" xfId="697" xr:uid="{00000000-0005-0000-0000-0000AE020000}"/>
    <cellStyle name="Normal 2 36 13" xfId="698" xr:uid="{00000000-0005-0000-0000-0000AF020000}"/>
    <cellStyle name="Normal 2 36 14" xfId="699" xr:uid="{00000000-0005-0000-0000-0000B0020000}"/>
    <cellStyle name="Normal 2 36 15" xfId="700" xr:uid="{00000000-0005-0000-0000-0000B1020000}"/>
    <cellStyle name="Normal 2 36 16" xfId="701" xr:uid="{00000000-0005-0000-0000-0000B2020000}"/>
    <cellStyle name="Normal 2 36 17" xfId="702" xr:uid="{00000000-0005-0000-0000-0000B3020000}"/>
    <cellStyle name="Normal 2 36 18" xfId="703" xr:uid="{00000000-0005-0000-0000-0000B4020000}"/>
    <cellStyle name="Normal 2 36 19" xfId="704" xr:uid="{00000000-0005-0000-0000-0000B5020000}"/>
    <cellStyle name="Normal 2 36 2" xfId="705" xr:uid="{00000000-0005-0000-0000-0000B6020000}"/>
    <cellStyle name="Normal 2 36 20" xfId="706" xr:uid="{00000000-0005-0000-0000-0000B7020000}"/>
    <cellStyle name="Normal 2 36 21" xfId="707" xr:uid="{00000000-0005-0000-0000-0000B8020000}"/>
    <cellStyle name="Normal 2 36 22" xfId="708" xr:uid="{00000000-0005-0000-0000-0000B9020000}"/>
    <cellStyle name="Normal 2 36 23" xfId="709" xr:uid="{00000000-0005-0000-0000-0000BA020000}"/>
    <cellStyle name="Normal 2 36 3" xfId="710" xr:uid="{00000000-0005-0000-0000-0000BB020000}"/>
    <cellStyle name="Normal 2 36 4" xfId="711" xr:uid="{00000000-0005-0000-0000-0000BC020000}"/>
    <cellStyle name="Normal 2 36 5" xfId="712" xr:uid="{00000000-0005-0000-0000-0000BD020000}"/>
    <cellStyle name="Normal 2 36 6" xfId="713" xr:uid="{00000000-0005-0000-0000-0000BE020000}"/>
    <cellStyle name="Normal 2 36 7" xfId="714" xr:uid="{00000000-0005-0000-0000-0000BF020000}"/>
    <cellStyle name="Normal 2 36 8" xfId="715" xr:uid="{00000000-0005-0000-0000-0000C0020000}"/>
    <cellStyle name="Normal 2 36 9" xfId="716" xr:uid="{00000000-0005-0000-0000-0000C1020000}"/>
    <cellStyle name="Normal 2 37" xfId="717" xr:uid="{00000000-0005-0000-0000-0000C2020000}"/>
    <cellStyle name="Normal 2 37 10" xfId="718" xr:uid="{00000000-0005-0000-0000-0000C3020000}"/>
    <cellStyle name="Normal 2 37 11" xfId="719" xr:uid="{00000000-0005-0000-0000-0000C4020000}"/>
    <cellStyle name="Normal 2 37 12" xfId="720" xr:uid="{00000000-0005-0000-0000-0000C5020000}"/>
    <cellStyle name="Normal 2 37 13" xfId="721" xr:uid="{00000000-0005-0000-0000-0000C6020000}"/>
    <cellStyle name="Normal 2 37 14" xfId="722" xr:uid="{00000000-0005-0000-0000-0000C7020000}"/>
    <cellStyle name="Normal 2 37 15" xfId="723" xr:uid="{00000000-0005-0000-0000-0000C8020000}"/>
    <cellStyle name="Normal 2 37 16" xfId="724" xr:uid="{00000000-0005-0000-0000-0000C9020000}"/>
    <cellStyle name="Normal 2 37 17" xfId="725" xr:uid="{00000000-0005-0000-0000-0000CA020000}"/>
    <cellStyle name="Normal 2 37 18" xfId="726" xr:uid="{00000000-0005-0000-0000-0000CB020000}"/>
    <cellStyle name="Normal 2 37 19" xfId="727" xr:uid="{00000000-0005-0000-0000-0000CC020000}"/>
    <cellStyle name="Normal 2 37 2" xfId="728" xr:uid="{00000000-0005-0000-0000-0000CD020000}"/>
    <cellStyle name="Normal 2 37 20" xfId="729" xr:uid="{00000000-0005-0000-0000-0000CE020000}"/>
    <cellStyle name="Normal 2 37 21" xfId="730" xr:uid="{00000000-0005-0000-0000-0000CF020000}"/>
    <cellStyle name="Normal 2 37 22" xfId="731" xr:uid="{00000000-0005-0000-0000-0000D0020000}"/>
    <cellStyle name="Normal 2 37 23" xfId="732" xr:uid="{00000000-0005-0000-0000-0000D1020000}"/>
    <cellStyle name="Normal 2 37 3" xfId="733" xr:uid="{00000000-0005-0000-0000-0000D2020000}"/>
    <cellStyle name="Normal 2 37 4" xfId="734" xr:uid="{00000000-0005-0000-0000-0000D3020000}"/>
    <cellStyle name="Normal 2 37 5" xfId="735" xr:uid="{00000000-0005-0000-0000-0000D4020000}"/>
    <cellStyle name="Normal 2 37 6" xfId="736" xr:uid="{00000000-0005-0000-0000-0000D5020000}"/>
    <cellStyle name="Normal 2 37 7" xfId="737" xr:uid="{00000000-0005-0000-0000-0000D6020000}"/>
    <cellStyle name="Normal 2 37 8" xfId="738" xr:uid="{00000000-0005-0000-0000-0000D7020000}"/>
    <cellStyle name="Normal 2 37 9" xfId="739" xr:uid="{00000000-0005-0000-0000-0000D8020000}"/>
    <cellStyle name="Normal 2 38" xfId="740" xr:uid="{00000000-0005-0000-0000-0000D9020000}"/>
    <cellStyle name="Normal 2 38 10" xfId="741" xr:uid="{00000000-0005-0000-0000-0000DA020000}"/>
    <cellStyle name="Normal 2 38 11" xfId="742" xr:uid="{00000000-0005-0000-0000-0000DB020000}"/>
    <cellStyle name="Normal 2 38 12" xfId="743" xr:uid="{00000000-0005-0000-0000-0000DC020000}"/>
    <cellStyle name="Normal 2 38 13" xfId="744" xr:uid="{00000000-0005-0000-0000-0000DD020000}"/>
    <cellStyle name="Normal 2 38 14" xfId="745" xr:uid="{00000000-0005-0000-0000-0000DE020000}"/>
    <cellStyle name="Normal 2 38 15" xfId="746" xr:uid="{00000000-0005-0000-0000-0000DF020000}"/>
    <cellStyle name="Normal 2 38 16" xfId="747" xr:uid="{00000000-0005-0000-0000-0000E0020000}"/>
    <cellStyle name="Normal 2 38 17" xfId="748" xr:uid="{00000000-0005-0000-0000-0000E1020000}"/>
    <cellStyle name="Normal 2 38 18" xfId="749" xr:uid="{00000000-0005-0000-0000-0000E2020000}"/>
    <cellStyle name="Normal 2 38 19" xfId="750" xr:uid="{00000000-0005-0000-0000-0000E3020000}"/>
    <cellStyle name="Normal 2 38 2" xfId="751" xr:uid="{00000000-0005-0000-0000-0000E4020000}"/>
    <cellStyle name="Normal 2 38 20" xfId="752" xr:uid="{00000000-0005-0000-0000-0000E5020000}"/>
    <cellStyle name="Normal 2 38 21" xfId="753" xr:uid="{00000000-0005-0000-0000-0000E6020000}"/>
    <cellStyle name="Normal 2 38 22" xfId="754" xr:uid="{00000000-0005-0000-0000-0000E7020000}"/>
    <cellStyle name="Normal 2 38 23" xfId="755" xr:uid="{00000000-0005-0000-0000-0000E8020000}"/>
    <cellStyle name="Normal 2 38 3" xfId="756" xr:uid="{00000000-0005-0000-0000-0000E9020000}"/>
    <cellStyle name="Normal 2 38 4" xfId="757" xr:uid="{00000000-0005-0000-0000-0000EA020000}"/>
    <cellStyle name="Normal 2 38 5" xfId="758" xr:uid="{00000000-0005-0000-0000-0000EB020000}"/>
    <cellStyle name="Normal 2 38 6" xfId="759" xr:uid="{00000000-0005-0000-0000-0000EC020000}"/>
    <cellStyle name="Normal 2 38 7" xfId="760" xr:uid="{00000000-0005-0000-0000-0000ED020000}"/>
    <cellStyle name="Normal 2 38 8" xfId="761" xr:uid="{00000000-0005-0000-0000-0000EE020000}"/>
    <cellStyle name="Normal 2 38 9" xfId="762" xr:uid="{00000000-0005-0000-0000-0000EF020000}"/>
    <cellStyle name="Normal 2 39" xfId="763" xr:uid="{00000000-0005-0000-0000-0000F0020000}"/>
    <cellStyle name="Normal 2 39 10" xfId="764" xr:uid="{00000000-0005-0000-0000-0000F1020000}"/>
    <cellStyle name="Normal 2 39 11" xfId="765" xr:uid="{00000000-0005-0000-0000-0000F2020000}"/>
    <cellStyle name="Normal 2 39 12" xfId="766" xr:uid="{00000000-0005-0000-0000-0000F3020000}"/>
    <cellStyle name="Normal 2 39 13" xfId="767" xr:uid="{00000000-0005-0000-0000-0000F4020000}"/>
    <cellStyle name="Normal 2 39 14" xfId="768" xr:uid="{00000000-0005-0000-0000-0000F5020000}"/>
    <cellStyle name="Normal 2 39 15" xfId="769" xr:uid="{00000000-0005-0000-0000-0000F6020000}"/>
    <cellStyle name="Normal 2 39 16" xfId="770" xr:uid="{00000000-0005-0000-0000-0000F7020000}"/>
    <cellStyle name="Normal 2 39 17" xfId="771" xr:uid="{00000000-0005-0000-0000-0000F8020000}"/>
    <cellStyle name="Normal 2 39 18" xfId="772" xr:uid="{00000000-0005-0000-0000-0000F9020000}"/>
    <cellStyle name="Normal 2 39 19" xfId="773" xr:uid="{00000000-0005-0000-0000-0000FA020000}"/>
    <cellStyle name="Normal 2 39 2" xfId="774" xr:uid="{00000000-0005-0000-0000-0000FB020000}"/>
    <cellStyle name="Normal 2 39 20" xfId="775" xr:uid="{00000000-0005-0000-0000-0000FC020000}"/>
    <cellStyle name="Normal 2 39 21" xfId="776" xr:uid="{00000000-0005-0000-0000-0000FD020000}"/>
    <cellStyle name="Normal 2 39 22" xfId="777" xr:uid="{00000000-0005-0000-0000-0000FE020000}"/>
    <cellStyle name="Normal 2 39 23" xfId="778" xr:uid="{00000000-0005-0000-0000-0000FF020000}"/>
    <cellStyle name="Normal 2 39 3" xfId="779" xr:uid="{00000000-0005-0000-0000-000000030000}"/>
    <cellStyle name="Normal 2 39 4" xfId="780" xr:uid="{00000000-0005-0000-0000-000001030000}"/>
    <cellStyle name="Normal 2 39 5" xfId="781" xr:uid="{00000000-0005-0000-0000-000002030000}"/>
    <cellStyle name="Normal 2 39 6" xfId="782" xr:uid="{00000000-0005-0000-0000-000003030000}"/>
    <cellStyle name="Normal 2 39 7" xfId="783" xr:uid="{00000000-0005-0000-0000-000004030000}"/>
    <cellStyle name="Normal 2 39 8" xfId="784" xr:uid="{00000000-0005-0000-0000-000005030000}"/>
    <cellStyle name="Normal 2 39 9" xfId="785" xr:uid="{00000000-0005-0000-0000-000006030000}"/>
    <cellStyle name="Normal 2 4" xfId="786" xr:uid="{00000000-0005-0000-0000-000007030000}"/>
    <cellStyle name="Normal 2 40" xfId="787" xr:uid="{00000000-0005-0000-0000-000008030000}"/>
    <cellStyle name="Normal 2 41" xfId="788" xr:uid="{00000000-0005-0000-0000-000009030000}"/>
    <cellStyle name="Normal 2 42" xfId="789" xr:uid="{00000000-0005-0000-0000-00000A030000}"/>
    <cellStyle name="Normal 2 43" xfId="790" xr:uid="{00000000-0005-0000-0000-00000B030000}"/>
    <cellStyle name="Normal 2 44" xfId="791" xr:uid="{00000000-0005-0000-0000-00000C030000}"/>
    <cellStyle name="Normal 2 45" xfId="792" xr:uid="{00000000-0005-0000-0000-00000D030000}"/>
    <cellStyle name="Normal 2 46" xfId="793" xr:uid="{00000000-0005-0000-0000-00000E030000}"/>
    <cellStyle name="Normal 2 47" xfId="794" xr:uid="{00000000-0005-0000-0000-00000F030000}"/>
    <cellStyle name="Normal 2 48" xfId="795" xr:uid="{00000000-0005-0000-0000-000010030000}"/>
    <cellStyle name="Normal 2 49" xfId="796" xr:uid="{00000000-0005-0000-0000-000011030000}"/>
    <cellStyle name="Normal 2 5" xfId="797" xr:uid="{00000000-0005-0000-0000-000012030000}"/>
    <cellStyle name="Normal 2 5 10" xfId="798" xr:uid="{00000000-0005-0000-0000-000013030000}"/>
    <cellStyle name="Normal 2 5 11" xfId="799" xr:uid="{00000000-0005-0000-0000-000014030000}"/>
    <cellStyle name="Normal 2 5 12" xfId="800" xr:uid="{00000000-0005-0000-0000-000015030000}"/>
    <cellStyle name="Normal 2 5 13" xfId="801" xr:uid="{00000000-0005-0000-0000-000016030000}"/>
    <cellStyle name="Normal 2 5 14" xfId="802" xr:uid="{00000000-0005-0000-0000-000017030000}"/>
    <cellStyle name="Normal 2 5 15" xfId="803" xr:uid="{00000000-0005-0000-0000-000018030000}"/>
    <cellStyle name="Normal 2 5 16" xfId="804" xr:uid="{00000000-0005-0000-0000-000019030000}"/>
    <cellStyle name="Normal 2 5 17" xfId="805" xr:uid="{00000000-0005-0000-0000-00001A030000}"/>
    <cellStyle name="Normal 2 5 18" xfId="806" xr:uid="{00000000-0005-0000-0000-00001B030000}"/>
    <cellStyle name="Normal 2 5 19" xfId="807" xr:uid="{00000000-0005-0000-0000-00001C030000}"/>
    <cellStyle name="Normal 2 5 2" xfId="808" xr:uid="{00000000-0005-0000-0000-00001D030000}"/>
    <cellStyle name="Normal 2 5 2 10" xfId="809" xr:uid="{00000000-0005-0000-0000-00001E030000}"/>
    <cellStyle name="Normal 2 5 2 11" xfId="810" xr:uid="{00000000-0005-0000-0000-00001F030000}"/>
    <cellStyle name="Normal 2 5 2 12" xfId="811" xr:uid="{00000000-0005-0000-0000-000020030000}"/>
    <cellStyle name="Normal 2 5 2 13" xfId="812" xr:uid="{00000000-0005-0000-0000-000021030000}"/>
    <cellStyle name="Normal 2 5 2 14" xfId="813" xr:uid="{00000000-0005-0000-0000-000022030000}"/>
    <cellStyle name="Normal 2 5 2 15" xfId="814" xr:uid="{00000000-0005-0000-0000-000023030000}"/>
    <cellStyle name="Normal 2 5 2 16" xfId="815" xr:uid="{00000000-0005-0000-0000-000024030000}"/>
    <cellStyle name="Normal 2 5 2 17" xfId="816" xr:uid="{00000000-0005-0000-0000-000025030000}"/>
    <cellStyle name="Normal 2 5 2 18" xfId="817" xr:uid="{00000000-0005-0000-0000-000026030000}"/>
    <cellStyle name="Normal 2 5 2 19" xfId="818" xr:uid="{00000000-0005-0000-0000-000027030000}"/>
    <cellStyle name="Normal 2 5 2 2" xfId="819" xr:uid="{00000000-0005-0000-0000-000028030000}"/>
    <cellStyle name="Normal 2 5 2 2 10" xfId="820" xr:uid="{00000000-0005-0000-0000-000029030000}"/>
    <cellStyle name="Normal 2 5 2 2 11" xfId="821" xr:uid="{00000000-0005-0000-0000-00002A030000}"/>
    <cellStyle name="Normal 2 5 2 2 12" xfId="822" xr:uid="{00000000-0005-0000-0000-00002B030000}"/>
    <cellStyle name="Normal 2 5 2 2 13" xfId="823" xr:uid="{00000000-0005-0000-0000-00002C030000}"/>
    <cellStyle name="Normal 2 5 2 2 14" xfId="824" xr:uid="{00000000-0005-0000-0000-00002D030000}"/>
    <cellStyle name="Normal 2 5 2 2 15" xfId="825" xr:uid="{00000000-0005-0000-0000-00002E030000}"/>
    <cellStyle name="Normal 2 5 2 2 16" xfId="826" xr:uid="{00000000-0005-0000-0000-00002F030000}"/>
    <cellStyle name="Normal 2 5 2 2 17" xfId="827" xr:uid="{00000000-0005-0000-0000-000030030000}"/>
    <cellStyle name="Normal 2 5 2 2 18" xfId="828" xr:uid="{00000000-0005-0000-0000-000031030000}"/>
    <cellStyle name="Normal 2 5 2 2 19" xfId="829" xr:uid="{00000000-0005-0000-0000-000032030000}"/>
    <cellStyle name="Normal 2 5 2 2 2" xfId="830" xr:uid="{00000000-0005-0000-0000-000033030000}"/>
    <cellStyle name="Normal 2 5 2 2 20" xfId="831" xr:uid="{00000000-0005-0000-0000-000034030000}"/>
    <cellStyle name="Normal 2 5 2 2 21" xfId="832" xr:uid="{00000000-0005-0000-0000-000035030000}"/>
    <cellStyle name="Normal 2 5 2 2 22" xfId="833" xr:uid="{00000000-0005-0000-0000-000036030000}"/>
    <cellStyle name="Normal 2 5 2 2 23" xfId="834" xr:uid="{00000000-0005-0000-0000-000037030000}"/>
    <cellStyle name="Normal 2 5 2 2 24" xfId="835" xr:uid="{00000000-0005-0000-0000-000038030000}"/>
    <cellStyle name="Normal 2 5 2 2 25" xfId="836" xr:uid="{00000000-0005-0000-0000-000039030000}"/>
    <cellStyle name="Normal 2 5 2 2 26" xfId="837" xr:uid="{00000000-0005-0000-0000-00003A030000}"/>
    <cellStyle name="Normal 2 5 2 2 27" xfId="838" xr:uid="{00000000-0005-0000-0000-00003B030000}"/>
    <cellStyle name="Normal 2 5 2 2 28" xfId="839" xr:uid="{00000000-0005-0000-0000-00003C030000}"/>
    <cellStyle name="Normal 2 5 2 2 29" xfId="840" xr:uid="{00000000-0005-0000-0000-00003D030000}"/>
    <cellStyle name="Normal 2 5 2 2 3" xfId="841" xr:uid="{00000000-0005-0000-0000-00003E030000}"/>
    <cellStyle name="Normal 2 5 2 2 30" xfId="842" xr:uid="{00000000-0005-0000-0000-00003F030000}"/>
    <cellStyle name="Normal 2 5 2 2 31" xfId="843" xr:uid="{00000000-0005-0000-0000-000040030000}"/>
    <cellStyle name="Normal 2 5 2 2 32" xfId="844" xr:uid="{00000000-0005-0000-0000-000041030000}"/>
    <cellStyle name="Normal 2 5 2 2 33" xfId="845" xr:uid="{00000000-0005-0000-0000-000042030000}"/>
    <cellStyle name="Normal 2 5 2 2 34" xfId="846" xr:uid="{00000000-0005-0000-0000-000043030000}"/>
    <cellStyle name="Normal 2 5 2 2 35" xfId="847" xr:uid="{00000000-0005-0000-0000-000044030000}"/>
    <cellStyle name="Normal 2 5 2 2 36" xfId="848" xr:uid="{00000000-0005-0000-0000-000045030000}"/>
    <cellStyle name="Normal 2 5 2 2 37" xfId="849" xr:uid="{00000000-0005-0000-0000-000046030000}"/>
    <cellStyle name="Normal 2 5 2 2 38" xfId="850" xr:uid="{00000000-0005-0000-0000-000047030000}"/>
    <cellStyle name="Normal 2 5 2 2 39" xfId="851" xr:uid="{00000000-0005-0000-0000-000048030000}"/>
    <cellStyle name="Normal 2 5 2 2 4" xfId="852" xr:uid="{00000000-0005-0000-0000-000049030000}"/>
    <cellStyle name="Normal 2 5 2 2 40" xfId="853" xr:uid="{00000000-0005-0000-0000-00004A030000}"/>
    <cellStyle name="Normal 2 5 2 2 41" xfId="854" xr:uid="{00000000-0005-0000-0000-00004B030000}"/>
    <cellStyle name="Normal 2 5 2 2 42" xfId="855" xr:uid="{00000000-0005-0000-0000-00004C030000}"/>
    <cellStyle name="Normal 2 5 2 2 43" xfId="856" xr:uid="{00000000-0005-0000-0000-00004D030000}"/>
    <cellStyle name="Normal 2 5 2 2 44" xfId="857" xr:uid="{00000000-0005-0000-0000-00004E030000}"/>
    <cellStyle name="Normal 2 5 2 2 45" xfId="858" xr:uid="{00000000-0005-0000-0000-00004F030000}"/>
    <cellStyle name="Normal 2 5 2 2 46" xfId="859" xr:uid="{00000000-0005-0000-0000-000050030000}"/>
    <cellStyle name="Normal 2 5 2 2 47" xfId="860" xr:uid="{00000000-0005-0000-0000-000051030000}"/>
    <cellStyle name="Normal 2 5 2 2 48" xfId="861" xr:uid="{00000000-0005-0000-0000-000052030000}"/>
    <cellStyle name="Normal 2 5 2 2 49" xfId="862" xr:uid="{00000000-0005-0000-0000-000053030000}"/>
    <cellStyle name="Normal 2 5 2 2 5" xfId="863" xr:uid="{00000000-0005-0000-0000-000054030000}"/>
    <cellStyle name="Normal 2 5 2 2 50" xfId="864" xr:uid="{00000000-0005-0000-0000-000055030000}"/>
    <cellStyle name="Normal 2 5 2 2 51" xfId="865" xr:uid="{00000000-0005-0000-0000-000056030000}"/>
    <cellStyle name="Normal 2 5 2 2 52" xfId="866" xr:uid="{00000000-0005-0000-0000-000057030000}"/>
    <cellStyle name="Normal 2 5 2 2 53" xfId="867" xr:uid="{00000000-0005-0000-0000-000058030000}"/>
    <cellStyle name="Normal 2 5 2 2 54" xfId="868" xr:uid="{00000000-0005-0000-0000-000059030000}"/>
    <cellStyle name="Normal 2 5 2 2 55" xfId="869" xr:uid="{00000000-0005-0000-0000-00005A030000}"/>
    <cellStyle name="Normal 2 5 2 2 6" xfId="870" xr:uid="{00000000-0005-0000-0000-00005B030000}"/>
    <cellStyle name="Normal 2 5 2 2 7" xfId="871" xr:uid="{00000000-0005-0000-0000-00005C030000}"/>
    <cellStyle name="Normal 2 5 2 2 8" xfId="872" xr:uid="{00000000-0005-0000-0000-00005D030000}"/>
    <cellStyle name="Normal 2 5 2 2 9" xfId="873" xr:uid="{00000000-0005-0000-0000-00005E030000}"/>
    <cellStyle name="Normal 2 5 2 20" xfId="874" xr:uid="{00000000-0005-0000-0000-00005F030000}"/>
    <cellStyle name="Normal 2 5 2 21" xfId="875" xr:uid="{00000000-0005-0000-0000-000060030000}"/>
    <cellStyle name="Normal 2 5 2 22" xfId="876" xr:uid="{00000000-0005-0000-0000-000061030000}"/>
    <cellStyle name="Normal 2 5 2 23" xfId="877" xr:uid="{00000000-0005-0000-0000-000062030000}"/>
    <cellStyle name="Normal 2 5 2 24" xfId="878" xr:uid="{00000000-0005-0000-0000-000063030000}"/>
    <cellStyle name="Normal 2 5 2 25" xfId="879" xr:uid="{00000000-0005-0000-0000-000064030000}"/>
    <cellStyle name="Normal 2 5 2 26" xfId="880" xr:uid="{00000000-0005-0000-0000-000065030000}"/>
    <cellStyle name="Normal 2 5 2 27" xfId="881" xr:uid="{00000000-0005-0000-0000-000066030000}"/>
    <cellStyle name="Normal 2 5 2 28" xfId="882" xr:uid="{00000000-0005-0000-0000-000067030000}"/>
    <cellStyle name="Normal 2 5 2 29" xfId="883" xr:uid="{00000000-0005-0000-0000-000068030000}"/>
    <cellStyle name="Normal 2 5 2 3" xfId="884" xr:uid="{00000000-0005-0000-0000-000069030000}"/>
    <cellStyle name="Normal 2 5 2 30" xfId="885" xr:uid="{00000000-0005-0000-0000-00006A030000}"/>
    <cellStyle name="Normal 2 5 2 31" xfId="886" xr:uid="{00000000-0005-0000-0000-00006B030000}"/>
    <cellStyle name="Normal 2 5 2 32" xfId="887" xr:uid="{00000000-0005-0000-0000-00006C030000}"/>
    <cellStyle name="Normal 2 5 2 33" xfId="888" xr:uid="{00000000-0005-0000-0000-00006D030000}"/>
    <cellStyle name="Normal 2 5 2 4" xfId="889" xr:uid="{00000000-0005-0000-0000-00006E030000}"/>
    <cellStyle name="Normal 2 5 2 5" xfId="890" xr:uid="{00000000-0005-0000-0000-00006F030000}"/>
    <cellStyle name="Normal 2 5 2 6" xfId="891" xr:uid="{00000000-0005-0000-0000-000070030000}"/>
    <cellStyle name="Normal 2 5 2 7" xfId="892" xr:uid="{00000000-0005-0000-0000-000071030000}"/>
    <cellStyle name="Normal 2 5 2 8" xfId="893" xr:uid="{00000000-0005-0000-0000-000072030000}"/>
    <cellStyle name="Normal 2 5 2 9" xfId="894" xr:uid="{00000000-0005-0000-0000-000073030000}"/>
    <cellStyle name="Normal 2 5 20" xfId="895" xr:uid="{00000000-0005-0000-0000-000074030000}"/>
    <cellStyle name="Normal 2 5 21" xfId="896" xr:uid="{00000000-0005-0000-0000-000075030000}"/>
    <cellStyle name="Normal 2 5 22" xfId="897" xr:uid="{00000000-0005-0000-0000-000076030000}"/>
    <cellStyle name="Normal 2 5 23" xfId="898" xr:uid="{00000000-0005-0000-0000-000077030000}"/>
    <cellStyle name="Normal 2 5 24" xfId="899" xr:uid="{00000000-0005-0000-0000-000078030000}"/>
    <cellStyle name="Normal 2 5 25" xfId="900" xr:uid="{00000000-0005-0000-0000-000079030000}"/>
    <cellStyle name="Normal 2 5 26" xfId="901" xr:uid="{00000000-0005-0000-0000-00007A030000}"/>
    <cellStyle name="Normal 2 5 27" xfId="902" xr:uid="{00000000-0005-0000-0000-00007B030000}"/>
    <cellStyle name="Normal 2 5 28" xfId="903" xr:uid="{00000000-0005-0000-0000-00007C030000}"/>
    <cellStyle name="Normal 2 5 29" xfId="904" xr:uid="{00000000-0005-0000-0000-00007D030000}"/>
    <cellStyle name="Normal 2 5 3" xfId="905" xr:uid="{00000000-0005-0000-0000-00007E030000}"/>
    <cellStyle name="Normal 2 5 30" xfId="906" xr:uid="{00000000-0005-0000-0000-00007F030000}"/>
    <cellStyle name="Normal 2 5 31" xfId="907" xr:uid="{00000000-0005-0000-0000-000080030000}"/>
    <cellStyle name="Normal 2 5 32" xfId="908" xr:uid="{00000000-0005-0000-0000-000081030000}"/>
    <cellStyle name="Normal 2 5 33" xfId="909" xr:uid="{00000000-0005-0000-0000-000082030000}"/>
    <cellStyle name="Normal 2 5 34" xfId="910" xr:uid="{00000000-0005-0000-0000-000083030000}"/>
    <cellStyle name="Normal 2 5 35" xfId="911" xr:uid="{00000000-0005-0000-0000-000084030000}"/>
    <cellStyle name="Normal 2 5 36" xfId="912" xr:uid="{00000000-0005-0000-0000-000085030000}"/>
    <cellStyle name="Normal 2 5 37" xfId="913" xr:uid="{00000000-0005-0000-0000-000086030000}"/>
    <cellStyle name="Normal 2 5 38" xfId="914" xr:uid="{00000000-0005-0000-0000-000087030000}"/>
    <cellStyle name="Normal 2 5 39" xfId="915" xr:uid="{00000000-0005-0000-0000-000088030000}"/>
    <cellStyle name="Normal 2 5 4" xfId="916" xr:uid="{00000000-0005-0000-0000-000089030000}"/>
    <cellStyle name="Normal 2 5 40" xfId="917" xr:uid="{00000000-0005-0000-0000-00008A030000}"/>
    <cellStyle name="Normal 2 5 41" xfId="918" xr:uid="{00000000-0005-0000-0000-00008B030000}"/>
    <cellStyle name="Normal 2 5 42" xfId="919" xr:uid="{00000000-0005-0000-0000-00008C030000}"/>
    <cellStyle name="Normal 2 5 43" xfId="920" xr:uid="{00000000-0005-0000-0000-00008D030000}"/>
    <cellStyle name="Normal 2 5 44" xfId="921" xr:uid="{00000000-0005-0000-0000-00008E030000}"/>
    <cellStyle name="Normal 2 5 45" xfId="922" xr:uid="{00000000-0005-0000-0000-00008F030000}"/>
    <cellStyle name="Normal 2 5 46" xfId="923" xr:uid="{00000000-0005-0000-0000-000090030000}"/>
    <cellStyle name="Normal 2 5 47" xfId="924" xr:uid="{00000000-0005-0000-0000-000091030000}"/>
    <cellStyle name="Normal 2 5 48" xfId="925" xr:uid="{00000000-0005-0000-0000-000092030000}"/>
    <cellStyle name="Normal 2 5 49" xfId="926" xr:uid="{00000000-0005-0000-0000-000093030000}"/>
    <cellStyle name="Normal 2 5 5" xfId="927" xr:uid="{00000000-0005-0000-0000-000094030000}"/>
    <cellStyle name="Normal 2 5 50" xfId="928" xr:uid="{00000000-0005-0000-0000-000095030000}"/>
    <cellStyle name="Normal 2 5 51" xfId="929" xr:uid="{00000000-0005-0000-0000-000096030000}"/>
    <cellStyle name="Normal 2 5 52" xfId="930" xr:uid="{00000000-0005-0000-0000-000097030000}"/>
    <cellStyle name="Normal 2 5 53" xfId="931" xr:uid="{00000000-0005-0000-0000-000098030000}"/>
    <cellStyle name="Normal 2 5 54" xfId="932" xr:uid="{00000000-0005-0000-0000-000099030000}"/>
    <cellStyle name="Normal 2 5 55" xfId="933" xr:uid="{00000000-0005-0000-0000-00009A030000}"/>
    <cellStyle name="Normal 2 5 56" xfId="934" xr:uid="{00000000-0005-0000-0000-00009B030000}"/>
    <cellStyle name="Normal 2 5 57" xfId="935" xr:uid="{00000000-0005-0000-0000-00009C030000}"/>
    <cellStyle name="Normal 2 5 58" xfId="936" xr:uid="{00000000-0005-0000-0000-00009D030000}"/>
    <cellStyle name="Normal 2 5 59" xfId="937" xr:uid="{00000000-0005-0000-0000-00009E030000}"/>
    <cellStyle name="Normal 2 5 6" xfId="938" xr:uid="{00000000-0005-0000-0000-00009F030000}"/>
    <cellStyle name="Normal 2 5 60" xfId="939" xr:uid="{00000000-0005-0000-0000-0000A0030000}"/>
    <cellStyle name="Normal 2 5 61" xfId="940" xr:uid="{00000000-0005-0000-0000-0000A1030000}"/>
    <cellStyle name="Normal 2 5 62" xfId="941" xr:uid="{00000000-0005-0000-0000-0000A2030000}"/>
    <cellStyle name="Normal 2 5 63" xfId="942" xr:uid="{00000000-0005-0000-0000-0000A3030000}"/>
    <cellStyle name="Normal 2 5 64" xfId="943" xr:uid="{00000000-0005-0000-0000-0000A4030000}"/>
    <cellStyle name="Normal 2 5 65" xfId="944" xr:uid="{00000000-0005-0000-0000-0000A5030000}"/>
    <cellStyle name="Normal 2 5 66" xfId="945" xr:uid="{00000000-0005-0000-0000-0000A6030000}"/>
    <cellStyle name="Normal 2 5 67" xfId="946" xr:uid="{00000000-0005-0000-0000-0000A7030000}"/>
    <cellStyle name="Normal 2 5 68" xfId="947" xr:uid="{00000000-0005-0000-0000-0000A8030000}"/>
    <cellStyle name="Normal 2 5 69" xfId="948" xr:uid="{00000000-0005-0000-0000-0000A9030000}"/>
    <cellStyle name="Normal 2 5 7" xfId="949" xr:uid="{00000000-0005-0000-0000-0000AA030000}"/>
    <cellStyle name="Normal 2 5 70" xfId="950" xr:uid="{00000000-0005-0000-0000-0000AB030000}"/>
    <cellStyle name="Normal 2 5 71" xfId="951" xr:uid="{00000000-0005-0000-0000-0000AC030000}"/>
    <cellStyle name="Normal 2 5 72" xfId="952" xr:uid="{00000000-0005-0000-0000-0000AD030000}"/>
    <cellStyle name="Normal 2 5 73" xfId="953" xr:uid="{00000000-0005-0000-0000-0000AE030000}"/>
    <cellStyle name="Normal 2 5 74" xfId="954" xr:uid="{00000000-0005-0000-0000-0000AF030000}"/>
    <cellStyle name="Normal 2 5 75" xfId="955" xr:uid="{00000000-0005-0000-0000-0000B0030000}"/>
    <cellStyle name="Normal 2 5 76" xfId="956" xr:uid="{00000000-0005-0000-0000-0000B1030000}"/>
    <cellStyle name="Normal 2 5 77" xfId="957" xr:uid="{00000000-0005-0000-0000-0000B2030000}"/>
    <cellStyle name="Normal 2 5 78" xfId="958" xr:uid="{00000000-0005-0000-0000-0000B3030000}"/>
    <cellStyle name="Normal 2 5 79" xfId="959" xr:uid="{00000000-0005-0000-0000-0000B4030000}"/>
    <cellStyle name="Normal 2 5 8" xfId="960" xr:uid="{00000000-0005-0000-0000-0000B5030000}"/>
    <cellStyle name="Normal 2 5 80" xfId="961" xr:uid="{00000000-0005-0000-0000-0000B6030000}"/>
    <cellStyle name="Normal 2 5 81" xfId="962" xr:uid="{00000000-0005-0000-0000-0000B7030000}"/>
    <cellStyle name="Normal 2 5 82" xfId="963" xr:uid="{00000000-0005-0000-0000-0000B8030000}"/>
    <cellStyle name="Normal 2 5 83" xfId="964" xr:uid="{00000000-0005-0000-0000-0000B9030000}"/>
    <cellStyle name="Normal 2 5 84" xfId="965" xr:uid="{00000000-0005-0000-0000-0000BA030000}"/>
    <cellStyle name="Normal 2 5 85" xfId="966" xr:uid="{00000000-0005-0000-0000-0000BB030000}"/>
    <cellStyle name="Normal 2 5 86" xfId="967" xr:uid="{00000000-0005-0000-0000-0000BC030000}"/>
    <cellStyle name="Normal 2 5 87" xfId="968" xr:uid="{00000000-0005-0000-0000-0000BD030000}"/>
    <cellStyle name="Normal 2 5 9" xfId="969" xr:uid="{00000000-0005-0000-0000-0000BE030000}"/>
    <cellStyle name="Normal 2 5_DEER 032008 Cost Summary Delivery - Rev 4 (2)" xfId="970" xr:uid="{00000000-0005-0000-0000-0000BF030000}"/>
    <cellStyle name="Normal 2 50" xfId="971" xr:uid="{00000000-0005-0000-0000-0000C0030000}"/>
    <cellStyle name="Normal 2 51" xfId="972" xr:uid="{00000000-0005-0000-0000-0000C1030000}"/>
    <cellStyle name="Normal 2 52" xfId="973" xr:uid="{00000000-0005-0000-0000-0000C2030000}"/>
    <cellStyle name="Normal 2 53" xfId="974" xr:uid="{00000000-0005-0000-0000-0000C3030000}"/>
    <cellStyle name="Normal 2 54" xfId="975" xr:uid="{00000000-0005-0000-0000-0000C4030000}"/>
    <cellStyle name="Normal 2 55" xfId="976" xr:uid="{00000000-0005-0000-0000-0000C5030000}"/>
    <cellStyle name="Normal 2 56" xfId="977" xr:uid="{00000000-0005-0000-0000-0000C6030000}"/>
    <cellStyle name="Normal 2 57" xfId="978" xr:uid="{00000000-0005-0000-0000-0000C7030000}"/>
    <cellStyle name="Normal 2 58" xfId="979" xr:uid="{00000000-0005-0000-0000-0000C8030000}"/>
    <cellStyle name="Normal 2 59" xfId="980" xr:uid="{00000000-0005-0000-0000-0000C9030000}"/>
    <cellStyle name="Normal 2 6" xfId="981" xr:uid="{00000000-0005-0000-0000-0000CA030000}"/>
    <cellStyle name="Normal 2 60" xfId="982" xr:uid="{00000000-0005-0000-0000-0000CB030000}"/>
    <cellStyle name="Normal 2 61" xfId="983" xr:uid="{00000000-0005-0000-0000-0000CC030000}"/>
    <cellStyle name="Normal 2 62" xfId="984" xr:uid="{00000000-0005-0000-0000-0000CD030000}"/>
    <cellStyle name="Normal 2 63" xfId="985" xr:uid="{00000000-0005-0000-0000-0000CE030000}"/>
    <cellStyle name="Normal 2 64" xfId="986" xr:uid="{00000000-0005-0000-0000-0000CF030000}"/>
    <cellStyle name="Normal 2 65" xfId="987" xr:uid="{00000000-0005-0000-0000-0000D0030000}"/>
    <cellStyle name="Normal 2 66" xfId="988" xr:uid="{00000000-0005-0000-0000-0000D1030000}"/>
    <cellStyle name="Normal 2 67" xfId="989" xr:uid="{00000000-0005-0000-0000-0000D2030000}"/>
    <cellStyle name="Normal 2 68" xfId="990" xr:uid="{00000000-0005-0000-0000-0000D3030000}"/>
    <cellStyle name="Normal 2 69" xfId="991" xr:uid="{00000000-0005-0000-0000-0000D4030000}"/>
    <cellStyle name="Normal 2 7" xfId="992" xr:uid="{00000000-0005-0000-0000-0000D5030000}"/>
    <cellStyle name="Normal 2 70" xfId="993" xr:uid="{00000000-0005-0000-0000-0000D6030000}"/>
    <cellStyle name="Normal 2 71" xfId="994" xr:uid="{00000000-0005-0000-0000-0000D7030000}"/>
    <cellStyle name="Normal 2 72" xfId="995" xr:uid="{00000000-0005-0000-0000-0000D8030000}"/>
    <cellStyle name="Normal 2 73" xfId="996" xr:uid="{00000000-0005-0000-0000-0000D9030000}"/>
    <cellStyle name="Normal 2 74" xfId="997" xr:uid="{00000000-0005-0000-0000-0000DA030000}"/>
    <cellStyle name="Normal 2 75" xfId="998" xr:uid="{00000000-0005-0000-0000-0000DB030000}"/>
    <cellStyle name="Normal 2 76" xfId="999" xr:uid="{00000000-0005-0000-0000-0000DC030000}"/>
    <cellStyle name="Normal 2 77" xfId="1000" xr:uid="{00000000-0005-0000-0000-0000DD030000}"/>
    <cellStyle name="Normal 2 78" xfId="1001" xr:uid="{00000000-0005-0000-0000-0000DE030000}"/>
    <cellStyle name="Normal 2 79" xfId="1002" xr:uid="{00000000-0005-0000-0000-0000DF030000}"/>
    <cellStyle name="Normal 2 8" xfId="1003" xr:uid="{00000000-0005-0000-0000-0000E0030000}"/>
    <cellStyle name="Normal 2 8 10" xfId="1004" xr:uid="{00000000-0005-0000-0000-0000E1030000}"/>
    <cellStyle name="Normal 2 8 11" xfId="1005" xr:uid="{00000000-0005-0000-0000-0000E2030000}"/>
    <cellStyle name="Normal 2 8 12" xfId="1006" xr:uid="{00000000-0005-0000-0000-0000E3030000}"/>
    <cellStyle name="Normal 2 8 13" xfId="1007" xr:uid="{00000000-0005-0000-0000-0000E4030000}"/>
    <cellStyle name="Normal 2 8 14" xfId="1008" xr:uid="{00000000-0005-0000-0000-0000E5030000}"/>
    <cellStyle name="Normal 2 8 15" xfId="1009" xr:uid="{00000000-0005-0000-0000-0000E6030000}"/>
    <cellStyle name="Normal 2 8 16" xfId="1010" xr:uid="{00000000-0005-0000-0000-0000E7030000}"/>
    <cellStyle name="Normal 2 8 17" xfId="1011" xr:uid="{00000000-0005-0000-0000-0000E8030000}"/>
    <cellStyle name="Normal 2 8 18" xfId="1012" xr:uid="{00000000-0005-0000-0000-0000E9030000}"/>
    <cellStyle name="Normal 2 8 19" xfId="1013" xr:uid="{00000000-0005-0000-0000-0000EA030000}"/>
    <cellStyle name="Normal 2 8 2" xfId="1014" xr:uid="{00000000-0005-0000-0000-0000EB030000}"/>
    <cellStyle name="Normal 2 8 20" xfId="1015" xr:uid="{00000000-0005-0000-0000-0000EC030000}"/>
    <cellStyle name="Normal 2 8 21" xfId="1016" xr:uid="{00000000-0005-0000-0000-0000ED030000}"/>
    <cellStyle name="Normal 2 8 22" xfId="1017" xr:uid="{00000000-0005-0000-0000-0000EE030000}"/>
    <cellStyle name="Normal 2 8 23" xfId="1018" xr:uid="{00000000-0005-0000-0000-0000EF030000}"/>
    <cellStyle name="Normal 2 8 3" xfId="1019" xr:uid="{00000000-0005-0000-0000-0000F0030000}"/>
    <cellStyle name="Normal 2 8 4" xfId="1020" xr:uid="{00000000-0005-0000-0000-0000F1030000}"/>
    <cellStyle name="Normal 2 8 5" xfId="1021" xr:uid="{00000000-0005-0000-0000-0000F2030000}"/>
    <cellStyle name="Normal 2 8 6" xfId="1022" xr:uid="{00000000-0005-0000-0000-0000F3030000}"/>
    <cellStyle name="Normal 2 8 7" xfId="1023" xr:uid="{00000000-0005-0000-0000-0000F4030000}"/>
    <cellStyle name="Normal 2 8 8" xfId="1024" xr:uid="{00000000-0005-0000-0000-0000F5030000}"/>
    <cellStyle name="Normal 2 8 9" xfId="1025" xr:uid="{00000000-0005-0000-0000-0000F6030000}"/>
    <cellStyle name="Normal 2 80" xfId="1026" xr:uid="{00000000-0005-0000-0000-0000F7030000}"/>
    <cellStyle name="Normal 2 81" xfId="1027" xr:uid="{00000000-0005-0000-0000-0000F8030000}"/>
    <cellStyle name="Normal 2 82" xfId="1028" xr:uid="{00000000-0005-0000-0000-0000F9030000}"/>
    <cellStyle name="Normal 2 83" xfId="1029" xr:uid="{00000000-0005-0000-0000-0000FA030000}"/>
    <cellStyle name="Normal 2 84" xfId="1030" xr:uid="{00000000-0005-0000-0000-0000FB030000}"/>
    <cellStyle name="Normal 2 85" xfId="1031" xr:uid="{00000000-0005-0000-0000-0000FC030000}"/>
    <cellStyle name="Normal 2 86" xfId="1032" xr:uid="{00000000-0005-0000-0000-0000FD030000}"/>
    <cellStyle name="Normal 2 87" xfId="1033" xr:uid="{00000000-0005-0000-0000-0000FE030000}"/>
    <cellStyle name="Normal 2 88" xfId="1034" xr:uid="{00000000-0005-0000-0000-0000FF030000}"/>
    <cellStyle name="Normal 2 89" xfId="1035" xr:uid="{00000000-0005-0000-0000-000000040000}"/>
    <cellStyle name="Normal 2 9" xfId="1036" xr:uid="{00000000-0005-0000-0000-000001040000}"/>
    <cellStyle name="Normal 2 9 10" xfId="1037" xr:uid="{00000000-0005-0000-0000-000002040000}"/>
    <cellStyle name="Normal 2 9 11" xfId="1038" xr:uid="{00000000-0005-0000-0000-000003040000}"/>
    <cellStyle name="Normal 2 9 12" xfId="1039" xr:uid="{00000000-0005-0000-0000-000004040000}"/>
    <cellStyle name="Normal 2 9 13" xfId="1040" xr:uid="{00000000-0005-0000-0000-000005040000}"/>
    <cellStyle name="Normal 2 9 14" xfId="1041" xr:uid="{00000000-0005-0000-0000-000006040000}"/>
    <cellStyle name="Normal 2 9 15" xfId="1042" xr:uid="{00000000-0005-0000-0000-000007040000}"/>
    <cellStyle name="Normal 2 9 16" xfId="1043" xr:uid="{00000000-0005-0000-0000-000008040000}"/>
    <cellStyle name="Normal 2 9 17" xfId="1044" xr:uid="{00000000-0005-0000-0000-000009040000}"/>
    <cellStyle name="Normal 2 9 18" xfId="1045" xr:uid="{00000000-0005-0000-0000-00000A040000}"/>
    <cellStyle name="Normal 2 9 19" xfId="1046" xr:uid="{00000000-0005-0000-0000-00000B040000}"/>
    <cellStyle name="Normal 2 9 2" xfId="1047" xr:uid="{00000000-0005-0000-0000-00000C040000}"/>
    <cellStyle name="Normal 2 9 20" xfId="1048" xr:uid="{00000000-0005-0000-0000-00000D040000}"/>
    <cellStyle name="Normal 2 9 21" xfId="1049" xr:uid="{00000000-0005-0000-0000-00000E040000}"/>
    <cellStyle name="Normal 2 9 22" xfId="1050" xr:uid="{00000000-0005-0000-0000-00000F040000}"/>
    <cellStyle name="Normal 2 9 23" xfId="1051" xr:uid="{00000000-0005-0000-0000-000010040000}"/>
    <cellStyle name="Normal 2 9 3" xfId="1052" xr:uid="{00000000-0005-0000-0000-000011040000}"/>
    <cellStyle name="Normal 2 9 4" xfId="1053" xr:uid="{00000000-0005-0000-0000-000012040000}"/>
    <cellStyle name="Normal 2 9 5" xfId="1054" xr:uid="{00000000-0005-0000-0000-000013040000}"/>
    <cellStyle name="Normal 2 9 6" xfId="1055" xr:uid="{00000000-0005-0000-0000-000014040000}"/>
    <cellStyle name="Normal 2 9 7" xfId="1056" xr:uid="{00000000-0005-0000-0000-000015040000}"/>
    <cellStyle name="Normal 2 9 8" xfId="1057" xr:uid="{00000000-0005-0000-0000-000016040000}"/>
    <cellStyle name="Normal 2 9 9" xfId="1058" xr:uid="{00000000-0005-0000-0000-000017040000}"/>
    <cellStyle name="Normal 2 90" xfId="1059" xr:uid="{00000000-0005-0000-0000-000018040000}"/>
    <cellStyle name="Normal 2 91" xfId="1060" xr:uid="{00000000-0005-0000-0000-000019040000}"/>
    <cellStyle name="Normal 2 92" xfId="1061" xr:uid="{00000000-0005-0000-0000-00001A040000}"/>
    <cellStyle name="Normal 2 93" xfId="1062" xr:uid="{00000000-0005-0000-0000-00001B040000}"/>
    <cellStyle name="Normal 2 94" xfId="55" xr:uid="{00000000-0005-0000-0000-00001C040000}"/>
    <cellStyle name="Normal 2_DEER 032008 Cost Summary Delivery - Rev 4 (2)" xfId="1063" xr:uid="{00000000-0005-0000-0000-00001D040000}"/>
    <cellStyle name="Normal 3" xfId="51" xr:uid="{00000000-0005-0000-0000-00001E040000}"/>
    <cellStyle name="Normal 3 10" xfId="1065" xr:uid="{00000000-0005-0000-0000-00001F040000}"/>
    <cellStyle name="Normal 3 10 10" xfId="1066" xr:uid="{00000000-0005-0000-0000-000020040000}"/>
    <cellStyle name="Normal 3 10 11" xfId="1067" xr:uid="{00000000-0005-0000-0000-000021040000}"/>
    <cellStyle name="Normal 3 10 12" xfId="1068" xr:uid="{00000000-0005-0000-0000-000022040000}"/>
    <cellStyle name="Normal 3 10 13" xfId="1069" xr:uid="{00000000-0005-0000-0000-000023040000}"/>
    <cellStyle name="Normal 3 10 14" xfId="1070" xr:uid="{00000000-0005-0000-0000-000024040000}"/>
    <cellStyle name="Normal 3 10 15" xfId="1071" xr:uid="{00000000-0005-0000-0000-000025040000}"/>
    <cellStyle name="Normal 3 10 16" xfId="1072" xr:uid="{00000000-0005-0000-0000-000026040000}"/>
    <cellStyle name="Normal 3 10 17" xfId="1073" xr:uid="{00000000-0005-0000-0000-000027040000}"/>
    <cellStyle name="Normal 3 10 18" xfId="1074" xr:uid="{00000000-0005-0000-0000-000028040000}"/>
    <cellStyle name="Normal 3 10 19" xfId="1075" xr:uid="{00000000-0005-0000-0000-000029040000}"/>
    <cellStyle name="Normal 3 10 2" xfId="1076" xr:uid="{00000000-0005-0000-0000-00002A040000}"/>
    <cellStyle name="Normal 3 10 20" xfId="1077" xr:uid="{00000000-0005-0000-0000-00002B040000}"/>
    <cellStyle name="Normal 3 10 21" xfId="1078" xr:uid="{00000000-0005-0000-0000-00002C040000}"/>
    <cellStyle name="Normal 3 10 22" xfId="1079" xr:uid="{00000000-0005-0000-0000-00002D040000}"/>
    <cellStyle name="Normal 3 10 23" xfId="1080" xr:uid="{00000000-0005-0000-0000-00002E040000}"/>
    <cellStyle name="Normal 3 10 3" xfId="1081" xr:uid="{00000000-0005-0000-0000-00002F040000}"/>
    <cellStyle name="Normal 3 10 4" xfId="1082" xr:uid="{00000000-0005-0000-0000-000030040000}"/>
    <cellStyle name="Normal 3 10 5" xfId="1083" xr:uid="{00000000-0005-0000-0000-000031040000}"/>
    <cellStyle name="Normal 3 10 6" xfId="1084" xr:uid="{00000000-0005-0000-0000-000032040000}"/>
    <cellStyle name="Normal 3 10 7" xfId="1085" xr:uid="{00000000-0005-0000-0000-000033040000}"/>
    <cellStyle name="Normal 3 10 8" xfId="1086" xr:uid="{00000000-0005-0000-0000-000034040000}"/>
    <cellStyle name="Normal 3 10 9" xfId="1087" xr:uid="{00000000-0005-0000-0000-000035040000}"/>
    <cellStyle name="Normal 3 11" xfId="1088" xr:uid="{00000000-0005-0000-0000-000036040000}"/>
    <cellStyle name="Normal 3 11 10" xfId="1089" xr:uid="{00000000-0005-0000-0000-000037040000}"/>
    <cellStyle name="Normal 3 11 11" xfId="1090" xr:uid="{00000000-0005-0000-0000-000038040000}"/>
    <cellStyle name="Normal 3 11 12" xfId="1091" xr:uid="{00000000-0005-0000-0000-000039040000}"/>
    <cellStyle name="Normal 3 11 13" xfId="1092" xr:uid="{00000000-0005-0000-0000-00003A040000}"/>
    <cellStyle name="Normal 3 11 14" xfId="1093" xr:uid="{00000000-0005-0000-0000-00003B040000}"/>
    <cellStyle name="Normal 3 11 15" xfId="1094" xr:uid="{00000000-0005-0000-0000-00003C040000}"/>
    <cellStyle name="Normal 3 11 16" xfId="1095" xr:uid="{00000000-0005-0000-0000-00003D040000}"/>
    <cellStyle name="Normal 3 11 17" xfId="1096" xr:uid="{00000000-0005-0000-0000-00003E040000}"/>
    <cellStyle name="Normal 3 11 18" xfId="1097" xr:uid="{00000000-0005-0000-0000-00003F040000}"/>
    <cellStyle name="Normal 3 11 19" xfId="1098" xr:uid="{00000000-0005-0000-0000-000040040000}"/>
    <cellStyle name="Normal 3 11 2" xfId="1099" xr:uid="{00000000-0005-0000-0000-000041040000}"/>
    <cellStyle name="Normal 3 11 20" xfId="1100" xr:uid="{00000000-0005-0000-0000-000042040000}"/>
    <cellStyle name="Normal 3 11 21" xfId="1101" xr:uid="{00000000-0005-0000-0000-000043040000}"/>
    <cellStyle name="Normal 3 11 22" xfId="1102" xr:uid="{00000000-0005-0000-0000-000044040000}"/>
    <cellStyle name="Normal 3 11 23" xfId="1103" xr:uid="{00000000-0005-0000-0000-000045040000}"/>
    <cellStyle name="Normal 3 11 3" xfId="1104" xr:uid="{00000000-0005-0000-0000-000046040000}"/>
    <cellStyle name="Normal 3 11 4" xfId="1105" xr:uid="{00000000-0005-0000-0000-000047040000}"/>
    <cellStyle name="Normal 3 11 5" xfId="1106" xr:uid="{00000000-0005-0000-0000-000048040000}"/>
    <cellStyle name="Normal 3 11 6" xfId="1107" xr:uid="{00000000-0005-0000-0000-000049040000}"/>
    <cellStyle name="Normal 3 11 7" xfId="1108" xr:uid="{00000000-0005-0000-0000-00004A040000}"/>
    <cellStyle name="Normal 3 11 8" xfId="1109" xr:uid="{00000000-0005-0000-0000-00004B040000}"/>
    <cellStyle name="Normal 3 11 9" xfId="1110" xr:uid="{00000000-0005-0000-0000-00004C040000}"/>
    <cellStyle name="Normal 3 12" xfId="1111" xr:uid="{00000000-0005-0000-0000-00004D040000}"/>
    <cellStyle name="Normal 3 12 10" xfId="1112" xr:uid="{00000000-0005-0000-0000-00004E040000}"/>
    <cellStyle name="Normal 3 12 11" xfId="1113" xr:uid="{00000000-0005-0000-0000-00004F040000}"/>
    <cellStyle name="Normal 3 12 12" xfId="1114" xr:uid="{00000000-0005-0000-0000-000050040000}"/>
    <cellStyle name="Normal 3 12 13" xfId="1115" xr:uid="{00000000-0005-0000-0000-000051040000}"/>
    <cellStyle name="Normal 3 12 14" xfId="1116" xr:uid="{00000000-0005-0000-0000-000052040000}"/>
    <cellStyle name="Normal 3 12 15" xfId="1117" xr:uid="{00000000-0005-0000-0000-000053040000}"/>
    <cellStyle name="Normal 3 12 16" xfId="1118" xr:uid="{00000000-0005-0000-0000-000054040000}"/>
    <cellStyle name="Normal 3 12 17" xfId="1119" xr:uid="{00000000-0005-0000-0000-000055040000}"/>
    <cellStyle name="Normal 3 12 18" xfId="1120" xr:uid="{00000000-0005-0000-0000-000056040000}"/>
    <cellStyle name="Normal 3 12 19" xfId="1121" xr:uid="{00000000-0005-0000-0000-000057040000}"/>
    <cellStyle name="Normal 3 12 2" xfId="1122" xr:uid="{00000000-0005-0000-0000-000058040000}"/>
    <cellStyle name="Normal 3 12 20" xfId="1123" xr:uid="{00000000-0005-0000-0000-000059040000}"/>
    <cellStyle name="Normal 3 12 21" xfId="1124" xr:uid="{00000000-0005-0000-0000-00005A040000}"/>
    <cellStyle name="Normal 3 12 22" xfId="1125" xr:uid="{00000000-0005-0000-0000-00005B040000}"/>
    <cellStyle name="Normal 3 12 23" xfId="1126" xr:uid="{00000000-0005-0000-0000-00005C040000}"/>
    <cellStyle name="Normal 3 12 3" xfId="1127" xr:uid="{00000000-0005-0000-0000-00005D040000}"/>
    <cellStyle name="Normal 3 12 4" xfId="1128" xr:uid="{00000000-0005-0000-0000-00005E040000}"/>
    <cellStyle name="Normal 3 12 5" xfId="1129" xr:uid="{00000000-0005-0000-0000-00005F040000}"/>
    <cellStyle name="Normal 3 12 6" xfId="1130" xr:uid="{00000000-0005-0000-0000-000060040000}"/>
    <cellStyle name="Normal 3 12 7" xfId="1131" xr:uid="{00000000-0005-0000-0000-000061040000}"/>
    <cellStyle name="Normal 3 12 8" xfId="1132" xr:uid="{00000000-0005-0000-0000-000062040000}"/>
    <cellStyle name="Normal 3 12 9" xfId="1133" xr:uid="{00000000-0005-0000-0000-000063040000}"/>
    <cellStyle name="Normal 3 13" xfId="1134" xr:uid="{00000000-0005-0000-0000-000064040000}"/>
    <cellStyle name="Normal 3 13 10" xfId="1135" xr:uid="{00000000-0005-0000-0000-000065040000}"/>
    <cellStyle name="Normal 3 13 11" xfId="1136" xr:uid="{00000000-0005-0000-0000-000066040000}"/>
    <cellStyle name="Normal 3 13 12" xfId="1137" xr:uid="{00000000-0005-0000-0000-000067040000}"/>
    <cellStyle name="Normal 3 13 13" xfId="1138" xr:uid="{00000000-0005-0000-0000-000068040000}"/>
    <cellStyle name="Normal 3 13 14" xfId="1139" xr:uid="{00000000-0005-0000-0000-000069040000}"/>
    <cellStyle name="Normal 3 13 15" xfId="1140" xr:uid="{00000000-0005-0000-0000-00006A040000}"/>
    <cellStyle name="Normal 3 13 16" xfId="1141" xr:uid="{00000000-0005-0000-0000-00006B040000}"/>
    <cellStyle name="Normal 3 13 17" xfId="1142" xr:uid="{00000000-0005-0000-0000-00006C040000}"/>
    <cellStyle name="Normal 3 13 18" xfId="1143" xr:uid="{00000000-0005-0000-0000-00006D040000}"/>
    <cellStyle name="Normal 3 13 19" xfId="1144" xr:uid="{00000000-0005-0000-0000-00006E040000}"/>
    <cellStyle name="Normal 3 13 2" xfId="1145" xr:uid="{00000000-0005-0000-0000-00006F040000}"/>
    <cellStyle name="Normal 3 13 20" xfId="1146" xr:uid="{00000000-0005-0000-0000-000070040000}"/>
    <cellStyle name="Normal 3 13 21" xfId="1147" xr:uid="{00000000-0005-0000-0000-000071040000}"/>
    <cellStyle name="Normal 3 13 22" xfId="1148" xr:uid="{00000000-0005-0000-0000-000072040000}"/>
    <cellStyle name="Normal 3 13 23" xfId="1149" xr:uid="{00000000-0005-0000-0000-000073040000}"/>
    <cellStyle name="Normal 3 13 3" xfId="1150" xr:uid="{00000000-0005-0000-0000-000074040000}"/>
    <cellStyle name="Normal 3 13 4" xfId="1151" xr:uid="{00000000-0005-0000-0000-000075040000}"/>
    <cellStyle name="Normal 3 13 5" xfId="1152" xr:uid="{00000000-0005-0000-0000-000076040000}"/>
    <cellStyle name="Normal 3 13 6" xfId="1153" xr:uid="{00000000-0005-0000-0000-000077040000}"/>
    <cellStyle name="Normal 3 13 7" xfId="1154" xr:uid="{00000000-0005-0000-0000-000078040000}"/>
    <cellStyle name="Normal 3 13 8" xfId="1155" xr:uid="{00000000-0005-0000-0000-000079040000}"/>
    <cellStyle name="Normal 3 13 9" xfId="1156" xr:uid="{00000000-0005-0000-0000-00007A040000}"/>
    <cellStyle name="Normal 3 14" xfId="1157" xr:uid="{00000000-0005-0000-0000-00007B040000}"/>
    <cellStyle name="Normal 3 14 10" xfId="1158" xr:uid="{00000000-0005-0000-0000-00007C040000}"/>
    <cellStyle name="Normal 3 14 11" xfId="1159" xr:uid="{00000000-0005-0000-0000-00007D040000}"/>
    <cellStyle name="Normal 3 14 12" xfId="1160" xr:uid="{00000000-0005-0000-0000-00007E040000}"/>
    <cellStyle name="Normal 3 14 13" xfId="1161" xr:uid="{00000000-0005-0000-0000-00007F040000}"/>
    <cellStyle name="Normal 3 14 14" xfId="1162" xr:uid="{00000000-0005-0000-0000-000080040000}"/>
    <cellStyle name="Normal 3 14 15" xfId="1163" xr:uid="{00000000-0005-0000-0000-000081040000}"/>
    <cellStyle name="Normal 3 14 16" xfId="1164" xr:uid="{00000000-0005-0000-0000-000082040000}"/>
    <cellStyle name="Normal 3 14 17" xfId="1165" xr:uid="{00000000-0005-0000-0000-000083040000}"/>
    <cellStyle name="Normal 3 14 18" xfId="1166" xr:uid="{00000000-0005-0000-0000-000084040000}"/>
    <cellStyle name="Normal 3 14 19" xfId="1167" xr:uid="{00000000-0005-0000-0000-000085040000}"/>
    <cellStyle name="Normal 3 14 2" xfId="1168" xr:uid="{00000000-0005-0000-0000-000086040000}"/>
    <cellStyle name="Normal 3 14 20" xfId="1169" xr:uid="{00000000-0005-0000-0000-000087040000}"/>
    <cellStyle name="Normal 3 14 21" xfId="1170" xr:uid="{00000000-0005-0000-0000-000088040000}"/>
    <cellStyle name="Normal 3 14 22" xfId="1171" xr:uid="{00000000-0005-0000-0000-000089040000}"/>
    <cellStyle name="Normal 3 14 23" xfId="1172" xr:uid="{00000000-0005-0000-0000-00008A040000}"/>
    <cellStyle name="Normal 3 14 3" xfId="1173" xr:uid="{00000000-0005-0000-0000-00008B040000}"/>
    <cellStyle name="Normal 3 14 4" xfId="1174" xr:uid="{00000000-0005-0000-0000-00008C040000}"/>
    <cellStyle name="Normal 3 14 5" xfId="1175" xr:uid="{00000000-0005-0000-0000-00008D040000}"/>
    <cellStyle name="Normal 3 14 6" xfId="1176" xr:uid="{00000000-0005-0000-0000-00008E040000}"/>
    <cellStyle name="Normal 3 14 7" xfId="1177" xr:uid="{00000000-0005-0000-0000-00008F040000}"/>
    <cellStyle name="Normal 3 14 8" xfId="1178" xr:uid="{00000000-0005-0000-0000-000090040000}"/>
    <cellStyle name="Normal 3 14 9" xfId="1179" xr:uid="{00000000-0005-0000-0000-000091040000}"/>
    <cellStyle name="Normal 3 15" xfId="1180" xr:uid="{00000000-0005-0000-0000-000092040000}"/>
    <cellStyle name="Normal 3 15 10" xfId="1181" xr:uid="{00000000-0005-0000-0000-000093040000}"/>
    <cellStyle name="Normal 3 15 11" xfId="1182" xr:uid="{00000000-0005-0000-0000-000094040000}"/>
    <cellStyle name="Normal 3 15 12" xfId="1183" xr:uid="{00000000-0005-0000-0000-000095040000}"/>
    <cellStyle name="Normal 3 15 13" xfId="1184" xr:uid="{00000000-0005-0000-0000-000096040000}"/>
    <cellStyle name="Normal 3 15 14" xfId="1185" xr:uid="{00000000-0005-0000-0000-000097040000}"/>
    <cellStyle name="Normal 3 15 15" xfId="1186" xr:uid="{00000000-0005-0000-0000-000098040000}"/>
    <cellStyle name="Normal 3 15 16" xfId="1187" xr:uid="{00000000-0005-0000-0000-000099040000}"/>
    <cellStyle name="Normal 3 15 17" xfId="1188" xr:uid="{00000000-0005-0000-0000-00009A040000}"/>
    <cellStyle name="Normal 3 15 18" xfId="1189" xr:uid="{00000000-0005-0000-0000-00009B040000}"/>
    <cellStyle name="Normal 3 15 19" xfId="1190" xr:uid="{00000000-0005-0000-0000-00009C040000}"/>
    <cellStyle name="Normal 3 15 2" xfId="1191" xr:uid="{00000000-0005-0000-0000-00009D040000}"/>
    <cellStyle name="Normal 3 15 20" xfId="1192" xr:uid="{00000000-0005-0000-0000-00009E040000}"/>
    <cellStyle name="Normal 3 15 21" xfId="1193" xr:uid="{00000000-0005-0000-0000-00009F040000}"/>
    <cellStyle name="Normal 3 15 22" xfId="1194" xr:uid="{00000000-0005-0000-0000-0000A0040000}"/>
    <cellStyle name="Normal 3 15 23" xfId="1195" xr:uid="{00000000-0005-0000-0000-0000A1040000}"/>
    <cellStyle name="Normal 3 15 3" xfId="1196" xr:uid="{00000000-0005-0000-0000-0000A2040000}"/>
    <cellStyle name="Normal 3 15 4" xfId="1197" xr:uid="{00000000-0005-0000-0000-0000A3040000}"/>
    <cellStyle name="Normal 3 15 5" xfId="1198" xr:uid="{00000000-0005-0000-0000-0000A4040000}"/>
    <cellStyle name="Normal 3 15 6" xfId="1199" xr:uid="{00000000-0005-0000-0000-0000A5040000}"/>
    <cellStyle name="Normal 3 15 7" xfId="1200" xr:uid="{00000000-0005-0000-0000-0000A6040000}"/>
    <cellStyle name="Normal 3 15 8" xfId="1201" xr:uid="{00000000-0005-0000-0000-0000A7040000}"/>
    <cellStyle name="Normal 3 15 9" xfId="1202" xr:uid="{00000000-0005-0000-0000-0000A8040000}"/>
    <cellStyle name="Normal 3 16" xfId="1203" xr:uid="{00000000-0005-0000-0000-0000A9040000}"/>
    <cellStyle name="Normal 3 16 10" xfId="1204" xr:uid="{00000000-0005-0000-0000-0000AA040000}"/>
    <cellStyle name="Normal 3 16 11" xfId="1205" xr:uid="{00000000-0005-0000-0000-0000AB040000}"/>
    <cellStyle name="Normal 3 16 12" xfId="1206" xr:uid="{00000000-0005-0000-0000-0000AC040000}"/>
    <cellStyle name="Normal 3 16 13" xfId="1207" xr:uid="{00000000-0005-0000-0000-0000AD040000}"/>
    <cellStyle name="Normal 3 16 14" xfId="1208" xr:uid="{00000000-0005-0000-0000-0000AE040000}"/>
    <cellStyle name="Normal 3 16 15" xfId="1209" xr:uid="{00000000-0005-0000-0000-0000AF040000}"/>
    <cellStyle name="Normal 3 16 16" xfId="1210" xr:uid="{00000000-0005-0000-0000-0000B0040000}"/>
    <cellStyle name="Normal 3 16 17" xfId="1211" xr:uid="{00000000-0005-0000-0000-0000B1040000}"/>
    <cellStyle name="Normal 3 16 18" xfId="1212" xr:uid="{00000000-0005-0000-0000-0000B2040000}"/>
    <cellStyle name="Normal 3 16 19" xfId="1213" xr:uid="{00000000-0005-0000-0000-0000B3040000}"/>
    <cellStyle name="Normal 3 16 2" xfId="1214" xr:uid="{00000000-0005-0000-0000-0000B4040000}"/>
    <cellStyle name="Normal 3 16 20" xfId="1215" xr:uid="{00000000-0005-0000-0000-0000B5040000}"/>
    <cellStyle name="Normal 3 16 21" xfId="1216" xr:uid="{00000000-0005-0000-0000-0000B6040000}"/>
    <cellStyle name="Normal 3 16 22" xfId="1217" xr:uid="{00000000-0005-0000-0000-0000B7040000}"/>
    <cellStyle name="Normal 3 16 23" xfId="1218" xr:uid="{00000000-0005-0000-0000-0000B8040000}"/>
    <cellStyle name="Normal 3 16 3" xfId="1219" xr:uid="{00000000-0005-0000-0000-0000B9040000}"/>
    <cellStyle name="Normal 3 16 4" xfId="1220" xr:uid="{00000000-0005-0000-0000-0000BA040000}"/>
    <cellStyle name="Normal 3 16 5" xfId="1221" xr:uid="{00000000-0005-0000-0000-0000BB040000}"/>
    <cellStyle name="Normal 3 16 6" xfId="1222" xr:uid="{00000000-0005-0000-0000-0000BC040000}"/>
    <cellStyle name="Normal 3 16 7" xfId="1223" xr:uid="{00000000-0005-0000-0000-0000BD040000}"/>
    <cellStyle name="Normal 3 16 8" xfId="1224" xr:uid="{00000000-0005-0000-0000-0000BE040000}"/>
    <cellStyle name="Normal 3 16 9" xfId="1225" xr:uid="{00000000-0005-0000-0000-0000BF040000}"/>
    <cellStyle name="Normal 3 17" xfId="1226" xr:uid="{00000000-0005-0000-0000-0000C0040000}"/>
    <cellStyle name="Normal 3 17 10" xfId="1227" xr:uid="{00000000-0005-0000-0000-0000C1040000}"/>
    <cellStyle name="Normal 3 17 11" xfId="1228" xr:uid="{00000000-0005-0000-0000-0000C2040000}"/>
    <cellStyle name="Normal 3 17 12" xfId="1229" xr:uid="{00000000-0005-0000-0000-0000C3040000}"/>
    <cellStyle name="Normal 3 17 13" xfId="1230" xr:uid="{00000000-0005-0000-0000-0000C4040000}"/>
    <cellStyle name="Normal 3 17 14" xfId="1231" xr:uid="{00000000-0005-0000-0000-0000C5040000}"/>
    <cellStyle name="Normal 3 17 15" xfId="1232" xr:uid="{00000000-0005-0000-0000-0000C6040000}"/>
    <cellStyle name="Normal 3 17 16" xfId="1233" xr:uid="{00000000-0005-0000-0000-0000C7040000}"/>
    <cellStyle name="Normal 3 17 17" xfId="1234" xr:uid="{00000000-0005-0000-0000-0000C8040000}"/>
    <cellStyle name="Normal 3 17 18" xfId="1235" xr:uid="{00000000-0005-0000-0000-0000C9040000}"/>
    <cellStyle name="Normal 3 17 19" xfId="1236" xr:uid="{00000000-0005-0000-0000-0000CA040000}"/>
    <cellStyle name="Normal 3 17 2" xfId="1237" xr:uid="{00000000-0005-0000-0000-0000CB040000}"/>
    <cellStyle name="Normal 3 17 20" xfId="1238" xr:uid="{00000000-0005-0000-0000-0000CC040000}"/>
    <cellStyle name="Normal 3 17 21" xfId="1239" xr:uid="{00000000-0005-0000-0000-0000CD040000}"/>
    <cellStyle name="Normal 3 17 22" xfId="1240" xr:uid="{00000000-0005-0000-0000-0000CE040000}"/>
    <cellStyle name="Normal 3 17 23" xfId="1241" xr:uid="{00000000-0005-0000-0000-0000CF040000}"/>
    <cellStyle name="Normal 3 17 3" xfId="1242" xr:uid="{00000000-0005-0000-0000-0000D0040000}"/>
    <cellStyle name="Normal 3 17 4" xfId="1243" xr:uid="{00000000-0005-0000-0000-0000D1040000}"/>
    <cellStyle name="Normal 3 17 5" xfId="1244" xr:uid="{00000000-0005-0000-0000-0000D2040000}"/>
    <cellStyle name="Normal 3 17 6" xfId="1245" xr:uid="{00000000-0005-0000-0000-0000D3040000}"/>
    <cellStyle name="Normal 3 17 7" xfId="1246" xr:uid="{00000000-0005-0000-0000-0000D4040000}"/>
    <cellStyle name="Normal 3 17 8" xfId="1247" xr:uid="{00000000-0005-0000-0000-0000D5040000}"/>
    <cellStyle name="Normal 3 17 9" xfId="1248" xr:uid="{00000000-0005-0000-0000-0000D6040000}"/>
    <cellStyle name="Normal 3 18" xfId="1249" xr:uid="{00000000-0005-0000-0000-0000D7040000}"/>
    <cellStyle name="Normal 3 18 10" xfId="1250" xr:uid="{00000000-0005-0000-0000-0000D8040000}"/>
    <cellStyle name="Normal 3 18 11" xfId="1251" xr:uid="{00000000-0005-0000-0000-0000D9040000}"/>
    <cellStyle name="Normal 3 18 12" xfId="1252" xr:uid="{00000000-0005-0000-0000-0000DA040000}"/>
    <cellStyle name="Normal 3 18 13" xfId="1253" xr:uid="{00000000-0005-0000-0000-0000DB040000}"/>
    <cellStyle name="Normal 3 18 14" xfId="1254" xr:uid="{00000000-0005-0000-0000-0000DC040000}"/>
    <cellStyle name="Normal 3 18 15" xfId="1255" xr:uid="{00000000-0005-0000-0000-0000DD040000}"/>
    <cellStyle name="Normal 3 18 16" xfId="1256" xr:uid="{00000000-0005-0000-0000-0000DE040000}"/>
    <cellStyle name="Normal 3 18 17" xfId="1257" xr:uid="{00000000-0005-0000-0000-0000DF040000}"/>
    <cellStyle name="Normal 3 18 18" xfId="1258" xr:uid="{00000000-0005-0000-0000-0000E0040000}"/>
    <cellStyle name="Normal 3 18 19" xfId="1259" xr:uid="{00000000-0005-0000-0000-0000E1040000}"/>
    <cellStyle name="Normal 3 18 2" xfId="1260" xr:uid="{00000000-0005-0000-0000-0000E2040000}"/>
    <cellStyle name="Normal 3 18 20" xfId="1261" xr:uid="{00000000-0005-0000-0000-0000E3040000}"/>
    <cellStyle name="Normal 3 18 21" xfId="1262" xr:uid="{00000000-0005-0000-0000-0000E4040000}"/>
    <cellStyle name="Normal 3 18 22" xfId="1263" xr:uid="{00000000-0005-0000-0000-0000E5040000}"/>
    <cellStyle name="Normal 3 18 23" xfId="1264" xr:uid="{00000000-0005-0000-0000-0000E6040000}"/>
    <cellStyle name="Normal 3 18 3" xfId="1265" xr:uid="{00000000-0005-0000-0000-0000E7040000}"/>
    <cellStyle name="Normal 3 18 4" xfId="1266" xr:uid="{00000000-0005-0000-0000-0000E8040000}"/>
    <cellStyle name="Normal 3 18 5" xfId="1267" xr:uid="{00000000-0005-0000-0000-0000E9040000}"/>
    <cellStyle name="Normal 3 18 6" xfId="1268" xr:uid="{00000000-0005-0000-0000-0000EA040000}"/>
    <cellStyle name="Normal 3 18 7" xfId="1269" xr:uid="{00000000-0005-0000-0000-0000EB040000}"/>
    <cellStyle name="Normal 3 18 8" xfId="1270" xr:uid="{00000000-0005-0000-0000-0000EC040000}"/>
    <cellStyle name="Normal 3 18 9" xfId="1271" xr:uid="{00000000-0005-0000-0000-0000ED040000}"/>
    <cellStyle name="Normal 3 19" xfId="1272" xr:uid="{00000000-0005-0000-0000-0000EE040000}"/>
    <cellStyle name="Normal 3 19 10" xfId="1273" xr:uid="{00000000-0005-0000-0000-0000EF040000}"/>
    <cellStyle name="Normal 3 19 11" xfId="1274" xr:uid="{00000000-0005-0000-0000-0000F0040000}"/>
    <cellStyle name="Normal 3 19 12" xfId="1275" xr:uid="{00000000-0005-0000-0000-0000F1040000}"/>
    <cellStyle name="Normal 3 19 13" xfId="1276" xr:uid="{00000000-0005-0000-0000-0000F2040000}"/>
    <cellStyle name="Normal 3 19 14" xfId="1277" xr:uid="{00000000-0005-0000-0000-0000F3040000}"/>
    <cellStyle name="Normal 3 19 15" xfId="1278" xr:uid="{00000000-0005-0000-0000-0000F4040000}"/>
    <cellStyle name="Normal 3 19 16" xfId="1279" xr:uid="{00000000-0005-0000-0000-0000F5040000}"/>
    <cellStyle name="Normal 3 19 17" xfId="1280" xr:uid="{00000000-0005-0000-0000-0000F6040000}"/>
    <cellStyle name="Normal 3 19 18" xfId="1281" xr:uid="{00000000-0005-0000-0000-0000F7040000}"/>
    <cellStyle name="Normal 3 19 19" xfId="1282" xr:uid="{00000000-0005-0000-0000-0000F8040000}"/>
    <cellStyle name="Normal 3 19 2" xfId="1283" xr:uid="{00000000-0005-0000-0000-0000F9040000}"/>
    <cellStyle name="Normal 3 19 20" xfId="1284" xr:uid="{00000000-0005-0000-0000-0000FA040000}"/>
    <cellStyle name="Normal 3 19 21" xfId="1285" xr:uid="{00000000-0005-0000-0000-0000FB040000}"/>
    <cellStyle name="Normal 3 19 22" xfId="1286" xr:uid="{00000000-0005-0000-0000-0000FC040000}"/>
    <cellStyle name="Normal 3 19 23" xfId="1287" xr:uid="{00000000-0005-0000-0000-0000FD040000}"/>
    <cellStyle name="Normal 3 19 3" xfId="1288" xr:uid="{00000000-0005-0000-0000-0000FE040000}"/>
    <cellStyle name="Normal 3 19 4" xfId="1289" xr:uid="{00000000-0005-0000-0000-0000FF040000}"/>
    <cellStyle name="Normal 3 19 5" xfId="1290" xr:uid="{00000000-0005-0000-0000-000000050000}"/>
    <cellStyle name="Normal 3 19 6" xfId="1291" xr:uid="{00000000-0005-0000-0000-000001050000}"/>
    <cellStyle name="Normal 3 19 7" xfId="1292" xr:uid="{00000000-0005-0000-0000-000002050000}"/>
    <cellStyle name="Normal 3 19 8" xfId="1293" xr:uid="{00000000-0005-0000-0000-000003050000}"/>
    <cellStyle name="Normal 3 19 9" xfId="1294" xr:uid="{00000000-0005-0000-0000-000004050000}"/>
    <cellStyle name="Normal 3 2" xfId="1295" xr:uid="{00000000-0005-0000-0000-000005050000}"/>
    <cellStyle name="Normal 3 2 10" xfId="1296" xr:uid="{00000000-0005-0000-0000-000006050000}"/>
    <cellStyle name="Normal 3 2 11" xfId="1297" xr:uid="{00000000-0005-0000-0000-000007050000}"/>
    <cellStyle name="Normal 3 2 12" xfId="1298" xr:uid="{00000000-0005-0000-0000-000008050000}"/>
    <cellStyle name="Normal 3 2 13" xfId="1299" xr:uid="{00000000-0005-0000-0000-000009050000}"/>
    <cellStyle name="Normal 3 2 14" xfId="1300" xr:uid="{00000000-0005-0000-0000-00000A050000}"/>
    <cellStyle name="Normal 3 2 15" xfId="1301" xr:uid="{00000000-0005-0000-0000-00000B050000}"/>
    <cellStyle name="Normal 3 2 16" xfId="1302" xr:uid="{00000000-0005-0000-0000-00000C050000}"/>
    <cellStyle name="Normal 3 2 17" xfId="1303" xr:uid="{00000000-0005-0000-0000-00000D050000}"/>
    <cellStyle name="Normal 3 2 18" xfId="1304" xr:uid="{00000000-0005-0000-0000-00000E050000}"/>
    <cellStyle name="Normal 3 2 19" xfId="1305" xr:uid="{00000000-0005-0000-0000-00000F050000}"/>
    <cellStyle name="Normal 3 2 2" xfId="1306" xr:uid="{00000000-0005-0000-0000-000010050000}"/>
    <cellStyle name="Normal 3 2 2 10" xfId="1307" xr:uid="{00000000-0005-0000-0000-000011050000}"/>
    <cellStyle name="Normal 3 2 2 11" xfId="1308" xr:uid="{00000000-0005-0000-0000-000012050000}"/>
    <cellStyle name="Normal 3 2 2 12" xfId="1309" xr:uid="{00000000-0005-0000-0000-000013050000}"/>
    <cellStyle name="Normal 3 2 2 13" xfId="1310" xr:uid="{00000000-0005-0000-0000-000014050000}"/>
    <cellStyle name="Normal 3 2 2 14" xfId="1311" xr:uid="{00000000-0005-0000-0000-000015050000}"/>
    <cellStyle name="Normal 3 2 2 15" xfId="1312" xr:uid="{00000000-0005-0000-0000-000016050000}"/>
    <cellStyle name="Normal 3 2 2 16" xfId="1313" xr:uid="{00000000-0005-0000-0000-000017050000}"/>
    <cellStyle name="Normal 3 2 2 17" xfId="1314" xr:uid="{00000000-0005-0000-0000-000018050000}"/>
    <cellStyle name="Normal 3 2 2 18" xfId="1315" xr:uid="{00000000-0005-0000-0000-000019050000}"/>
    <cellStyle name="Normal 3 2 2 19" xfId="1316" xr:uid="{00000000-0005-0000-0000-00001A050000}"/>
    <cellStyle name="Normal 3 2 2 2" xfId="1317" xr:uid="{00000000-0005-0000-0000-00001B050000}"/>
    <cellStyle name="Normal 3 2 2 20" xfId="1318" xr:uid="{00000000-0005-0000-0000-00001C050000}"/>
    <cellStyle name="Normal 3 2 2 21" xfId="1319" xr:uid="{00000000-0005-0000-0000-00001D050000}"/>
    <cellStyle name="Normal 3 2 2 22" xfId="1320" xr:uid="{00000000-0005-0000-0000-00001E050000}"/>
    <cellStyle name="Normal 3 2 2 23" xfId="1321" xr:uid="{00000000-0005-0000-0000-00001F050000}"/>
    <cellStyle name="Normal 3 2 2 24" xfId="1322" xr:uid="{00000000-0005-0000-0000-000020050000}"/>
    <cellStyle name="Normal 3 2 2 25" xfId="1323" xr:uid="{00000000-0005-0000-0000-000021050000}"/>
    <cellStyle name="Normal 3 2 2 26" xfId="1324" xr:uid="{00000000-0005-0000-0000-000022050000}"/>
    <cellStyle name="Normal 3 2 2 27" xfId="1325" xr:uid="{00000000-0005-0000-0000-000023050000}"/>
    <cellStyle name="Normal 3 2 2 28" xfId="1326" xr:uid="{00000000-0005-0000-0000-000024050000}"/>
    <cellStyle name="Normal 3 2 2 29" xfId="1327" xr:uid="{00000000-0005-0000-0000-000025050000}"/>
    <cellStyle name="Normal 3 2 2 3" xfId="1328" xr:uid="{00000000-0005-0000-0000-000026050000}"/>
    <cellStyle name="Normal 3 2 2 30" xfId="1329" xr:uid="{00000000-0005-0000-0000-000027050000}"/>
    <cellStyle name="Normal 3 2 2 31" xfId="1330" xr:uid="{00000000-0005-0000-0000-000028050000}"/>
    <cellStyle name="Normal 3 2 2 32" xfId="1331" xr:uid="{00000000-0005-0000-0000-000029050000}"/>
    <cellStyle name="Normal 3 2 2 33" xfId="1332" xr:uid="{00000000-0005-0000-0000-00002A050000}"/>
    <cellStyle name="Normal 3 2 2 4" xfId="1333" xr:uid="{00000000-0005-0000-0000-00002B050000}"/>
    <cellStyle name="Normal 3 2 2 5" xfId="1334" xr:uid="{00000000-0005-0000-0000-00002C050000}"/>
    <cellStyle name="Normal 3 2 2 6" xfId="1335" xr:uid="{00000000-0005-0000-0000-00002D050000}"/>
    <cellStyle name="Normal 3 2 2 7" xfId="1336" xr:uid="{00000000-0005-0000-0000-00002E050000}"/>
    <cellStyle name="Normal 3 2 2 8" xfId="1337" xr:uid="{00000000-0005-0000-0000-00002F050000}"/>
    <cellStyle name="Normal 3 2 2 9" xfId="1338" xr:uid="{00000000-0005-0000-0000-000030050000}"/>
    <cellStyle name="Normal 3 2 20" xfId="1339" xr:uid="{00000000-0005-0000-0000-000031050000}"/>
    <cellStyle name="Normal 3 2 21" xfId="1340" xr:uid="{00000000-0005-0000-0000-000032050000}"/>
    <cellStyle name="Normal 3 2 22" xfId="1341" xr:uid="{00000000-0005-0000-0000-000033050000}"/>
    <cellStyle name="Normal 3 2 23" xfId="1342" xr:uid="{00000000-0005-0000-0000-000034050000}"/>
    <cellStyle name="Normal 3 2 24" xfId="1343" xr:uid="{00000000-0005-0000-0000-000035050000}"/>
    <cellStyle name="Normal 3 2 25" xfId="1344" xr:uid="{00000000-0005-0000-0000-000036050000}"/>
    <cellStyle name="Normal 3 2 26" xfId="1345" xr:uid="{00000000-0005-0000-0000-000037050000}"/>
    <cellStyle name="Normal 3 2 27" xfId="1346" xr:uid="{00000000-0005-0000-0000-000038050000}"/>
    <cellStyle name="Normal 3 2 28" xfId="1347" xr:uid="{00000000-0005-0000-0000-000039050000}"/>
    <cellStyle name="Normal 3 2 29" xfId="1348" xr:uid="{00000000-0005-0000-0000-00003A050000}"/>
    <cellStyle name="Normal 3 2 3" xfId="1349" xr:uid="{00000000-0005-0000-0000-00003B050000}"/>
    <cellStyle name="Normal 3 2 30" xfId="1350" xr:uid="{00000000-0005-0000-0000-00003C050000}"/>
    <cellStyle name="Normal 3 2 31" xfId="1351" xr:uid="{00000000-0005-0000-0000-00003D050000}"/>
    <cellStyle name="Normal 3 2 32" xfId="1352" xr:uid="{00000000-0005-0000-0000-00003E050000}"/>
    <cellStyle name="Normal 3 2 33" xfId="1353" xr:uid="{00000000-0005-0000-0000-00003F050000}"/>
    <cellStyle name="Normal 3 2 34" xfId="1354" xr:uid="{00000000-0005-0000-0000-000040050000}"/>
    <cellStyle name="Normal 3 2 35" xfId="1355" xr:uid="{00000000-0005-0000-0000-000041050000}"/>
    <cellStyle name="Normal 3 2 36" xfId="1356" xr:uid="{00000000-0005-0000-0000-000042050000}"/>
    <cellStyle name="Normal 3 2 37" xfId="1357" xr:uid="{00000000-0005-0000-0000-000043050000}"/>
    <cellStyle name="Normal 3 2 38" xfId="1358" xr:uid="{00000000-0005-0000-0000-000044050000}"/>
    <cellStyle name="Normal 3 2 39" xfId="1359" xr:uid="{00000000-0005-0000-0000-000045050000}"/>
    <cellStyle name="Normal 3 2 4" xfId="1360" xr:uid="{00000000-0005-0000-0000-000046050000}"/>
    <cellStyle name="Normal 3 2 40" xfId="1361" xr:uid="{00000000-0005-0000-0000-000047050000}"/>
    <cellStyle name="Normal 3 2 41" xfId="1362" xr:uid="{00000000-0005-0000-0000-000048050000}"/>
    <cellStyle name="Normal 3 2 42" xfId="1363" xr:uid="{00000000-0005-0000-0000-000049050000}"/>
    <cellStyle name="Normal 3 2 43" xfId="1364" xr:uid="{00000000-0005-0000-0000-00004A050000}"/>
    <cellStyle name="Normal 3 2 44" xfId="1365" xr:uid="{00000000-0005-0000-0000-00004B050000}"/>
    <cellStyle name="Normal 3 2 45" xfId="1366" xr:uid="{00000000-0005-0000-0000-00004C050000}"/>
    <cellStyle name="Normal 3 2 46" xfId="1367" xr:uid="{00000000-0005-0000-0000-00004D050000}"/>
    <cellStyle name="Normal 3 2 47" xfId="1368" xr:uid="{00000000-0005-0000-0000-00004E050000}"/>
    <cellStyle name="Normal 3 2 48" xfId="1369" xr:uid="{00000000-0005-0000-0000-00004F050000}"/>
    <cellStyle name="Normal 3 2 49" xfId="1370" xr:uid="{00000000-0005-0000-0000-000050050000}"/>
    <cellStyle name="Normal 3 2 5" xfId="1371" xr:uid="{00000000-0005-0000-0000-000051050000}"/>
    <cellStyle name="Normal 3 2 50" xfId="1372" xr:uid="{00000000-0005-0000-0000-000052050000}"/>
    <cellStyle name="Normal 3 2 51" xfId="1373" xr:uid="{00000000-0005-0000-0000-000053050000}"/>
    <cellStyle name="Normal 3 2 52" xfId="1374" xr:uid="{00000000-0005-0000-0000-000054050000}"/>
    <cellStyle name="Normal 3 2 53" xfId="1375" xr:uid="{00000000-0005-0000-0000-000055050000}"/>
    <cellStyle name="Normal 3 2 54" xfId="1376" xr:uid="{00000000-0005-0000-0000-000056050000}"/>
    <cellStyle name="Normal 3 2 55" xfId="1377" xr:uid="{00000000-0005-0000-0000-000057050000}"/>
    <cellStyle name="Normal 3 2 6" xfId="1378" xr:uid="{00000000-0005-0000-0000-000058050000}"/>
    <cellStyle name="Normal 3 2 7" xfId="1379" xr:uid="{00000000-0005-0000-0000-000059050000}"/>
    <cellStyle name="Normal 3 2 8" xfId="1380" xr:uid="{00000000-0005-0000-0000-00005A050000}"/>
    <cellStyle name="Normal 3 2 9" xfId="1381" xr:uid="{00000000-0005-0000-0000-00005B050000}"/>
    <cellStyle name="Normal 3 20" xfId="1382" xr:uid="{00000000-0005-0000-0000-00005C050000}"/>
    <cellStyle name="Normal 3 20 10" xfId="1383" xr:uid="{00000000-0005-0000-0000-00005D050000}"/>
    <cellStyle name="Normal 3 20 11" xfId="1384" xr:uid="{00000000-0005-0000-0000-00005E050000}"/>
    <cellStyle name="Normal 3 20 12" xfId="1385" xr:uid="{00000000-0005-0000-0000-00005F050000}"/>
    <cellStyle name="Normal 3 20 13" xfId="1386" xr:uid="{00000000-0005-0000-0000-000060050000}"/>
    <cellStyle name="Normal 3 20 14" xfId="1387" xr:uid="{00000000-0005-0000-0000-000061050000}"/>
    <cellStyle name="Normal 3 20 15" xfId="1388" xr:uid="{00000000-0005-0000-0000-000062050000}"/>
    <cellStyle name="Normal 3 20 16" xfId="1389" xr:uid="{00000000-0005-0000-0000-000063050000}"/>
    <cellStyle name="Normal 3 20 17" xfId="1390" xr:uid="{00000000-0005-0000-0000-000064050000}"/>
    <cellStyle name="Normal 3 20 18" xfId="1391" xr:uid="{00000000-0005-0000-0000-000065050000}"/>
    <cellStyle name="Normal 3 20 19" xfId="1392" xr:uid="{00000000-0005-0000-0000-000066050000}"/>
    <cellStyle name="Normal 3 20 2" xfId="1393" xr:uid="{00000000-0005-0000-0000-000067050000}"/>
    <cellStyle name="Normal 3 20 20" xfId="1394" xr:uid="{00000000-0005-0000-0000-000068050000}"/>
    <cellStyle name="Normal 3 20 21" xfId="1395" xr:uid="{00000000-0005-0000-0000-000069050000}"/>
    <cellStyle name="Normal 3 20 22" xfId="1396" xr:uid="{00000000-0005-0000-0000-00006A050000}"/>
    <cellStyle name="Normal 3 20 23" xfId="1397" xr:uid="{00000000-0005-0000-0000-00006B050000}"/>
    <cellStyle name="Normal 3 20 3" xfId="1398" xr:uid="{00000000-0005-0000-0000-00006C050000}"/>
    <cellStyle name="Normal 3 20 4" xfId="1399" xr:uid="{00000000-0005-0000-0000-00006D050000}"/>
    <cellStyle name="Normal 3 20 5" xfId="1400" xr:uid="{00000000-0005-0000-0000-00006E050000}"/>
    <cellStyle name="Normal 3 20 6" xfId="1401" xr:uid="{00000000-0005-0000-0000-00006F050000}"/>
    <cellStyle name="Normal 3 20 7" xfId="1402" xr:uid="{00000000-0005-0000-0000-000070050000}"/>
    <cellStyle name="Normal 3 20 8" xfId="1403" xr:uid="{00000000-0005-0000-0000-000071050000}"/>
    <cellStyle name="Normal 3 20 9" xfId="1404" xr:uid="{00000000-0005-0000-0000-000072050000}"/>
    <cellStyle name="Normal 3 21" xfId="1405" xr:uid="{00000000-0005-0000-0000-000073050000}"/>
    <cellStyle name="Normal 3 21 10" xfId="1406" xr:uid="{00000000-0005-0000-0000-000074050000}"/>
    <cellStyle name="Normal 3 21 11" xfId="1407" xr:uid="{00000000-0005-0000-0000-000075050000}"/>
    <cellStyle name="Normal 3 21 12" xfId="1408" xr:uid="{00000000-0005-0000-0000-000076050000}"/>
    <cellStyle name="Normal 3 21 13" xfId="1409" xr:uid="{00000000-0005-0000-0000-000077050000}"/>
    <cellStyle name="Normal 3 21 14" xfId="1410" xr:uid="{00000000-0005-0000-0000-000078050000}"/>
    <cellStyle name="Normal 3 21 15" xfId="1411" xr:uid="{00000000-0005-0000-0000-000079050000}"/>
    <cellStyle name="Normal 3 21 16" xfId="1412" xr:uid="{00000000-0005-0000-0000-00007A050000}"/>
    <cellStyle name="Normal 3 21 17" xfId="1413" xr:uid="{00000000-0005-0000-0000-00007B050000}"/>
    <cellStyle name="Normal 3 21 18" xfId="1414" xr:uid="{00000000-0005-0000-0000-00007C050000}"/>
    <cellStyle name="Normal 3 21 19" xfId="1415" xr:uid="{00000000-0005-0000-0000-00007D050000}"/>
    <cellStyle name="Normal 3 21 2" xfId="1416" xr:uid="{00000000-0005-0000-0000-00007E050000}"/>
    <cellStyle name="Normal 3 21 20" xfId="1417" xr:uid="{00000000-0005-0000-0000-00007F050000}"/>
    <cellStyle name="Normal 3 21 21" xfId="1418" xr:uid="{00000000-0005-0000-0000-000080050000}"/>
    <cellStyle name="Normal 3 21 22" xfId="1419" xr:uid="{00000000-0005-0000-0000-000081050000}"/>
    <cellStyle name="Normal 3 21 23" xfId="1420" xr:uid="{00000000-0005-0000-0000-000082050000}"/>
    <cellStyle name="Normal 3 21 3" xfId="1421" xr:uid="{00000000-0005-0000-0000-000083050000}"/>
    <cellStyle name="Normal 3 21 4" xfId="1422" xr:uid="{00000000-0005-0000-0000-000084050000}"/>
    <cellStyle name="Normal 3 21 5" xfId="1423" xr:uid="{00000000-0005-0000-0000-000085050000}"/>
    <cellStyle name="Normal 3 21 6" xfId="1424" xr:uid="{00000000-0005-0000-0000-000086050000}"/>
    <cellStyle name="Normal 3 21 7" xfId="1425" xr:uid="{00000000-0005-0000-0000-000087050000}"/>
    <cellStyle name="Normal 3 21 8" xfId="1426" xr:uid="{00000000-0005-0000-0000-000088050000}"/>
    <cellStyle name="Normal 3 21 9" xfId="1427" xr:uid="{00000000-0005-0000-0000-000089050000}"/>
    <cellStyle name="Normal 3 22" xfId="1428" xr:uid="{00000000-0005-0000-0000-00008A050000}"/>
    <cellStyle name="Normal 3 22 10" xfId="1429" xr:uid="{00000000-0005-0000-0000-00008B050000}"/>
    <cellStyle name="Normal 3 22 11" xfId="1430" xr:uid="{00000000-0005-0000-0000-00008C050000}"/>
    <cellStyle name="Normal 3 22 12" xfId="1431" xr:uid="{00000000-0005-0000-0000-00008D050000}"/>
    <cellStyle name="Normal 3 22 13" xfId="1432" xr:uid="{00000000-0005-0000-0000-00008E050000}"/>
    <cellStyle name="Normal 3 22 14" xfId="1433" xr:uid="{00000000-0005-0000-0000-00008F050000}"/>
    <cellStyle name="Normal 3 22 15" xfId="1434" xr:uid="{00000000-0005-0000-0000-000090050000}"/>
    <cellStyle name="Normal 3 22 16" xfId="1435" xr:uid="{00000000-0005-0000-0000-000091050000}"/>
    <cellStyle name="Normal 3 22 17" xfId="1436" xr:uid="{00000000-0005-0000-0000-000092050000}"/>
    <cellStyle name="Normal 3 22 18" xfId="1437" xr:uid="{00000000-0005-0000-0000-000093050000}"/>
    <cellStyle name="Normal 3 22 19" xfId="1438" xr:uid="{00000000-0005-0000-0000-000094050000}"/>
    <cellStyle name="Normal 3 22 2" xfId="1439" xr:uid="{00000000-0005-0000-0000-000095050000}"/>
    <cellStyle name="Normal 3 22 20" xfId="1440" xr:uid="{00000000-0005-0000-0000-000096050000}"/>
    <cellStyle name="Normal 3 22 21" xfId="1441" xr:uid="{00000000-0005-0000-0000-000097050000}"/>
    <cellStyle name="Normal 3 22 22" xfId="1442" xr:uid="{00000000-0005-0000-0000-000098050000}"/>
    <cellStyle name="Normal 3 22 23" xfId="1443" xr:uid="{00000000-0005-0000-0000-000099050000}"/>
    <cellStyle name="Normal 3 22 3" xfId="1444" xr:uid="{00000000-0005-0000-0000-00009A050000}"/>
    <cellStyle name="Normal 3 22 4" xfId="1445" xr:uid="{00000000-0005-0000-0000-00009B050000}"/>
    <cellStyle name="Normal 3 22 5" xfId="1446" xr:uid="{00000000-0005-0000-0000-00009C050000}"/>
    <cellStyle name="Normal 3 22 6" xfId="1447" xr:uid="{00000000-0005-0000-0000-00009D050000}"/>
    <cellStyle name="Normal 3 22 7" xfId="1448" xr:uid="{00000000-0005-0000-0000-00009E050000}"/>
    <cellStyle name="Normal 3 22 8" xfId="1449" xr:uid="{00000000-0005-0000-0000-00009F050000}"/>
    <cellStyle name="Normal 3 22 9" xfId="1450" xr:uid="{00000000-0005-0000-0000-0000A0050000}"/>
    <cellStyle name="Normal 3 23" xfId="1451" xr:uid="{00000000-0005-0000-0000-0000A1050000}"/>
    <cellStyle name="Normal 3 23 10" xfId="1452" xr:uid="{00000000-0005-0000-0000-0000A2050000}"/>
    <cellStyle name="Normal 3 23 11" xfId="1453" xr:uid="{00000000-0005-0000-0000-0000A3050000}"/>
    <cellStyle name="Normal 3 23 12" xfId="1454" xr:uid="{00000000-0005-0000-0000-0000A4050000}"/>
    <cellStyle name="Normal 3 23 13" xfId="1455" xr:uid="{00000000-0005-0000-0000-0000A5050000}"/>
    <cellStyle name="Normal 3 23 14" xfId="1456" xr:uid="{00000000-0005-0000-0000-0000A6050000}"/>
    <cellStyle name="Normal 3 23 15" xfId="1457" xr:uid="{00000000-0005-0000-0000-0000A7050000}"/>
    <cellStyle name="Normal 3 23 16" xfId="1458" xr:uid="{00000000-0005-0000-0000-0000A8050000}"/>
    <cellStyle name="Normal 3 23 17" xfId="1459" xr:uid="{00000000-0005-0000-0000-0000A9050000}"/>
    <cellStyle name="Normal 3 23 18" xfId="1460" xr:uid="{00000000-0005-0000-0000-0000AA050000}"/>
    <cellStyle name="Normal 3 23 19" xfId="1461" xr:uid="{00000000-0005-0000-0000-0000AB050000}"/>
    <cellStyle name="Normal 3 23 2" xfId="1462" xr:uid="{00000000-0005-0000-0000-0000AC050000}"/>
    <cellStyle name="Normal 3 23 20" xfId="1463" xr:uid="{00000000-0005-0000-0000-0000AD050000}"/>
    <cellStyle name="Normal 3 23 21" xfId="1464" xr:uid="{00000000-0005-0000-0000-0000AE050000}"/>
    <cellStyle name="Normal 3 23 22" xfId="1465" xr:uid="{00000000-0005-0000-0000-0000AF050000}"/>
    <cellStyle name="Normal 3 23 23" xfId="1466" xr:uid="{00000000-0005-0000-0000-0000B0050000}"/>
    <cellStyle name="Normal 3 23 3" xfId="1467" xr:uid="{00000000-0005-0000-0000-0000B1050000}"/>
    <cellStyle name="Normal 3 23 4" xfId="1468" xr:uid="{00000000-0005-0000-0000-0000B2050000}"/>
    <cellStyle name="Normal 3 23 5" xfId="1469" xr:uid="{00000000-0005-0000-0000-0000B3050000}"/>
    <cellStyle name="Normal 3 23 6" xfId="1470" xr:uid="{00000000-0005-0000-0000-0000B4050000}"/>
    <cellStyle name="Normal 3 23 7" xfId="1471" xr:uid="{00000000-0005-0000-0000-0000B5050000}"/>
    <cellStyle name="Normal 3 23 8" xfId="1472" xr:uid="{00000000-0005-0000-0000-0000B6050000}"/>
    <cellStyle name="Normal 3 23 9" xfId="1473" xr:uid="{00000000-0005-0000-0000-0000B7050000}"/>
    <cellStyle name="Normal 3 24" xfId="1474" xr:uid="{00000000-0005-0000-0000-0000B8050000}"/>
    <cellStyle name="Normal 3 24 10" xfId="1475" xr:uid="{00000000-0005-0000-0000-0000B9050000}"/>
    <cellStyle name="Normal 3 24 11" xfId="1476" xr:uid="{00000000-0005-0000-0000-0000BA050000}"/>
    <cellStyle name="Normal 3 24 12" xfId="1477" xr:uid="{00000000-0005-0000-0000-0000BB050000}"/>
    <cellStyle name="Normal 3 24 13" xfId="1478" xr:uid="{00000000-0005-0000-0000-0000BC050000}"/>
    <cellStyle name="Normal 3 24 14" xfId="1479" xr:uid="{00000000-0005-0000-0000-0000BD050000}"/>
    <cellStyle name="Normal 3 24 15" xfId="1480" xr:uid="{00000000-0005-0000-0000-0000BE050000}"/>
    <cellStyle name="Normal 3 24 16" xfId="1481" xr:uid="{00000000-0005-0000-0000-0000BF050000}"/>
    <cellStyle name="Normal 3 24 17" xfId="1482" xr:uid="{00000000-0005-0000-0000-0000C0050000}"/>
    <cellStyle name="Normal 3 24 18" xfId="1483" xr:uid="{00000000-0005-0000-0000-0000C1050000}"/>
    <cellStyle name="Normal 3 24 19" xfId="1484" xr:uid="{00000000-0005-0000-0000-0000C2050000}"/>
    <cellStyle name="Normal 3 24 2" xfId="1485" xr:uid="{00000000-0005-0000-0000-0000C3050000}"/>
    <cellStyle name="Normal 3 24 20" xfId="1486" xr:uid="{00000000-0005-0000-0000-0000C4050000}"/>
    <cellStyle name="Normal 3 24 21" xfId="1487" xr:uid="{00000000-0005-0000-0000-0000C5050000}"/>
    <cellStyle name="Normal 3 24 22" xfId="1488" xr:uid="{00000000-0005-0000-0000-0000C6050000}"/>
    <cellStyle name="Normal 3 24 23" xfId="1489" xr:uid="{00000000-0005-0000-0000-0000C7050000}"/>
    <cellStyle name="Normal 3 24 3" xfId="1490" xr:uid="{00000000-0005-0000-0000-0000C8050000}"/>
    <cellStyle name="Normal 3 24 4" xfId="1491" xr:uid="{00000000-0005-0000-0000-0000C9050000}"/>
    <cellStyle name="Normal 3 24 5" xfId="1492" xr:uid="{00000000-0005-0000-0000-0000CA050000}"/>
    <cellStyle name="Normal 3 24 6" xfId="1493" xr:uid="{00000000-0005-0000-0000-0000CB050000}"/>
    <cellStyle name="Normal 3 24 7" xfId="1494" xr:uid="{00000000-0005-0000-0000-0000CC050000}"/>
    <cellStyle name="Normal 3 24 8" xfId="1495" xr:uid="{00000000-0005-0000-0000-0000CD050000}"/>
    <cellStyle name="Normal 3 24 9" xfId="1496" xr:uid="{00000000-0005-0000-0000-0000CE050000}"/>
    <cellStyle name="Normal 3 25" xfId="1497" xr:uid="{00000000-0005-0000-0000-0000CF050000}"/>
    <cellStyle name="Normal 3 25 10" xfId="1498" xr:uid="{00000000-0005-0000-0000-0000D0050000}"/>
    <cellStyle name="Normal 3 25 11" xfId="1499" xr:uid="{00000000-0005-0000-0000-0000D1050000}"/>
    <cellStyle name="Normal 3 25 12" xfId="1500" xr:uid="{00000000-0005-0000-0000-0000D2050000}"/>
    <cellStyle name="Normal 3 25 13" xfId="1501" xr:uid="{00000000-0005-0000-0000-0000D3050000}"/>
    <cellStyle name="Normal 3 25 14" xfId="1502" xr:uid="{00000000-0005-0000-0000-0000D4050000}"/>
    <cellStyle name="Normal 3 25 15" xfId="1503" xr:uid="{00000000-0005-0000-0000-0000D5050000}"/>
    <cellStyle name="Normal 3 25 16" xfId="1504" xr:uid="{00000000-0005-0000-0000-0000D6050000}"/>
    <cellStyle name="Normal 3 25 17" xfId="1505" xr:uid="{00000000-0005-0000-0000-0000D7050000}"/>
    <cellStyle name="Normal 3 25 18" xfId="1506" xr:uid="{00000000-0005-0000-0000-0000D8050000}"/>
    <cellStyle name="Normal 3 25 19" xfId="1507" xr:uid="{00000000-0005-0000-0000-0000D9050000}"/>
    <cellStyle name="Normal 3 25 2" xfId="1508" xr:uid="{00000000-0005-0000-0000-0000DA050000}"/>
    <cellStyle name="Normal 3 25 20" xfId="1509" xr:uid="{00000000-0005-0000-0000-0000DB050000}"/>
    <cellStyle name="Normal 3 25 21" xfId="1510" xr:uid="{00000000-0005-0000-0000-0000DC050000}"/>
    <cellStyle name="Normal 3 25 22" xfId="1511" xr:uid="{00000000-0005-0000-0000-0000DD050000}"/>
    <cellStyle name="Normal 3 25 23" xfId="1512" xr:uid="{00000000-0005-0000-0000-0000DE050000}"/>
    <cellStyle name="Normal 3 25 3" xfId="1513" xr:uid="{00000000-0005-0000-0000-0000DF050000}"/>
    <cellStyle name="Normal 3 25 4" xfId="1514" xr:uid="{00000000-0005-0000-0000-0000E0050000}"/>
    <cellStyle name="Normal 3 25 5" xfId="1515" xr:uid="{00000000-0005-0000-0000-0000E1050000}"/>
    <cellStyle name="Normal 3 25 6" xfId="1516" xr:uid="{00000000-0005-0000-0000-0000E2050000}"/>
    <cellStyle name="Normal 3 25 7" xfId="1517" xr:uid="{00000000-0005-0000-0000-0000E3050000}"/>
    <cellStyle name="Normal 3 25 8" xfId="1518" xr:uid="{00000000-0005-0000-0000-0000E4050000}"/>
    <cellStyle name="Normal 3 25 9" xfId="1519" xr:uid="{00000000-0005-0000-0000-0000E5050000}"/>
    <cellStyle name="Normal 3 26" xfId="1520" xr:uid="{00000000-0005-0000-0000-0000E6050000}"/>
    <cellStyle name="Normal 3 26 10" xfId="1521" xr:uid="{00000000-0005-0000-0000-0000E7050000}"/>
    <cellStyle name="Normal 3 26 11" xfId="1522" xr:uid="{00000000-0005-0000-0000-0000E8050000}"/>
    <cellStyle name="Normal 3 26 12" xfId="1523" xr:uid="{00000000-0005-0000-0000-0000E9050000}"/>
    <cellStyle name="Normal 3 26 13" xfId="1524" xr:uid="{00000000-0005-0000-0000-0000EA050000}"/>
    <cellStyle name="Normal 3 26 14" xfId="1525" xr:uid="{00000000-0005-0000-0000-0000EB050000}"/>
    <cellStyle name="Normal 3 26 15" xfId="1526" xr:uid="{00000000-0005-0000-0000-0000EC050000}"/>
    <cellStyle name="Normal 3 26 16" xfId="1527" xr:uid="{00000000-0005-0000-0000-0000ED050000}"/>
    <cellStyle name="Normal 3 26 17" xfId="1528" xr:uid="{00000000-0005-0000-0000-0000EE050000}"/>
    <cellStyle name="Normal 3 26 18" xfId="1529" xr:uid="{00000000-0005-0000-0000-0000EF050000}"/>
    <cellStyle name="Normal 3 26 19" xfId="1530" xr:uid="{00000000-0005-0000-0000-0000F0050000}"/>
    <cellStyle name="Normal 3 26 2" xfId="1531" xr:uid="{00000000-0005-0000-0000-0000F1050000}"/>
    <cellStyle name="Normal 3 26 20" xfId="1532" xr:uid="{00000000-0005-0000-0000-0000F2050000}"/>
    <cellStyle name="Normal 3 26 21" xfId="1533" xr:uid="{00000000-0005-0000-0000-0000F3050000}"/>
    <cellStyle name="Normal 3 26 22" xfId="1534" xr:uid="{00000000-0005-0000-0000-0000F4050000}"/>
    <cellStyle name="Normal 3 26 23" xfId="1535" xr:uid="{00000000-0005-0000-0000-0000F5050000}"/>
    <cellStyle name="Normal 3 26 3" xfId="1536" xr:uid="{00000000-0005-0000-0000-0000F6050000}"/>
    <cellStyle name="Normal 3 26 4" xfId="1537" xr:uid="{00000000-0005-0000-0000-0000F7050000}"/>
    <cellStyle name="Normal 3 26 5" xfId="1538" xr:uid="{00000000-0005-0000-0000-0000F8050000}"/>
    <cellStyle name="Normal 3 26 6" xfId="1539" xr:uid="{00000000-0005-0000-0000-0000F9050000}"/>
    <cellStyle name="Normal 3 26 7" xfId="1540" xr:uid="{00000000-0005-0000-0000-0000FA050000}"/>
    <cellStyle name="Normal 3 26 8" xfId="1541" xr:uid="{00000000-0005-0000-0000-0000FB050000}"/>
    <cellStyle name="Normal 3 26 9" xfId="1542" xr:uid="{00000000-0005-0000-0000-0000FC050000}"/>
    <cellStyle name="Normal 3 27" xfId="1543" xr:uid="{00000000-0005-0000-0000-0000FD050000}"/>
    <cellStyle name="Normal 3 27 10" xfId="1544" xr:uid="{00000000-0005-0000-0000-0000FE050000}"/>
    <cellStyle name="Normal 3 27 11" xfId="1545" xr:uid="{00000000-0005-0000-0000-0000FF050000}"/>
    <cellStyle name="Normal 3 27 12" xfId="1546" xr:uid="{00000000-0005-0000-0000-000000060000}"/>
    <cellStyle name="Normal 3 27 13" xfId="1547" xr:uid="{00000000-0005-0000-0000-000001060000}"/>
    <cellStyle name="Normal 3 27 14" xfId="1548" xr:uid="{00000000-0005-0000-0000-000002060000}"/>
    <cellStyle name="Normal 3 27 15" xfId="1549" xr:uid="{00000000-0005-0000-0000-000003060000}"/>
    <cellStyle name="Normal 3 27 16" xfId="1550" xr:uid="{00000000-0005-0000-0000-000004060000}"/>
    <cellStyle name="Normal 3 27 17" xfId="1551" xr:uid="{00000000-0005-0000-0000-000005060000}"/>
    <cellStyle name="Normal 3 27 18" xfId="1552" xr:uid="{00000000-0005-0000-0000-000006060000}"/>
    <cellStyle name="Normal 3 27 19" xfId="1553" xr:uid="{00000000-0005-0000-0000-000007060000}"/>
    <cellStyle name="Normal 3 27 2" xfId="1554" xr:uid="{00000000-0005-0000-0000-000008060000}"/>
    <cellStyle name="Normal 3 27 20" xfId="1555" xr:uid="{00000000-0005-0000-0000-000009060000}"/>
    <cellStyle name="Normal 3 27 21" xfId="1556" xr:uid="{00000000-0005-0000-0000-00000A060000}"/>
    <cellStyle name="Normal 3 27 22" xfId="1557" xr:uid="{00000000-0005-0000-0000-00000B060000}"/>
    <cellStyle name="Normal 3 27 23" xfId="1558" xr:uid="{00000000-0005-0000-0000-00000C060000}"/>
    <cellStyle name="Normal 3 27 3" xfId="1559" xr:uid="{00000000-0005-0000-0000-00000D060000}"/>
    <cellStyle name="Normal 3 27 4" xfId="1560" xr:uid="{00000000-0005-0000-0000-00000E060000}"/>
    <cellStyle name="Normal 3 27 5" xfId="1561" xr:uid="{00000000-0005-0000-0000-00000F060000}"/>
    <cellStyle name="Normal 3 27 6" xfId="1562" xr:uid="{00000000-0005-0000-0000-000010060000}"/>
    <cellStyle name="Normal 3 27 7" xfId="1563" xr:uid="{00000000-0005-0000-0000-000011060000}"/>
    <cellStyle name="Normal 3 27 8" xfId="1564" xr:uid="{00000000-0005-0000-0000-000012060000}"/>
    <cellStyle name="Normal 3 27 9" xfId="1565" xr:uid="{00000000-0005-0000-0000-000013060000}"/>
    <cellStyle name="Normal 3 28" xfId="1566" xr:uid="{00000000-0005-0000-0000-000014060000}"/>
    <cellStyle name="Normal 3 28 10" xfId="1567" xr:uid="{00000000-0005-0000-0000-000015060000}"/>
    <cellStyle name="Normal 3 28 11" xfId="1568" xr:uid="{00000000-0005-0000-0000-000016060000}"/>
    <cellStyle name="Normal 3 28 12" xfId="1569" xr:uid="{00000000-0005-0000-0000-000017060000}"/>
    <cellStyle name="Normal 3 28 13" xfId="1570" xr:uid="{00000000-0005-0000-0000-000018060000}"/>
    <cellStyle name="Normal 3 28 14" xfId="1571" xr:uid="{00000000-0005-0000-0000-000019060000}"/>
    <cellStyle name="Normal 3 28 15" xfId="1572" xr:uid="{00000000-0005-0000-0000-00001A060000}"/>
    <cellStyle name="Normal 3 28 16" xfId="1573" xr:uid="{00000000-0005-0000-0000-00001B060000}"/>
    <cellStyle name="Normal 3 28 17" xfId="1574" xr:uid="{00000000-0005-0000-0000-00001C060000}"/>
    <cellStyle name="Normal 3 28 18" xfId="1575" xr:uid="{00000000-0005-0000-0000-00001D060000}"/>
    <cellStyle name="Normal 3 28 19" xfId="1576" xr:uid="{00000000-0005-0000-0000-00001E060000}"/>
    <cellStyle name="Normal 3 28 2" xfId="1577" xr:uid="{00000000-0005-0000-0000-00001F060000}"/>
    <cellStyle name="Normal 3 28 20" xfId="1578" xr:uid="{00000000-0005-0000-0000-000020060000}"/>
    <cellStyle name="Normal 3 28 21" xfId="1579" xr:uid="{00000000-0005-0000-0000-000021060000}"/>
    <cellStyle name="Normal 3 28 22" xfId="1580" xr:uid="{00000000-0005-0000-0000-000022060000}"/>
    <cellStyle name="Normal 3 28 23" xfId="1581" xr:uid="{00000000-0005-0000-0000-000023060000}"/>
    <cellStyle name="Normal 3 28 3" xfId="1582" xr:uid="{00000000-0005-0000-0000-000024060000}"/>
    <cellStyle name="Normal 3 28 4" xfId="1583" xr:uid="{00000000-0005-0000-0000-000025060000}"/>
    <cellStyle name="Normal 3 28 5" xfId="1584" xr:uid="{00000000-0005-0000-0000-000026060000}"/>
    <cellStyle name="Normal 3 28 6" xfId="1585" xr:uid="{00000000-0005-0000-0000-000027060000}"/>
    <cellStyle name="Normal 3 28 7" xfId="1586" xr:uid="{00000000-0005-0000-0000-000028060000}"/>
    <cellStyle name="Normal 3 28 8" xfId="1587" xr:uid="{00000000-0005-0000-0000-000029060000}"/>
    <cellStyle name="Normal 3 28 9" xfId="1588" xr:uid="{00000000-0005-0000-0000-00002A060000}"/>
    <cellStyle name="Normal 3 29" xfId="1589" xr:uid="{00000000-0005-0000-0000-00002B060000}"/>
    <cellStyle name="Normal 3 29 10" xfId="1590" xr:uid="{00000000-0005-0000-0000-00002C060000}"/>
    <cellStyle name="Normal 3 29 11" xfId="1591" xr:uid="{00000000-0005-0000-0000-00002D060000}"/>
    <cellStyle name="Normal 3 29 12" xfId="1592" xr:uid="{00000000-0005-0000-0000-00002E060000}"/>
    <cellStyle name="Normal 3 29 13" xfId="1593" xr:uid="{00000000-0005-0000-0000-00002F060000}"/>
    <cellStyle name="Normal 3 29 14" xfId="1594" xr:uid="{00000000-0005-0000-0000-000030060000}"/>
    <cellStyle name="Normal 3 29 15" xfId="1595" xr:uid="{00000000-0005-0000-0000-000031060000}"/>
    <cellStyle name="Normal 3 29 16" xfId="1596" xr:uid="{00000000-0005-0000-0000-000032060000}"/>
    <cellStyle name="Normal 3 29 17" xfId="1597" xr:uid="{00000000-0005-0000-0000-000033060000}"/>
    <cellStyle name="Normal 3 29 18" xfId="1598" xr:uid="{00000000-0005-0000-0000-000034060000}"/>
    <cellStyle name="Normal 3 29 19" xfId="1599" xr:uid="{00000000-0005-0000-0000-000035060000}"/>
    <cellStyle name="Normal 3 29 2" xfId="1600" xr:uid="{00000000-0005-0000-0000-000036060000}"/>
    <cellStyle name="Normal 3 29 20" xfId="1601" xr:uid="{00000000-0005-0000-0000-000037060000}"/>
    <cellStyle name="Normal 3 29 21" xfId="1602" xr:uid="{00000000-0005-0000-0000-000038060000}"/>
    <cellStyle name="Normal 3 29 22" xfId="1603" xr:uid="{00000000-0005-0000-0000-000039060000}"/>
    <cellStyle name="Normal 3 29 23" xfId="1604" xr:uid="{00000000-0005-0000-0000-00003A060000}"/>
    <cellStyle name="Normal 3 29 3" xfId="1605" xr:uid="{00000000-0005-0000-0000-00003B060000}"/>
    <cellStyle name="Normal 3 29 4" xfId="1606" xr:uid="{00000000-0005-0000-0000-00003C060000}"/>
    <cellStyle name="Normal 3 29 5" xfId="1607" xr:uid="{00000000-0005-0000-0000-00003D060000}"/>
    <cellStyle name="Normal 3 29 6" xfId="1608" xr:uid="{00000000-0005-0000-0000-00003E060000}"/>
    <cellStyle name="Normal 3 29 7" xfId="1609" xr:uid="{00000000-0005-0000-0000-00003F060000}"/>
    <cellStyle name="Normal 3 29 8" xfId="1610" xr:uid="{00000000-0005-0000-0000-000040060000}"/>
    <cellStyle name="Normal 3 29 9" xfId="1611" xr:uid="{00000000-0005-0000-0000-000041060000}"/>
    <cellStyle name="Normal 3 3" xfId="1612" xr:uid="{00000000-0005-0000-0000-000042060000}"/>
    <cellStyle name="Normal 3 3 10" xfId="1613" xr:uid="{00000000-0005-0000-0000-000043060000}"/>
    <cellStyle name="Normal 3 3 11" xfId="1614" xr:uid="{00000000-0005-0000-0000-000044060000}"/>
    <cellStyle name="Normal 3 3 12" xfId="1615" xr:uid="{00000000-0005-0000-0000-000045060000}"/>
    <cellStyle name="Normal 3 3 13" xfId="1616" xr:uid="{00000000-0005-0000-0000-000046060000}"/>
    <cellStyle name="Normal 3 3 14" xfId="1617" xr:uid="{00000000-0005-0000-0000-000047060000}"/>
    <cellStyle name="Normal 3 3 15" xfId="1618" xr:uid="{00000000-0005-0000-0000-000048060000}"/>
    <cellStyle name="Normal 3 3 16" xfId="1619" xr:uid="{00000000-0005-0000-0000-000049060000}"/>
    <cellStyle name="Normal 3 3 17" xfId="1620" xr:uid="{00000000-0005-0000-0000-00004A060000}"/>
    <cellStyle name="Normal 3 3 18" xfId="1621" xr:uid="{00000000-0005-0000-0000-00004B060000}"/>
    <cellStyle name="Normal 3 3 19" xfId="1622" xr:uid="{00000000-0005-0000-0000-00004C060000}"/>
    <cellStyle name="Normal 3 3 2" xfId="1623" xr:uid="{00000000-0005-0000-0000-00004D060000}"/>
    <cellStyle name="Normal 3 3 20" xfId="1624" xr:uid="{00000000-0005-0000-0000-00004E060000}"/>
    <cellStyle name="Normal 3 3 21" xfId="1625" xr:uid="{00000000-0005-0000-0000-00004F060000}"/>
    <cellStyle name="Normal 3 3 22" xfId="1626" xr:uid="{00000000-0005-0000-0000-000050060000}"/>
    <cellStyle name="Normal 3 3 23" xfId="1627" xr:uid="{00000000-0005-0000-0000-000051060000}"/>
    <cellStyle name="Normal 3 3 3" xfId="1628" xr:uid="{00000000-0005-0000-0000-000052060000}"/>
    <cellStyle name="Normal 3 3 4" xfId="1629" xr:uid="{00000000-0005-0000-0000-000053060000}"/>
    <cellStyle name="Normal 3 3 5" xfId="1630" xr:uid="{00000000-0005-0000-0000-000054060000}"/>
    <cellStyle name="Normal 3 3 6" xfId="1631" xr:uid="{00000000-0005-0000-0000-000055060000}"/>
    <cellStyle name="Normal 3 3 7" xfId="1632" xr:uid="{00000000-0005-0000-0000-000056060000}"/>
    <cellStyle name="Normal 3 3 8" xfId="1633" xr:uid="{00000000-0005-0000-0000-000057060000}"/>
    <cellStyle name="Normal 3 3 9" xfId="1634" xr:uid="{00000000-0005-0000-0000-000058060000}"/>
    <cellStyle name="Normal 3 30" xfId="1635" xr:uid="{00000000-0005-0000-0000-000059060000}"/>
    <cellStyle name="Normal 3 30 10" xfId="1636" xr:uid="{00000000-0005-0000-0000-00005A060000}"/>
    <cellStyle name="Normal 3 30 11" xfId="1637" xr:uid="{00000000-0005-0000-0000-00005B060000}"/>
    <cellStyle name="Normal 3 30 12" xfId="1638" xr:uid="{00000000-0005-0000-0000-00005C060000}"/>
    <cellStyle name="Normal 3 30 13" xfId="1639" xr:uid="{00000000-0005-0000-0000-00005D060000}"/>
    <cellStyle name="Normal 3 30 14" xfId="1640" xr:uid="{00000000-0005-0000-0000-00005E060000}"/>
    <cellStyle name="Normal 3 30 15" xfId="1641" xr:uid="{00000000-0005-0000-0000-00005F060000}"/>
    <cellStyle name="Normal 3 30 16" xfId="1642" xr:uid="{00000000-0005-0000-0000-000060060000}"/>
    <cellStyle name="Normal 3 30 17" xfId="1643" xr:uid="{00000000-0005-0000-0000-000061060000}"/>
    <cellStyle name="Normal 3 30 18" xfId="1644" xr:uid="{00000000-0005-0000-0000-000062060000}"/>
    <cellStyle name="Normal 3 30 19" xfId="1645" xr:uid="{00000000-0005-0000-0000-000063060000}"/>
    <cellStyle name="Normal 3 30 2" xfId="1646" xr:uid="{00000000-0005-0000-0000-000064060000}"/>
    <cellStyle name="Normal 3 30 20" xfId="1647" xr:uid="{00000000-0005-0000-0000-000065060000}"/>
    <cellStyle name="Normal 3 30 21" xfId="1648" xr:uid="{00000000-0005-0000-0000-000066060000}"/>
    <cellStyle name="Normal 3 30 22" xfId="1649" xr:uid="{00000000-0005-0000-0000-000067060000}"/>
    <cellStyle name="Normal 3 30 23" xfId="1650" xr:uid="{00000000-0005-0000-0000-000068060000}"/>
    <cellStyle name="Normal 3 30 3" xfId="1651" xr:uid="{00000000-0005-0000-0000-000069060000}"/>
    <cellStyle name="Normal 3 30 4" xfId="1652" xr:uid="{00000000-0005-0000-0000-00006A060000}"/>
    <cellStyle name="Normal 3 30 5" xfId="1653" xr:uid="{00000000-0005-0000-0000-00006B060000}"/>
    <cellStyle name="Normal 3 30 6" xfId="1654" xr:uid="{00000000-0005-0000-0000-00006C060000}"/>
    <cellStyle name="Normal 3 30 7" xfId="1655" xr:uid="{00000000-0005-0000-0000-00006D060000}"/>
    <cellStyle name="Normal 3 30 8" xfId="1656" xr:uid="{00000000-0005-0000-0000-00006E060000}"/>
    <cellStyle name="Normal 3 30 9" xfId="1657" xr:uid="{00000000-0005-0000-0000-00006F060000}"/>
    <cellStyle name="Normal 3 31" xfId="1658" xr:uid="{00000000-0005-0000-0000-000070060000}"/>
    <cellStyle name="Normal 3 31 10" xfId="1659" xr:uid="{00000000-0005-0000-0000-000071060000}"/>
    <cellStyle name="Normal 3 31 11" xfId="1660" xr:uid="{00000000-0005-0000-0000-000072060000}"/>
    <cellStyle name="Normal 3 31 12" xfId="1661" xr:uid="{00000000-0005-0000-0000-000073060000}"/>
    <cellStyle name="Normal 3 31 13" xfId="1662" xr:uid="{00000000-0005-0000-0000-000074060000}"/>
    <cellStyle name="Normal 3 31 14" xfId="1663" xr:uid="{00000000-0005-0000-0000-000075060000}"/>
    <cellStyle name="Normal 3 31 15" xfId="1664" xr:uid="{00000000-0005-0000-0000-000076060000}"/>
    <cellStyle name="Normal 3 31 16" xfId="1665" xr:uid="{00000000-0005-0000-0000-000077060000}"/>
    <cellStyle name="Normal 3 31 17" xfId="1666" xr:uid="{00000000-0005-0000-0000-000078060000}"/>
    <cellStyle name="Normal 3 31 18" xfId="1667" xr:uid="{00000000-0005-0000-0000-000079060000}"/>
    <cellStyle name="Normal 3 31 19" xfId="1668" xr:uid="{00000000-0005-0000-0000-00007A060000}"/>
    <cellStyle name="Normal 3 31 2" xfId="1669" xr:uid="{00000000-0005-0000-0000-00007B060000}"/>
    <cellStyle name="Normal 3 31 20" xfId="1670" xr:uid="{00000000-0005-0000-0000-00007C060000}"/>
    <cellStyle name="Normal 3 31 21" xfId="1671" xr:uid="{00000000-0005-0000-0000-00007D060000}"/>
    <cellStyle name="Normal 3 31 22" xfId="1672" xr:uid="{00000000-0005-0000-0000-00007E060000}"/>
    <cellStyle name="Normal 3 31 23" xfId="1673" xr:uid="{00000000-0005-0000-0000-00007F060000}"/>
    <cellStyle name="Normal 3 31 3" xfId="1674" xr:uid="{00000000-0005-0000-0000-000080060000}"/>
    <cellStyle name="Normal 3 31 4" xfId="1675" xr:uid="{00000000-0005-0000-0000-000081060000}"/>
    <cellStyle name="Normal 3 31 5" xfId="1676" xr:uid="{00000000-0005-0000-0000-000082060000}"/>
    <cellStyle name="Normal 3 31 6" xfId="1677" xr:uid="{00000000-0005-0000-0000-000083060000}"/>
    <cellStyle name="Normal 3 31 7" xfId="1678" xr:uid="{00000000-0005-0000-0000-000084060000}"/>
    <cellStyle name="Normal 3 31 8" xfId="1679" xr:uid="{00000000-0005-0000-0000-000085060000}"/>
    <cellStyle name="Normal 3 31 9" xfId="1680" xr:uid="{00000000-0005-0000-0000-000086060000}"/>
    <cellStyle name="Normal 3 32" xfId="1681" xr:uid="{00000000-0005-0000-0000-000087060000}"/>
    <cellStyle name="Normal 3 32 10" xfId="1682" xr:uid="{00000000-0005-0000-0000-000088060000}"/>
    <cellStyle name="Normal 3 32 11" xfId="1683" xr:uid="{00000000-0005-0000-0000-000089060000}"/>
    <cellStyle name="Normal 3 32 12" xfId="1684" xr:uid="{00000000-0005-0000-0000-00008A060000}"/>
    <cellStyle name="Normal 3 32 13" xfId="1685" xr:uid="{00000000-0005-0000-0000-00008B060000}"/>
    <cellStyle name="Normal 3 32 14" xfId="1686" xr:uid="{00000000-0005-0000-0000-00008C060000}"/>
    <cellStyle name="Normal 3 32 15" xfId="1687" xr:uid="{00000000-0005-0000-0000-00008D060000}"/>
    <cellStyle name="Normal 3 32 16" xfId="1688" xr:uid="{00000000-0005-0000-0000-00008E060000}"/>
    <cellStyle name="Normal 3 32 17" xfId="1689" xr:uid="{00000000-0005-0000-0000-00008F060000}"/>
    <cellStyle name="Normal 3 32 18" xfId="1690" xr:uid="{00000000-0005-0000-0000-000090060000}"/>
    <cellStyle name="Normal 3 32 19" xfId="1691" xr:uid="{00000000-0005-0000-0000-000091060000}"/>
    <cellStyle name="Normal 3 32 2" xfId="1692" xr:uid="{00000000-0005-0000-0000-000092060000}"/>
    <cellStyle name="Normal 3 32 20" xfId="1693" xr:uid="{00000000-0005-0000-0000-000093060000}"/>
    <cellStyle name="Normal 3 32 21" xfId="1694" xr:uid="{00000000-0005-0000-0000-000094060000}"/>
    <cellStyle name="Normal 3 32 22" xfId="1695" xr:uid="{00000000-0005-0000-0000-000095060000}"/>
    <cellStyle name="Normal 3 32 23" xfId="1696" xr:uid="{00000000-0005-0000-0000-000096060000}"/>
    <cellStyle name="Normal 3 32 3" xfId="1697" xr:uid="{00000000-0005-0000-0000-000097060000}"/>
    <cellStyle name="Normal 3 32 4" xfId="1698" xr:uid="{00000000-0005-0000-0000-000098060000}"/>
    <cellStyle name="Normal 3 32 5" xfId="1699" xr:uid="{00000000-0005-0000-0000-000099060000}"/>
    <cellStyle name="Normal 3 32 6" xfId="1700" xr:uid="{00000000-0005-0000-0000-00009A060000}"/>
    <cellStyle name="Normal 3 32 7" xfId="1701" xr:uid="{00000000-0005-0000-0000-00009B060000}"/>
    <cellStyle name="Normal 3 32 8" xfId="1702" xr:uid="{00000000-0005-0000-0000-00009C060000}"/>
    <cellStyle name="Normal 3 32 9" xfId="1703" xr:uid="{00000000-0005-0000-0000-00009D060000}"/>
    <cellStyle name="Normal 3 33" xfId="1704" xr:uid="{00000000-0005-0000-0000-00009E060000}"/>
    <cellStyle name="Normal 3 33 10" xfId="1705" xr:uid="{00000000-0005-0000-0000-00009F060000}"/>
    <cellStyle name="Normal 3 33 11" xfId="1706" xr:uid="{00000000-0005-0000-0000-0000A0060000}"/>
    <cellStyle name="Normal 3 33 12" xfId="1707" xr:uid="{00000000-0005-0000-0000-0000A1060000}"/>
    <cellStyle name="Normal 3 33 13" xfId="1708" xr:uid="{00000000-0005-0000-0000-0000A2060000}"/>
    <cellStyle name="Normal 3 33 14" xfId="1709" xr:uid="{00000000-0005-0000-0000-0000A3060000}"/>
    <cellStyle name="Normal 3 33 15" xfId="1710" xr:uid="{00000000-0005-0000-0000-0000A4060000}"/>
    <cellStyle name="Normal 3 33 16" xfId="1711" xr:uid="{00000000-0005-0000-0000-0000A5060000}"/>
    <cellStyle name="Normal 3 33 17" xfId="1712" xr:uid="{00000000-0005-0000-0000-0000A6060000}"/>
    <cellStyle name="Normal 3 33 18" xfId="1713" xr:uid="{00000000-0005-0000-0000-0000A7060000}"/>
    <cellStyle name="Normal 3 33 19" xfId="1714" xr:uid="{00000000-0005-0000-0000-0000A8060000}"/>
    <cellStyle name="Normal 3 33 2" xfId="1715" xr:uid="{00000000-0005-0000-0000-0000A9060000}"/>
    <cellStyle name="Normal 3 33 20" xfId="1716" xr:uid="{00000000-0005-0000-0000-0000AA060000}"/>
    <cellStyle name="Normal 3 33 21" xfId="1717" xr:uid="{00000000-0005-0000-0000-0000AB060000}"/>
    <cellStyle name="Normal 3 33 22" xfId="1718" xr:uid="{00000000-0005-0000-0000-0000AC060000}"/>
    <cellStyle name="Normal 3 33 23" xfId="1719" xr:uid="{00000000-0005-0000-0000-0000AD060000}"/>
    <cellStyle name="Normal 3 33 3" xfId="1720" xr:uid="{00000000-0005-0000-0000-0000AE060000}"/>
    <cellStyle name="Normal 3 33 4" xfId="1721" xr:uid="{00000000-0005-0000-0000-0000AF060000}"/>
    <cellStyle name="Normal 3 33 5" xfId="1722" xr:uid="{00000000-0005-0000-0000-0000B0060000}"/>
    <cellStyle name="Normal 3 33 6" xfId="1723" xr:uid="{00000000-0005-0000-0000-0000B1060000}"/>
    <cellStyle name="Normal 3 33 7" xfId="1724" xr:uid="{00000000-0005-0000-0000-0000B2060000}"/>
    <cellStyle name="Normal 3 33 8" xfId="1725" xr:uid="{00000000-0005-0000-0000-0000B3060000}"/>
    <cellStyle name="Normal 3 33 9" xfId="1726" xr:uid="{00000000-0005-0000-0000-0000B4060000}"/>
    <cellStyle name="Normal 3 34" xfId="1727" xr:uid="{00000000-0005-0000-0000-0000B5060000}"/>
    <cellStyle name="Normal 3 35" xfId="1728" xr:uid="{00000000-0005-0000-0000-0000B6060000}"/>
    <cellStyle name="Normal 3 36" xfId="1729" xr:uid="{00000000-0005-0000-0000-0000B7060000}"/>
    <cellStyle name="Normal 3 37" xfId="1730" xr:uid="{00000000-0005-0000-0000-0000B8060000}"/>
    <cellStyle name="Normal 3 38" xfId="1731" xr:uid="{00000000-0005-0000-0000-0000B9060000}"/>
    <cellStyle name="Normal 3 39" xfId="1732" xr:uid="{00000000-0005-0000-0000-0000BA060000}"/>
    <cellStyle name="Normal 3 4" xfId="1733" xr:uid="{00000000-0005-0000-0000-0000BB060000}"/>
    <cellStyle name="Normal 3 4 10" xfId="1734" xr:uid="{00000000-0005-0000-0000-0000BC060000}"/>
    <cellStyle name="Normal 3 4 11" xfId="1735" xr:uid="{00000000-0005-0000-0000-0000BD060000}"/>
    <cellStyle name="Normal 3 4 12" xfId="1736" xr:uid="{00000000-0005-0000-0000-0000BE060000}"/>
    <cellStyle name="Normal 3 4 13" xfId="1737" xr:uid="{00000000-0005-0000-0000-0000BF060000}"/>
    <cellStyle name="Normal 3 4 14" xfId="1738" xr:uid="{00000000-0005-0000-0000-0000C0060000}"/>
    <cellStyle name="Normal 3 4 15" xfId="1739" xr:uid="{00000000-0005-0000-0000-0000C1060000}"/>
    <cellStyle name="Normal 3 4 16" xfId="1740" xr:uid="{00000000-0005-0000-0000-0000C2060000}"/>
    <cellStyle name="Normal 3 4 17" xfId="1741" xr:uid="{00000000-0005-0000-0000-0000C3060000}"/>
    <cellStyle name="Normal 3 4 18" xfId="1742" xr:uid="{00000000-0005-0000-0000-0000C4060000}"/>
    <cellStyle name="Normal 3 4 19" xfId="1743" xr:uid="{00000000-0005-0000-0000-0000C5060000}"/>
    <cellStyle name="Normal 3 4 2" xfId="1744" xr:uid="{00000000-0005-0000-0000-0000C6060000}"/>
    <cellStyle name="Normal 3 4 20" xfId="1745" xr:uid="{00000000-0005-0000-0000-0000C7060000}"/>
    <cellStyle name="Normal 3 4 21" xfId="1746" xr:uid="{00000000-0005-0000-0000-0000C8060000}"/>
    <cellStyle name="Normal 3 4 22" xfId="1747" xr:uid="{00000000-0005-0000-0000-0000C9060000}"/>
    <cellStyle name="Normal 3 4 23" xfId="1748" xr:uid="{00000000-0005-0000-0000-0000CA060000}"/>
    <cellStyle name="Normal 3 4 3" xfId="1749" xr:uid="{00000000-0005-0000-0000-0000CB060000}"/>
    <cellStyle name="Normal 3 4 4" xfId="1750" xr:uid="{00000000-0005-0000-0000-0000CC060000}"/>
    <cellStyle name="Normal 3 4 5" xfId="1751" xr:uid="{00000000-0005-0000-0000-0000CD060000}"/>
    <cellStyle name="Normal 3 4 6" xfId="1752" xr:uid="{00000000-0005-0000-0000-0000CE060000}"/>
    <cellStyle name="Normal 3 4 7" xfId="1753" xr:uid="{00000000-0005-0000-0000-0000CF060000}"/>
    <cellStyle name="Normal 3 4 8" xfId="1754" xr:uid="{00000000-0005-0000-0000-0000D0060000}"/>
    <cellStyle name="Normal 3 4 9" xfId="1755" xr:uid="{00000000-0005-0000-0000-0000D1060000}"/>
    <cellStyle name="Normal 3 40" xfId="1756" xr:uid="{00000000-0005-0000-0000-0000D2060000}"/>
    <cellStyle name="Normal 3 41" xfId="1757" xr:uid="{00000000-0005-0000-0000-0000D3060000}"/>
    <cellStyle name="Normal 3 42" xfId="1758" xr:uid="{00000000-0005-0000-0000-0000D4060000}"/>
    <cellStyle name="Normal 3 43" xfId="1759" xr:uid="{00000000-0005-0000-0000-0000D5060000}"/>
    <cellStyle name="Normal 3 44" xfId="1760" xr:uid="{00000000-0005-0000-0000-0000D6060000}"/>
    <cellStyle name="Normal 3 45" xfId="1761" xr:uid="{00000000-0005-0000-0000-0000D7060000}"/>
    <cellStyle name="Normal 3 46" xfId="1762" xr:uid="{00000000-0005-0000-0000-0000D8060000}"/>
    <cellStyle name="Normal 3 47" xfId="1763" xr:uid="{00000000-0005-0000-0000-0000D9060000}"/>
    <cellStyle name="Normal 3 48" xfId="1764" xr:uid="{00000000-0005-0000-0000-0000DA060000}"/>
    <cellStyle name="Normal 3 49" xfId="1765" xr:uid="{00000000-0005-0000-0000-0000DB060000}"/>
    <cellStyle name="Normal 3 5" xfId="1766" xr:uid="{00000000-0005-0000-0000-0000DC060000}"/>
    <cellStyle name="Normal 3 5 10" xfId="1767" xr:uid="{00000000-0005-0000-0000-0000DD060000}"/>
    <cellStyle name="Normal 3 5 11" xfId="1768" xr:uid="{00000000-0005-0000-0000-0000DE060000}"/>
    <cellStyle name="Normal 3 5 12" xfId="1769" xr:uid="{00000000-0005-0000-0000-0000DF060000}"/>
    <cellStyle name="Normal 3 5 13" xfId="1770" xr:uid="{00000000-0005-0000-0000-0000E0060000}"/>
    <cellStyle name="Normal 3 5 14" xfId="1771" xr:uid="{00000000-0005-0000-0000-0000E1060000}"/>
    <cellStyle name="Normal 3 5 15" xfId="1772" xr:uid="{00000000-0005-0000-0000-0000E2060000}"/>
    <cellStyle name="Normal 3 5 16" xfId="1773" xr:uid="{00000000-0005-0000-0000-0000E3060000}"/>
    <cellStyle name="Normal 3 5 17" xfId="1774" xr:uid="{00000000-0005-0000-0000-0000E4060000}"/>
    <cellStyle name="Normal 3 5 18" xfId="1775" xr:uid="{00000000-0005-0000-0000-0000E5060000}"/>
    <cellStyle name="Normal 3 5 19" xfId="1776" xr:uid="{00000000-0005-0000-0000-0000E6060000}"/>
    <cellStyle name="Normal 3 5 2" xfId="1777" xr:uid="{00000000-0005-0000-0000-0000E7060000}"/>
    <cellStyle name="Normal 3 5 20" xfId="1778" xr:uid="{00000000-0005-0000-0000-0000E8060000}"/>
    <cellStyle name="Normal 3 5 21" xfId="1779" xr:uid="{00000000-0005-0000-0000-0000E9060000}"/>
    <cellStyle name="Normal 3 5 22" xfId="1780" xr:uid="{00000000-0005-0000-0000-0000EA060000}"/>
    <cellStyle name="Normal 3 5 23" xfId="1781" xr:uid="{00000000-0005-0000-0000-0000EB060000}"/>
    <cellStyle name="Normal 3 5 3" xfId="1782" xr:uid="{00000000-0005-0000-0000-0000EC060000}"/>
    <cellStyle name="Normal 3 5 4" xfId="1783" xr:uid="{00000000-0005-0000-0000-0000ED060000}"/>
    <cellStyle name="Normal 3 5 5" xfId="1784" xr:uid="{00000000-0005-0000-0000-0000EE060000}"/>
    <cellStyle name="Normal 3 5 6" xfId="1785" xr:uid="{00000000-0005-0000-0000-0000EF060000}"/>
    <cellStyle name="Normal 3 5 7" xfId="1786" xr:uid="{00000000-0005-0000-0000-0000F0060000}"/>
    <cellStyle name="Normal 3 5 8" xfId="1787" xr:uid="{00000000-0005-0000-0000-0000F1060000}"/>
    <cellStyle name="Normal 3 5 9" xfId="1788" xr:uid="{00000000-0005-0000-0000-0000F2060000}"/>
    <cellStyle name="Normal 3 50" xfId="1789" xr:uid="{00000000-0005-0000-0000-0000F3060000}"/>
    <cellStyle name="Normal 3 51" xfId="1790" xr:uid="{00000000-0005-0000-0000-0000F4060000}"/>
    <cellStyle name="Normal 3 52" xfId="1791" xr:uid="{00000000-0005-0000-0000-0000F5060000}"/>
    <cellStyle name="Normal 3 53" xfId="1792" xr:uid="{00000000-0005-0000-0000-0000F6060000}"/>
    <cellStyle name="Normal 3 54" xfId="1793" xr:uid="{00000000-0005-0000-0000-0000F7060000}"/>
    <cellStyle name="Normal 3 55" xfId="1794" xr:uid="{00000000-0005-0000-0000-0000F8060000}"/>
    <cellStyle name="Normal 3 56" xfId="1795" xr:uid="{00000000-0005-0000-0000-0000F9060000}"/>
    <cellStyle name="Normal 3 57" xfId="1796" xr:uid="{00000000-0005-0000-0000-0000FA060000}"/>
    <cellStyle name="Normal 3 58" xfId="1797" xr:uid="{00000000-0005-0000-0000-0000FB060000}"/>
    <cellStyle name="Normal 3 59" xfId="1798" xr:uid="{00000000-0005-0000-0000-0000FC060000}"/>
    <cellStyle name="Normal 3 6" xfId="1799" xr:uid="{00000000-0005-0000-0000-0000FD060000}"/>
    <cellStyle name="Normal 3 6 10" xfId="1800" xr:uid="{00000000-0005-0000-0000-0000FE060000}"/>
    <cellStyle name="Normal 3 6 11" xfId="1801" xr:uid="{00000000-0005-0000-0000-0000FF060000}"/>
    <cellStyle name="Normal 3 6 12" xfId="1802" xr:uid="{00000000-0005-0000-0000-000000070000}"/>
    <cellStyle name="Normal 3 6 13" xfId="1803" xr:uid="{00000000-0005-0000-0000-000001070000}"/>
    <cellStyle name="Normal 3 6 14" xfId="1804" xr:uid="{00000000-0005-0000-0000-000002070000}"/>
    <cellStyle name="Normal 3 6 15" xfId="1805" xr:uid="{00000000-0005-0000-0000-000003070000}"/>
    <cellStyle name="Normal 3 6 16" xfId="1806" xr:uid="{00000000-0005-0000-0000-000004070000}"/>
    <cellStyle name="Normal 3 6 17" xfId="1807" xr:uid="{00000000-0005-0000-0000-000005070000}"/>
    <cellStyle name="Normal 3 6 18" xfId="1808" xr:uid="{00000000-0005-0000-0000-000006070000}"/>
    <cellStyle name="Normal 3 6 19" xfId="1809" xr:uid="{00000000-0005-0000-0000-000007070000}"/>
    <cellStyle name="Normal 3 6 2" xfId="1810" xr:uid="{00000000-0005-0000-0000-000008070000}"/>
    <cellStyle name="Normal 3 6 20" xfId="1811" xr:uid="{00000000-0005-0000-0000-000009070000}"/>
    <cellStyle name="Normal 3 6 21" xfId="1812" xr:uid="{00000000-0005-0000-0000-00000A070000}"/>
    <cellStyle name="Normal 3 6 22" xfId="1813" xr:uid="{00000000-0005-0000-0000-00000B070000}"/>
    <cellStyle name="Normal 3 6 23" xfId="1814" xr:uid="{00000000-0005-0000-0000-00000C070000}"/>
    <cellStyle name="Normal 3 6 3" xfId="1815" xr:uid="{00000000-0005-0000-0000-00000D070000}"/>
    <cellStyle name="Normal 3 6 4" xfId="1816" xr:uid="{00000000-0005-0000-0000-00000E070000}"/>
    <cellStyle name="Normal 3 6 5" xfId="1817" xr:uid="{00000000-0005-0000-0000-00000F070000}"/>
    <cellStyle name="Normal 3 6 6" xfId="1818" xr:uid="{00000000-0005-0000-0000-000010070000}"/>
    <cellStyle name="Normal 3 6 7" xfId="1819" xr:uid="{00000000-0005-0000-0000-000011070000}"/>
    <cellStyle name="Normal 3 6 8" xfId="1820" xr:uid="{00000000-0005-0000-0000-000012070000}"/>
    <cellStyle name="Normal 3 6 9" xfId="1821" xr:uid="{00000000-0005-0000-0000-000013070000}"/>
    <cellStyle name="Normal 3 60" xfId="1822" xr:uid="{00000000-0005-0000-0000-000014070000}"/>
    <cellStyle name="Normal 3 61" xfId="1823" xr:uid="{00000000-0005-0000-0000-000015070000}"/>
    <cellStyle name="Normal 3 62" xfId="1824" xr:uid="{00000000-0005-0000-0000-000016070000}"/>
    <cellStyle name="Normal 3 63" xfId="1825" xr:uid="{00000000-0005-0000-0000-000017070000}"/>
    <cellStyle name="Normal 3 64" xfId="1826" xr:uid="{00000000-0005-0000-0000-000018070000}"/>
    <cellStyle name="Normal 3 65" xfId="1827" xr:uid="{00000000-0005-0000-0000-000019070000}"/>
    <cellStyle name="Normal 3 66" xfId="1064" xr:uid="{00000000-0005-0000-0000-00001A070000}"/>
    <cellStyle name="Normal 3 7" xfId="1828" xr:uid="{00000000-0005-0000-0000-00001B070000}"/>
    <cellStyle name="Normal 3 7 10" xfId="1829" xr:uid="{00000000-0005-0000-0000-00001C070000}"/>
    <cellStyle name="Normal 3 7 11" xfId="1830" xr:uid="{00000000-0005-0000-0000-00001D070000}"/>
    <cellStyle name="Normal 3 7 12" xfId="1831" xr:uid="{00000000-0005-0000-0000-00001E070000}"/>
    <cellStyle name="Normal 3 7 13" xfId="1832" xr:uid="{00000000-0005-0000-0000-00001F070000}"/>
    <cellStyle name="Normal 3 7 14" xfId="1833" xr:uid="{00000000-0005-0000-0000-000020070000}"/>
    <cellStyle name="Normal 3 7 15" xfId="1834" xr:uid="{00000000-0005-0000-0000-000021070000}"/>
    <cellStyle name="Normal 3 7 16" xfId="1835" xr:uid="{00000000-0005-0000-0000-000022070000}"/>
    <cellStyle name="Normal 3 7 17" xfId="1836" xr:uid="{00000000-0005-0000-0000-000023070000}"/>
    <cellStyle name="Normal 3 7 18" xfId="1837" xr:uid="{00000000-0005-0000-0000-000024070000}"/>
    <cellStyle name="Normal 3 7 19" xfId="1838" xr:uid="{00000000-0005-0000-0000-000025070000}"/>
    <cellStyle name="Normal 3 7 2" xfId="1839" xr:uid="{00000000-0005-0000-0000-000026070000}"/>
    <cellStyle name="Normal 3 7 20" xfId="1840" xr:uid="{00000000-0005-0000-0000-000027070000}"/>
    <cellStyle name="Normal 3 7 21" xfId="1841" xr:uid="{00000000-0005-0000-0000-000028070000}"/>
    <cellStyle name="Normal 3 7 22" xfId="1842" xr:uid="{00000000-0005-0000-0000-000029070000}"/>
    <cellStyle name="Normal 3 7 23" xfId="1843" xr:uid="{00000000-0005-0000-0000-00002A070000}"/>
    <cellStyle name="Normal 3 7 3" xfId="1844" xr:uid="{00000000-0005-0000-0000-00002B070000}"/>
    <cellStyle name="Normal 3 7 4" xfId="1845" xr:uid="{00000000-0005-0000-0000-00002C070000}"/>
    <cellStyle name="Normal 3 7 5" xfId="1846" xr:uid="{00000000-0005-0000-0000-00002D070000}"/>
    <cellStyle name="Normal 3 7 6" xfId="1847" xr:uid="{00000000-0005-0000-0000-00002E070000}"/>
    <cellStyle name="Normal 3 7 7" xfId="1848" xr:uid="{00000000-0005-0000-0000-00002F070000}"/>
    <cellStyle name="Normal 3 7 8" xfId="1849" xr:uid="{00000000-0005-0000-0000-000030070000}"/>
    <cellStyle name="Normal 3 7 9" xfId="1850" xr:uid="{00000000-0005-0000-0000-000031070000}"/>
    <cellStyle name="Normal 3 8" xfId="1851" xr:uid="{00000000-0005-0000-0000-000032070000}"/>
    <cellStyle name="Normal 3 8 10" xfId="1852" xr:uid="{00000000-0005-0000-0000-000033070000}"/>
    <cellStyle name="Normal 3 8 11" xfId="1853" xr:uid="{00000000-0005-0000-0000-000034070000}"/>
    <cellStyle name="Normal 3 8 12" xfId="1854" xr:uid="{00000000-0005-0000-0000-000035070000}"/>
    <cellStyle name="Normal 3 8 13" xfId="1855" xr:uid="{00000000-0005-0000-0000-000036070000}"/>
    <cellStyle name="Normal 3 8 14" xfId="1856" xr:uid="{00000000-0005-0000-0000-000037070000}"/>
    <cellStyle name="Normal 3 8 15" xfId="1857" xr:uid="{00000000-0005-0000-0000-000038070000}"/>
    <cellStyle name="Normal 3 8 16" xfId="1858" xr:uid="{00000000-0005-0000-0000-000039070000}"/>
    <cellStyle name="Normal 3 8 17" xfId="1859" xr:uid="{00000000-0005-0000-0000-00003A070000}"/>
    <cellStyle name="Normal 3 8 18" xfId="1860" xr:uid="{00000000-0005-0000-0000-00003B070000}"/>
    <cellStyle name="Normal 3 8 19" xfId="1861" xr:uid="{00000000-0005-0000-0000-00003C070000}"/>
    <cellStyle name="Normal 3 8 2" xfId="1862" xr:uid="{00000000-0005-0000-0000-00003D070000}"/>
    <cellStyle name="Normal 3 8 20" xfId="1863" xr:uid="{00000000-0005-0000-0000-00003E070000}"/>
    <cellStyle name="Normal 3 8 21" xfId="1864" xr:uid="{00000000-0005-0000-0000-00003F070000}"/>
    <cellStyle name="Normal 3 8 22" xfId="1865" xr:uid="{00000000-0005-0000-0000-000040070000}"/>
    <cellStyle name="Normal 3 8 23" xfId="1866" xr:uid="{00000000-0005-0000-0000-000041070000}"/>
    <cellStyle name="Normal 3 8 3" xfId="1867" xr:uid="{00000000-0005-0000-0000-000042070000}"/>
    <cellStyle name="Normal 3 8 4" xfId="1868" xr:uid="{00000000-0005-0000-0000-000043070000}"/>
    <cellStyle name="Normal 3 8 5" xfId="1869" xr:uid="{00000000-0005-0000-0000-000044070000}"/>
    <cellStyle name="Normal 3 8 6" xfId="1870" xr:uid="{00000000-0005-0000-0000-000045070000}"/>
    <cellStyle name="Normal 3 8 7" xfId="1871" xr:uid="{00000000-0005-0000-0000-000046070000}"/>
    <cellStyle name="Normal 3 8 8" xfId="1872" xr:uid="{00000000-0005-0000-0000-000047070000}"/>
    <cellStyle name="Normal 3 8 9" xfId="1873" xr:uid="{00000000-0005-0000-0000-000048070000}"/>
    <cellStyle name="Normal 3 9" xfId="1874" xr:uid="{00000000-0005-0000-0000-000049070000}"/>
    <cellStyle name="Normal 3 9 10" xfId="1875" xr:uid="{00000000-0005-0000-0000-00004A070000}"/>
    <cellStyle name="Normal 3 9 11" xfId="1876" xr:uid="{00000000-0005-0000-0000-00004B070000}"/>
    <cellStyle name="Normal 3 9 12" xfId="1877" xr:uid="{00000000-0005-0000-0000-00004C070000}"/>
    <cellStyle name="Normal 3 9 13" xfId="1878" xr:uid="{00000000-0005-0000-0000-00004D070000}"/>
    <cellStyle name="Normal 3 9 14" xfId="1879" xr:uid="{00000000-0005-0000-0000-00004E070000}"/>
    <cellStyle name="Normal 3 9 15" xfId="1880" xr:uid="{00000000-0005-0000-0000-00004F070000}"/>
    <cellStyle name="Normal 3 9 16" xfId="1881" xr:uid="{00000000-0005-0000-0000-000050070000}"/>
    <cellStyle name="Normal 3 9 17" xfId="1882" xr:uid="{00000000-0005-0000-0000-000051070000}"/>
    <cellStyle name="Normal 3 9 18" xfId="1883" xr:uid="{00000000-0005-0000-0000-000052070000}"/>
    <cellStyle name="Normal 3 9 19" xfId="1884" xr:uid="{00000000-0005-0000-0000-000053070000}"/>
    <cellStyle name="Normal 3 9 2" xfId="1885" xr:uid="{00000000-0005-0000-0000-000054070000}"/>
    <cellStyle name="Normal 3 9 20" xfId="1886" xr:uid="{00000000-0005-0000-0000-000055070000}"/>
    <cellStyle name="Normal 3 9 21" xfId="1887" xr:uid="{00000000-0005-0000-0000-000056070000}"/>
    <cellStyle name="Normal 3 9 22" xfId="1888" xr:uid="{00000000-0005-0000-0000-000057070000}"/>
    <cellStyle name="Normal 3 9 23" xfId="1889" xr:uid="{00000000-0005-0000-0000-000058070000}"/>
    <cellStyle name="Normal 3 9 3" xfId="1890" xr:uid="{00000000-0005-0000-0000-000059070000}"/>
    <cellStyle name="Normal 3 9 4" xfId="1891" xr:uid="{00000000-0005-0000-0000-00005A070000}"/>
    <cellStyle name="Normal 3 9 5" xfId="1892" xr:uid="{00000000-0005-0000-0000-00005B070000}"/>
    <cellStyle name="Normal 3 9 6" xfId="1893" xr:uid="{00000000-0005-0000-0000-00005C070000}"/>
    <cellStyle name="Normal 3 9 7" xfId="1894" xr:uid="{00000000-0005-0000-0000-00005D070000}"/>
    <cellStyle name="Normal 3 9 8" xfId="1895" xr:uid="{00000000-0005-0000-0000-00005E070000}"/>
    <cellStyle name="Normal 3 9 9" xfId="1896" xr:uid="{00000000-0005-0000-0000-00005F070000}"/>
    <cellStyle name="Normal 4" xfId="52" xr:uid="{00000000-0005-0000-0000-000060070000}"/>
    <cellStyle name="Normal 4 2" xfId="1898" xr:uid="{00000000-0005-0000-0000-000061070000}"/>
    <cellStyle name="Normal 4 3" xfId="1897" xr:uid="{00000000-0005-0000-0000-000062070000}"/>
    <cellStyle name="Normal 5" xfId="43" xr:uid="{00000000-0005-0000-0000-000063070000}"/>
    <cellStyle name="Normal 5 10" xfId="1899" xr:uid="{00000000-0005-0000-0000-000064070000}"/>
    <cellStyle name="Normal 5 11" xfId="1900" xr:uid="{00000000-0005-0000-0000-000065070000}"/>
    <cellStyle name="Normal 5 12" xfId="1901" xr:uid="{00000000-0005-0000-0000-000066070000}"/>
    <cellStyle name="Normal 5 13" xfId="1902" xr:uid="{00000000-0005-0000-0000-000067070000}"/>
    <cellStyle name="Normal 5 14" xfId="1903" xr:uid="{00000000-0005-0000-0000-000068070000}"/>
    <cellStyle name="Normal 5 15" xfId="1904" xr:uid="{00000000-0005-0000-0000-000069070000}"/>
    <cellStyle name="Normal 5 16" xfId="1905" xr:uid="{00000000-0005-0000-0000-00006A070000}"/>
    <cellStyle name="Normal 5 17" xfId="1906" xr:uid="{00000000-0005-0000-0000-00006B070000}"/>
    <cellStyle name="Normal 5 18" xfId="1907" xr:uid="{00000000-0005-0000-0000-00006C070000}"/>
    <cellStyle name="Normal 5 19" xfId="1908" xr:uid="{00000000-0005-0000-0000-00006D070000}"/>
    <cellStyle name="Normal 5 2" xfId="1909" xr:uid="{00000000-0005-0000-0000-00006E070000}"/>
    <cellStyle name="Normal 5 2 10" xfId="1910" xr:uid="{00000000-0005-0000-0000-00006F070000}"/>
    <cellStyle name="Normal 5 2 11" xfId="1911" xr:uid="{00000000-0005-0000-0000-000070070000}"/>
    <cellStyle name="Normal 5 2 12" xfId="1912" xr:uid="{00000000-0005-0000-0000-000071070000}"/>
    <cellStyle name="Normal 5 2 13" xfId="1913" xr:uid="{00000000-0005-0000-0000-000072070000}"/>
    <cellStyle name="Normal 5 2 14" xfId="1914" xr:uid="{00000000-0005-0000-0000-000073070000}"/>
    <cellStyle name="Normal 5 2 15" xfId="1915" xr:uid="{00000000-0005-0000-0000-000074070000}"/>
    <cellStyle name="Normal 5 2 16" xfId="1916" xr:uid="{00000000-0005-0000-0000-000075070000}"/>
    <cellStyle name="Normal 5 2 17" xfId="1917" xr:uid="{00000000-0005-0000-0000-000076070000}"/>
    <cellStyle name="Normal 5 2 18" xfId="1918" xr:uid="{00000000-0005-0000-0000-000077070000}"/>
    <cellStyle name="Normal 5 2 19" xfId="1919" xr:uid="{00000000-0005-0000-0000-000078070000}"/>
    <cellStyle name="Normal 5 2 2" xfId="1920" xr:uid="{00000000-0005-0000-0000-000079070000}"/>
    <cellStyle name="Normal 5 2 20" xfId="1921" xr:uid="{00000000-0005-0000-0000-00007A070000}"/>
    <cellStyle name="Normal 5 2 21" xfId="1922" xr:uid="{00000000-0005-0000-0000-00007B070000}"/>
    <cellStyle name="Normal 5 2 22" xfId="1923" xr:uid="{00000000-0005-0000-0000-00007C070000}"/>
    <cellStyle name="Normal 5 2 23" xfId="1924" xr:uid="{00000000-0005-0000-0000-00007D070000}"/>
    <cellStyle name="Normal 5 2 3" xfId="1925" xr:uid="{00000000-0005-0000-0000-00007E070000}"/>
    <cellStyle name="Normal 5 2 4" xfId="1926" xr:uid="{00000000-0005-0000-0000-00007F070000}"/>
    <cellStyle name="Normal 5 2 5" xfId="1927" xr:uid="{00000000-0005-0000-0000-000080070000}"/>
    <cellStyle name="Normal 5 2 6" xfId="1928" xr:uid="{00000000-0005-0000-0000-000081070000}"/>
    <cellStyle name="Normal 5 2 7" xfId="1929" xr:uid="{00000000-0005-0000-0000-000082070000}"/>
    <cellStyle name="Normal 5 2 8" xfId="1930" xr:uid="{00000000-0005-0000-0000-000083070000}"/>
    <cellStyle name="Normal 5 2 9" xfId="1931" xr:uid="{00000000-0005-0000-0000-000084070000}"/>
    <cellStyle name="Normal 5 20" xfId="1932" xr:uid="{00000000-0005-0000-0000-000085070000}"/>
    <cellStyle name="Normal 5 21" xfId="1933" xr:uid="{00000000-0005-0000-0000-000086070000}"/>
    <cellStyle name="Normal 5 22" xfId="1934" xr:uid="{00000000-0005-0000-0000-000087070000}"/>
    <cellStyle name="Normal 5 23" xfId="1935" xr:uid="{00000000-0005-0000-0000-000088070000}"/>
    <cellStyle name="Normal 5 24" xfId="1936" xr:uid="{00000000-0005-0000-0000-000089070000}"/>
    <cellStyle name="Normal 5 3" xfId="1937" xr:uid="{00000000-0005-0000-0000-00008A070000}"/>
    <cellStyle name="Normal 5 4" xfId="1938" xr:uid="{00000000-0005-0000-0000-00008B070000}"/>
    <cellStyle name="Normal 5 5" xfId="1939" xr:uid="{00000000-0005-0000-0000-00008C070000}"/>
    <cellStyle name="Normal 5 6" xfId="1940" xr:uid="{00000000-0005-0000-0000-00008D070000}"/>
    <cellStyle name="Normal 5 7" xfId="1941" xr:uid="{00000000-0005-0000-0000-00008E070000}"/>
    <cellStyle name="Normal 5 8" xfId="1942" xr:uid="{00000000-0005-0000-0000-00008F070000}"/>
    <cellStyle name="Normal 5 9" xfId="1943" xr:uid="{00000000-0005-0000-0000-000090070000}"/>
    <cellStyle name="Normal 6" xfId="1944" xr:uid="{00000000-0005-0000-0000-000091070000}"/>
    <cellStyle name="Normal 7" xfId="1945" xr:uid="{00000000-0005-0000-0000-000092070000}"/>
    <cellStyle name="Normal 7 10" xfId="1946" xr:uid="{00000000-0005-0000-0000-000093070000}"/>
    <cellStyle name="Normal 7 11" xfId="1947" xr:uid="{00000000-0005-0000-0000-000094070000}"/>
    <cellStyle name="Normal 7 12" xfId="1948" xr:uid="{00000000-0005-0000-0000-000095070000}"/>
    <cellStyle name="Normal 7 13" xfId="1949" xr:uid="{00000000-0005-0000-0000-000096070000}"/>
    <cellStyle name="Normal 7 14" xfId="1950" xr:uid="{00000000-0005-0000-0000-000097070000}"/>
    <cellStyle name="Normal 7 15" xfId="1951" xr:uid="{00000000-0005-0000-0000-000098070000}"/>
    <cellStyle name="Normal 7 16" xfId="1952" xr:uid="{00000000-0005-0000-0000-000099070000}"/>
    <cellStyle name="Normal 7 17" xfId="1953" xr:uid="{00000000-0005-0000-0000-00009A070000}"/>
    <cellStyle name="Normal 7 18" xfId="1954" xr:uid="{00000000-0005-0000-0000-00009B070000}"/>
    <cellStyle name="Normal 7 19" xfId="1955" xr:uid="{00000000-0005-0000-0000-00009C070000}"/>
    <cellStyle name="Normal 7 2" xfId="1956" xr:uid="{00000000-0005-0000-0000-00009D070000}"/>
    <cellStyle name="Normal 7 2 10" xfId="1957" xr:uid="{00000000-0005-0000-0000-00009E070000}"/>
    <cellStyle name="Normal 7 2 11" xfId="1958" xr:uid="{00000000-0005-0000-0000-00009F070000}"/>
    <cellStyle name="Normal 7 2 12" xfId="1959" xr:uid="{00000000-0005-0000-0000-0000A0070000}"/>
    <cellStyle name="Normal 7 2 13" xfId="1960" xr:uid="{00000000-0005-0000-0000-0000A1070000}"/>
    <cellStyle name="Normal 7 2 14" xfId="1961" xr:uid="{00000000-0005-0000-0000-0000A2070000}"/>
    <cellStyle name="Normal 7 2 15" xfId="1962" xr:uid="{00000000-0005-0000-0000-0000A3070000}"/>
    <cellStyle name="Normal 7 2 16" xfId="1963" xr:uid="{00000000-0005-0000-0000-0000A4070000}"/>
    <cellStyle name="Normal 7 2 17" xfId="1964" xr:uid="{00000000-0005-0000-0000-0000A5070000}"/>
    <cellStyle name="Normal 7 2 18" xfId="1965" xr:uid="{00000000-0005-0000-0000-0000A6070000}"/>
    <cellStyle name="Normal 7 2 19" xfId="1966" xr:uid="{00000000-0005-0000-0000-0000A7070000}"/>
    <cellStyle name="Normal 7 2 2" xfId="1967" xr:uid="{00000000-0005-0000-0000-0000A8070000}"/>
    <cellStyle name="Normal 7 2 20" xfId="1968" xr:uid="{00000000-0005-0000-0000-0000A9070000}"/>
    <cellStyle name="Normal 7 2 21" xfId="1969" xr:uid="{00000000-0005-0000-0000-0000AA070000}"/>
    <cellStyle name="Normal 7 2 22" xfId="1970" xr:uid="{00000000-0005-0000-0000-0000AB070000}"/>
    <cellStyle name="Normal 7 2 23" xfId="1971" xr:uid="{00000000-0005-0000-0000-0000AC070000}"/>
    <cellStyle name="Normal 7 2 3" xfId="1972" xr:uid="{00000000-0005-0000-0000-0000AD070000}"/>
    <cellStyle name="Normal 7 2 4" xfId="1973" xr:uid="{00000000-0005-0000-0000-0000AE070000}"/>
    <cellStyle name="Normal 7 2 5" xfId="1974" xr:uid="{00000000-0005-0000-0000-0000AF070000}"/>
    <cellStyle name="Normal 7 2 6" xfId="1975" xr:uid="{00000000-0005-0000-0000-0000B0070000}"/>
    <cellStyle name="Normal 7 2 7" xfId="1976" xr:uid="{00000000-0005-0000-0000-0000B1070000}"/>
    <cellStyle name="Normal 7 2 8" xfId="1977" xr:uid="{00000000-0005-0000-0000-0000B2070000}"/>
    <cellStyle name="Normal 7 2 9" xfId="1978" xr:uid="{00000000-0005-0000-0000-0000B3070000}"/>
    <cellStyle name="Normal 7 20" xfId="1979" xr:uid="{00000000-0005-0000-0000-0000B4070000}"/>
    <cellStyle name="Normal 7 21" xfId="1980" xr:uid="{00000000-0005-0000-0000-0000B5070000}"/>
    <cellStyle name="Normal 7 22" xfId="1981" xr:uid="{00000000-0005-0000-0000-0000B6070000}"/>
    <cellStyle name="Normal 7 23" xfId="1982" xr:uid="{00000000-0005-0000-0000-0000B7070000}"/>
    <cellStyle name="Normal 7 24" xfId="1983" xr:uid="{00000000-0005-0000-0000-0000B8070000}"/>
    <cellStyle name="Normal 7 3" xfId="1984" xr:uid="{00000000-0005-0000-0000-0000B9070000}"/>
    <cellStyle name="Normal 7 4" xfId="1985" xr:uid="{00000000-0005-0000-0000-0000BA070000}"/>
    <cellStyle name="Normal 7 5" xfId="1986" xr:uid="{00000000-0005-0000-0000-0000BB070000}"/>
    <cellStyle name="Normal 7 6" xfId="1987" xr:uid="{00000000-0005-0000-0000-0000BC070000}"/>
    <cellStyle name="Normal 7 7" xfId="1988" xr:uid="{00000000-0005-0000-0000-0000BD070000}"/>
    <cellStyle name="Normal 7 8" xfId="1989" xr:uid="{00000000-0005-0000-0000-0000BE070000}"/>
    <cellStyle name="Normal 7 9" xfId="1990" xr:uid="{00000000-0005-0000-0000-0000BF070000}"/>
    <cellStyle name="Normal 8" xfId="1991" xr:uid="{00000000-0005-0000-0000-0000C0070000}"/>
    <cellStyle name="Note" xfId="16" builtinId="10" customBuiltin="1"/>
    <cellStyle name="Note 2" xfId="1992" xr:uid="{00000000-0005-0000-0000-0000C2070000}"/>
    <cellStyle name="Output" xfId="11" builtinId="21" customBuiltin="1"/>
    <cellStyle name="Output 2" xfId="1993" xr:uid="{00000000-0005-0000-0000-0000C4070000}"/>
    <cellStyle name="Percent" xfId="1999" builtinId="5"/>
    <cellStyle name="Percent 2" xfId="54" xr:uid="{00000000-0005-0000-0000-0000C5070000}"/>
    <cellStyle name="Percent 3" xfId="53" xr:uid="{00000000-0005-0000-0000-0000C6070000}"/>
    <cellStyle name="Percent 4" xfId="1994" xr:uid="{00000000-0005-0000-0000-0000C7070000}"/>
    <cellStyle name="Title" xfId="2" builtinId="15" customBuiltin="1"/>
    <cellStyle name="Title 2" xfId="1995" xr:uid="{00000000-0005-0000-0000-0000C9070000}"/>
    <cellStyle name="Total" xfId="18" builtinId="25" customBuiltin="1"/>
    <cellStyle name="Total 2" xfId="1996" xr:uid="{00000000-0005-0000-0000-0000CB070000}"/>
    <cellStyle name="Warning Text" xfId="15" builtinId="11" customBuiltin="1"/>
    <cellStyle name="Warning Text 2" xfId="1997" xr:uid="{00000000-0005-0000-0000-0000CD070000}"/>
  </cellStyles>
  <dxfs count="28">
    <dxf>
      <font>
        <color rgb="FFC0000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tint="4.9989318521683403E-2"/>
        </patternFill>
      </fill>
    </dxf>
    <dxf>
      <fill>
        <patternFill>
          <bgColor rgb="FF001489"/>
        </patternFill>
      </fill>
    </dxf>
    <dxf>
      <fill>
        <patternFill>
          <bgColor rgb="FF6E06C1"/>
        </patternFill>
      </fill>
    </dxf>
    <dxf>
      <fill>
        <patternFill>
          <bgColor rgb="FF1E427C"/>
        </patternFill>
      </fill>
    </dxf>
    <dxf>
      <font>
        <color theme="0"/>
      </font>
      <fill>
        <patternFill>
          <bgColor theme="0"/>
        </patternFill>
      </fill>
      <border>
        <left/>
        <right/>
        <top/>
        <bottom/>
        <vertical/>
        <horizontal/>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C00000"/>
      </font>
      <fill>
        <patternFill>
          <bgColor theme="0" tint="-0.14996795556505021"/>
        </patternFill>
      </fill>
    </dxf>
    <dxf>
      <font>
        <color rgb="FFC0000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tint="4.9989318521683403E-2"/>
        </patternFill>
      </fill>
    </dxf>
    <dxf>
      <fill>
        <patternFill>
          <bgColor rgb="FF001489"/>
        </patternFill>
      </fill>
    </dxf>
    <dxf>
      <fill>
        <patternFill>
          <bgColor rgb="FF6E06C1"/>
        </patternFill>
      </fill>
    </dxf>
    <dxf>
      <fill>
        <patternFill>
          <bgColor rgb="FF1E427C"/>
        </patternFill>
      </fill>
    </dxf>
    <dxf>
      <fill>
        <patternFill>
          <bgColor rgb="FF001489"/>
        </patternFill>
      </fill>
    </dxf>
    <dxf>
      <fill>
        <patternFill>
          <bgColor rgb="FF6E06C1"/>
        </patternFill>
      </fill>
    </dxf>
    <dxf>
      <fill>
        <patternFill>
          <bgColor rgb="FF1E427C"/>
        </patternFill>
      </fill>
    </dxf>
  </dxfs>
  <tableStyles count="0" defaultTableStyle="TableStyleMedium2" defaultPivotStyle="PivotStyleLight16"/>
  <colors>
    <mruColors>
      <color rgb="FF001489"/>
      <color rgb="FF1E427C"/>
      <color rgb="FF6E06C1"/>
      <color rgb="FFFFF8CA"/>
      <color rgb="FFBDD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emf"/><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jpe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20</xdr:row>
      <xdr:rowOff>9525</xdr:rowOff>
    </xdr:from>
    <xdr:to>
      <xdr:col>1</xdr:col>
      <xdr:colOff>553355</xdr:colOff>
      <xdr:row>35</xdr:row>
      <xdr:rowOff>114692</xdr:rowOff>
    </xdr:to>
    <xdr:pic>
      <xdr:nvPicPr>
        <xdr:cNvPr id="2" name="Picture 1">
          <a:extLst>
            <a:ext uri="{FF2B5EF4-FFF2-40B4-BE49-F238E27FC236}">
              <a16:creationId xmlns:a16="http://schemas.microsoft.com/office/drawing/2014/main" id="{8760A822-C8FE-454C-AC9C-03C19022E38B}"/>
            </a:ext>
          </a:extLst>
        </xdr:cNvPr>
        <xdr:cNvPicPr>
          <a:picLocks noChangeAspect="1"/>
        </xdr:cNvPicPr>
      </xdr:nvPicPr>
      <xdr:blipFill>
        <a:blip xmlns:r="http://schemas.openxmlformats.org/officeDocument/2006/relationships" r:embed="rId1"/>
        <a:stretch>
          <a:fillRect/>
        </a:stretch>
      </xdr:blipFill>
      <xdr:spPr>
        <a:xfrm>
          <a:off x="85725" y="6248400"/>
          <a:ext cx="6439805" cy="2819792"/>
        </a:xfrm>
        <a:prstGeom prst="rect">
          <a:avLst/>
        </a:prstGeom>
      </xdr:spPr>
    </xdr:pic>
    <xdr:clientData/>
  </xdr:twoCellAnchor>
  <xdr:twoCellAnchor editAs="oneCell">
    <xdr:from>
      <xdr:col>2</xdr:col>
      <xdr:colOff>17186</xdr:colOff>
      <xdr:row>21</xdr:row>
      <xdr:rowOff>38101</xdr:rowOff>
    </xdr:from>
    <xdr:to>
      <xdr:col>2</xdr:col>
      <xdr:colOff>4896618</xdr:colOff>
      <xdr:row>36</xdr:row>
      <xdr:rowOff>123826</xdr:rowOff>
    </xdr:to>
    <xdr:pic>
      <xdr:nvPicPr>
        <xdr:cNvPr id="3" name="Picture 2">
          <a:extLst>
            <a:ext uri="{FF2B5EF4-FFF2-40B4-BE49-F238E27FC236}">
              <a16:creationId xmlns:a16="http://schemas.microsoft.com/office/drawing/2014/main" id="{C1346964-8BDA-4339-B472-027A399F4D1C}"/>
            </a:ext>
          </a:extLst>
        </xdr:cNvPr>
        <xdr:cNvPicPr>
          <a:picLocks noChangeAspect="1"/>
        </xdr:cNvPicPr>
      </xdr:nvPicPr>
      <xdr:blipFill>
        <a:blip xmlns:r="http://schemas.openxmlformats.org/officeDocument/2006/relationships" r:embed="rId2"/>
        <a:stretch>
          <a:fillRect/>
        </a:stretch>
      </xdr:blipFill>
      <xdr:spPr>
        <a:xfrm>
          <a:off x="6646586" y="6457951"/>
          <a:ext cx="4879432" cy="2797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6</xdr:row>
      <xdr:rowOff>87480</xdr:rowOff>
    </xdr:from>
    <xdr:to>
      <xdr:col>11</xdr:col>
      <xdr:colOff>372222</xdr:colOff>
      <xdr:row>14</xdr:row>
      <xdr:rowOff>68655</xdr:rowOff>
    </xdr:to>
    <xdr:pic>
      <xdr:nvPicPr>
        <xdr:cNvPr id="2" name="Picture 1">
          <a:extLst>
            <a:ext uri="{FF2B5EF4-FFF2-40B4-BE49-F238E27FC236}">
              <a16:creationId xmlns:a16="http://schemas.microsoft.com/office/drawing/2014/main" id="{6D4C5DFD-FB24-4972-A02A-4BC298727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6850" y="1725780"/>
          <a:ext cx="2782047" cy="1448025"/>
        </a:xfrm>
        <a:prstGeom prst="rect">
          <a:avLst/>
        </a:prstGeom>
        <a:ln>
          <a:noFill/>
        </a:ln>
      </xdr:spPr>
    </xdr:pic>
    <xdr:clientData/>
  </xdr:twoCellAnchor>
  <xdr:twoCellAnchor>
    <xdr:from>
      <xdr:col>14</xdr:col>
      <xdr:colOff>331132</xdr:colOff>
      <xdr:row>7</xdr:row>
      <xdr:rowOff>35149</xdr:rowOff>
    </xdr:from>
    <xdr:to>
      <xdr:col>18</xdr:col>
      <xdr:colOff>264272</xdr:colOff>
      <xdr:row>13</xdr:row>
      <xdr:rowOff>155405</xdr:rowOff>
    </xdr:to>
    <xdr:pic>
      <xdr:nvPicPr>
        <xdr:cNvPr id="3" name="PPLReport">
          <a:extLst>
            <a:ext uri="{FF2B5EF4-FFF2-40B4-BE49-F238E27FC236}">
              <a16:creationId xmlns:a16="http://schemas.microsoft.com/office/drawing/2014/main" id="{8A7E0236-0689-42A5-8357-93DCE0CE41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03657" y="1863949"/>
          <a:ext cx="2676340" cy="1215631"/>
        </a:xfrm>
        <a:prstGeom prst="rect">
          <a:avLst/>
        </a:prstGeom>
      </xdr:spPr>
    </xdr:pic>
    <xdr:clientData/>
  </xdr:twoCellAnchor>
  <xdr:twoCellAnchor>
    <xdr:from>
      <xdr:col>14</xdr:col>
      <xdr:colOff>189003</xdr:colOff>
      <xdr:row>16</xdr:row>
      <xdr:rowOff>11394</xdr:rowOff>
    </xdr:from>
    <xdr:to>
      <xdr:col>16</xdr:col>
      <xdr:colOff>278092</xdr:colOff>
      <xdr:row>24</xdr:row>
      <xdr:rowOff>128488</xdr:rowOff>
    </xdr:to>
    <xdr:pic>
      <xdr:nvPicPr>
        <xdr:cNvPr id="4" name="PECOReport">
          <a:extLst>
            <a:ext uri="{FF2B5EF4-FFF2-40B4-BE49-F238E27FC236}">
              <a16:creationId xmlns:a16="http://schemas.microsoft.com/office/drawing/2014/main" id="{268171AD-E07A-4D25-9AEC-1F16B8BB665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2987" t="9316" r="17047" b="17169"/>
        <a:stretch>
          <a:fillRect/>
        </a:stretch>
      </xdr:blipFill>
      <xdr:spPr>
        <a:xfrm>
          <a:off x="8961528" y="3488019"/>
          <a:ext cx="1460689" cy="1564894"/>
        </a:xfrm>
        <a:prstGeom prst="rect">
          <a:avLst/>
        </a:prstGeom>
        <a:ln>
          <a:noFill/>
        </a:ln>
      </xdr:spPr>
    </xdr:pic>
    <xdr:clientData/>
  </xdr:twoCellAnchor>
  <xdr:twoCellAnchor>
    <xdr:from>
      <xdr:col>7</xdr:col>
      <xdr:colOff>395941</xdr:colOff>
      <xdr:row>15</xdr:row>
      <xdr:rowOff>178726</xdr:rowOff>
    </xdr:from>
    <xdr:to>
      <xdr:col>9</xdr:col>
      <xdr:colOff>605116</xdr:colOff>
      <xdr:row>24</xdr:row>
      <xdr:rowOff>171823</xdr:rowOff>
    </xdr:to>
    <xdr:pic>
      <xdr:nvPicPr>
        <xdr:cNvPr id="5" name="Picture 4">
          <a:extLst>
            <a:ext uri="{FF2B5EF4-FFF2-40B4-BE49-F238E27FC236}">
              <a16:creationId xmlns:a16="http://schemas.microsoft.com/office/drawing/2014/main" id="{A3596752-D3DF-4B0F-97E4-34BE5E05B59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95" r="-1954" b="-3362"/>
        <a:stretch>
          <a:fillRect/>
        </a:stretch>
      </xdr:blipFill>
      <xdr:spPr>
        <a:xfrm>
          <a:off x="5339416" y="3464851"/>
          <a:ext cx="1580775" cy="1631397"/>
        </a:xfrm>
        <a:prstGeom prst="rect">
          <a:avLst/>
        </a:prstGeom>
        <a:ln>
          <a:noFill/>
        </a:ln>
      </xdr:spPr>
    </xdr:pic>
    <xdr:clientData/>
  </xdr:twoCellAnchor>
  <xdr:twoCellAnchor>
    <xdr:from>
      <xdr:col>7</xdr:col>
      <xdr:colOff>14941</xdr:colOff>
      <xdr:row>27</xdr:row>
      <xdr:rowOff>48330</xdr:rowOff>
    </xdr:from>
    <xdr:to>
      <xdr:col>11</xdr:col>
      <xdr:colOff>605118</xdr:colOff>
      <xdr:row>34</xdr:row>
      <xdr:rowOff>9524</xdr:rowOff>
    </xdr:to>
    <xdr:pic>
      <xdr:nvPicPr>
        <xdr:cNvPr id="6" name="Picture 5">
          <a:extLst>
            <a:ext uri="{FF2B5EF4-FFF2-40B4-BE49-F238E27FC236}">
              <a16:creationId xmlns:a16="http://schemas.microsoft.com/office/drawing/2014/main" id="{3D2E981E-C4A3-4A6A-8A48-C288B2AFBA7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403" r="5327"/>
        <a:stretch>
          <a:fillRect/>
        </a:stretch>
      </xdr:blipFill>
      <xdr:spPr>
        <a:xfrm>
          <a:off x="4958416" y="5525205"/>
          <a:ext cx="3333377" cy="1228019"/>
        </a:xfrm>
        <a:prstGeom prst="rect">
          <a:avLst/>
        </a:prstGeom>
      </xdr:spPr>
    </xdr:pic>
    <xdr:clientData/>
  </xdr:twoCellAnchor>
  <xdr:twoCellAnchor>
    <xdr:from>
      <xdr:col>14</xdr:col>
      <xdr:colOff>59764</xdr:colOff>
      <xdr:row>27</xdr:row>
      <xdr:rowOff>57150</xdr:rowOff>
    </xdr:from>
    <xdr:to>
      <xdr:col>18</xdr:col>
      <xdr:colOff>567764</xdr:colOff>
      <xdr:row>34</xdr:row>
      <xdr:rowOff>18415</xdr:rowOff>
    </xdr:to>
    <xdr:pic>
      <xdr:nvPicPr>
        <xdr:cNvPr id="7" name="Picture 6">
          <a:extLst>
            <a:ext uri="{FF2B5EF4-FFF2-40B4-BE49-F238E27FC236}">
              <a16:creationId xmlns:a16="http://schemas.microsoft.com/office/drawing/2014/main" id="{6B5AF1D5-933D-4588-A386-2D9D88814FDF}"/>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226" r="8248"/>
        <a:stretch>
          <a:fillRect/>
        </a:stretch>
      </xdr:blipFill>
      <xdr:spPr>
        <a:xfrm>
          <a:off x="8832289" y="5534025"/>
          <a:ext cx="3251200" cy="12280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37355</xdr:colOff>
          <xdr:row>0</xdr:row>
          <xdr:rowOff>59767</xdr:rowOff>
        </xdr:from>
        <xdr:to>
          <xdr:col>1</xdr:col>
          <xdr:colOff>1050031</xdr:colOff>
          <xdr:row>0</xdr:row>
          <xdr:rowOff>537883</xdr:rowOff>
        </xdr:to>
        <xdr:pic>
          <xdr:nvPicPr>
            <xdr:cNvPr id="8" name="Picture 7">
              <a:extLst>
                <a:ext uri="{FF2B5EF4-FFF2-40B4-BE49-F238E27FC236}">
                  <a16:creationId xmlns:a16="http://schemas.microsoft.com/office/drawing/2014/main" id="{67076944-4CCD-436B-875C-79A3FAC96BEE}"/>
                </a:ext>
              </a:extLst>
            </xdr:cNvPr>
            <xdr:cNvPicPr>
              <a:picLocks noChangeAspect="1" noChangeArrowheads="1"/>
              <a:extLst>
                <a:ext uri="{84589F7E-364E-4C9E-8A38-B11213B215E9}">
                  <a14:cameraTool cellRange="Logo" spid="_x0000_s18455"/>
                </a:ext>
              </a:extLst>
            </xdr:cNvPicPr>
          </xdr:nvPicPr>
          <xdr:blipFill>
            <a:blip xmlns:r="http://schemas.openxmlformats.org/officeDocument/2006/relationships" r:embed="rId7"/>
            <a:srcRect/>
            <a:stretch>
              <a:fillRect/>
            </a:stretch>
          </xdr:blipFill>
          <xdr:spPr bwMode="auto">
            <a:xfrm>
              <a:off x="295090" y="59767"/>
              <a:ext cx="1012676" cy="478116"/>
            </a:xfrm>
            <a:prstGeom prst="rect">
              <a:avLst/>
            </a:prstGeom>
            <a:noFill/>
            <a:ln w="9525">
              <a:noFill/>
              <a:miter lim="800000"/>
              <a:headEnd/>
              <a:tailEnd/>
            </a:ln>
          </xdr:spPr>
        </xdr:pic>
        <xdr:clientData/>
      </xdr:twoCellAnchor>
    </mc:Choice>
    <mc:Fallback/>
  </mc:AlternateContent>
  <xdr:twoCellAnchor editAs="oneCell">
    <xdr:from>
      <xdr:col>0</xdr:col>
      <xdr:colOff>119530</xdr:colOff>
      <xdr:row>15</xdr:row>
      <xdr:rowOff>85911</xdr:rowOff>
    </xdr:from>
    <xdr:to>
      <xdr:col>3</xdr:col>
      <xdr:colOff>1192487</xdr:colOff>
      <xdr:row>20</xdr:row>
      <xdr:rowOff>153147</xdr:rowOff>
    </xdr:to>
    <xdr:pic>
      <xdr:nvPicPr>
        <xdr:cNvPr id="9" name="Picture 8">
          <a:extLst>
            <a:ext uri="{FF2B5EF4-FFF2-40B4-BE49-F238E27FC236}">
              <a16:creationId xmlns:a16="http://schemas.microsoft.com/office/drawing/2014/main" id="{C76C43FE-1B23-450A-965F-44280D79575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9530" y="3369235"/>
          <a:ext cx="4132163" cy="974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100853</xdr:colOff>
      <xdr:row>22</xdr:row>
      <xdr:rowOff>73994</xdr:rowOff>
    </xdr:from>
    <xdr:to>
      <xdr:col>4</xdr:col>
      <xdr:colOff>32344</xdr:colOff>
      <xdr:row>35</xdr:row>
      <xdr:rowOff>14178</xdr:rowOff>
    </xdr:to>
    <xdr:pic>
      <xdr:nvPicPr>
        <xdr:cNvPr id="10" name="Picture 9">
          <a:extLst>
            <a:ext uri="{FF2B5EF4-FFF2-40B4-BE49-F238E27FC236}">
              <a16:creationId xmlns:a16="http://schemas.microsoft.com/office/drawing/2014/main" id="{61BA76B5-274F-4E2C-A3A7-FFA27217F93C}"/>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10973"/>
        <a:stretch>
          <a:fillRect/>
        </a:stretch>
      </xdr:blipFill>
      <xdr:spPr bwMode="auto">
        <a:xfrm>
          <a:off x="100853" y="4623582"/>
          <a:ext cx="4637962" cy="228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0</xdr:row>
          <xdr:rowOff>57150</xdr:rowOff>
        </xdr:from>
        <xdr:to>
          <xdr:col>1</xdr:col>
          <xdr:colOff>1047750</xdr:colOff>
          <xdr:row>0</xdr:row>
          <xdr:rowOff>533400</xdr:rowOff>
        </xdr:to>
        <xdr:pic>
          <xdr:nvPicPr>
            <xdr:cNvPr id="18451" name="Picture 7">
              <a:extLst>
                <a:ext uri="{FF2B5EF4-FFF2-40B4-BE49-F238E27FC236}">
                  <a16:creationId xmlns:a16="http://schemas.microsoft.com/office/drawing/2014/main" id="{3C1EEC0F-7999-D79F-16E7-31934073BD66}"/>
                </a:ext>
              </a:extLst>
            </xdr:cNvPr>
            <xdr:cNvPicPr>
              <a:picLocks noChangeAspect="1" noChangeArrowheads="1"/>
              <a:extLst>
                <a:ext uri="{84589F7E-364E-4C9E-8A38-B11213B215E9}">
                  <a14:cameraTool cellRange="Logo" spid="_x0000_s18456"/>
                </a:ext>
              </a:extLst>
            </xdr:cNvPicPr>
          </xdr:nvPicPr>
          <xdr:blipFill>
            <a:blip xmlns:r="http://schemas.openxmlformats.org/officeDocument/2006/relationships" r:embed="rId7"/>
            <a:srcRect/>
            <a:stretch>
              <a:fillRect/>
            </a:stretch>
          </xdr:blipFill>
          <xdr:spPr bwMode="auto">
            <a:xfrm>
              <a:off x="295275" y="57150"/>
              <a:ext cx="1009650" cy="4762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31907</xdr:colOff>
          <xdr:row>0</xdr:row>
          <xdr:rowOff>0</xdr:rowOff>
        </xdr:from>
        <xdr:to>
          <xdr:col>2</xdr:col>
          <xdr:colOff>1680791</xdr:colOff>
          <xdr:row>0</xdr:row>
          <xdr:rowOff>770096</xdr:rowOff>
        </xdr:to>
        <xdr:pic>
          <xdr:nvPicPr>
            <xdr:cNvPr id="2" name="Picture 1">
              <a:extLst>
                <a:ext uri="{FF2B5EF4-FFF2-40B4-BE49-F238E27FC236}">
                  <a16:creationId xmlns:a16="http://schemas.microsoft.com/office/drawing/2014/main" id="{14973405-04E6-45F6-97B6-1BF414F012E6}"/>
                </a:ext>
              </a:extLst>
            </xdr:cNvPr>
            <xdr:cNvPicPr>
              <a:picLocks noChangeAspect="1" noChangeArrowheads="1"/>
              <a:extLst>
                <a:ext uri="{84589F7E-364E-4C9E-8A38-B11213B215E9}">
                  <a14:cameraTool cellRange="Logo" spid="_x0000_s19472"/>
                </a:ext>
              </a:extLst>
            </xdr:cNvPicPr>
          </xdr:nvPicPr>
          <xdr:blipFill>
            <a:blip xmlns:r="http://schemas.openxmlformats.org/officeDocument/2006/relationships" r:embed="rId1"/>
            <a:srcRect/>
            <a:stretch>
              <a:fillRect/>
            </a:stretch>
          </xdr:blipFill>
          <xdr:spPr bwMode="auto">
            <a:xfrm>
              <a:off x="805813" y="0"/>
              <a:ext cx="1648884" cy="770096"/>
            </a:xfrm>
            <a:prstGeom prst="rect">
              <a:avLst/>
            </a:prstGeom>
            <a:no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160497</xdr:colOff>
          <xdr:row>0</xdr:row>
          <xdr:rowOff>0</xdr:rowOff>
        </xdr:from>
        <xdr:to>
          <xdr:col>2</xdr:col>
          <xdr:colOff>1700688</xdr:colOff>
          <xdr:row>1</xdr:row>
          <xdr:rowOff>12410</xdr:rowOff>
        </xdr:to>
        <xdr:pic>
          <xdr:nvPicPr>
            <xdr:cNvPr id="2" name="Picture 1">
              <a:extLst>
                <a:ext uri="{FF2B5EF4-FFF2-40B4-BE49-F238E27FC236}">
                  <a16:creationId xmlns:a16="http://schemas.microsoft.com/office/drawing/2014/main" id="{FA44B7FD-B6C7-4A74-AFAD-EDE66A4A456B}"/>
                </a:ext>
              </a:extLst>
            </xdr:cNvPr>
            <xdr:cNvPicPr>
              <a:picLocks noChangeAspect="1" noChangeArrowheads="1"/>
              <a:extLst>
                <a:ext uri="{84589F7E-364E-4C9E-8A38-B11213B215E9}">
                  <a14:cameraTool cellRange="Logo" spid="_x0000_s20496"/>
                </a:ext>
              </a:extLst>
            </xdr:cNvPicPr>
          </xdr:nvPicPr>
          <xdr:blipFill>
            <a:blip xmlns:r="http://schemas.openxmlformats.org/officeDocument/2006/relationships" r:embed="rId1"/>
            <a:srcRect/>
            <a:stretch>
              <a:fillRect/>
            </a:stretch>
          </xdr:blipFill>
          <xdr:spPr bwMode="auto">
            <a:xfrm>
              <a:off x="934403" y="0"/>
              <a:ext cx="1540191" cy="738691"/>
            </a:xfrm>
            <a:prstGeom prst="rect">
              <a:avLst/>
            </a:prstGeom>
            <a:no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22</xdr:col>
      <xdr:colOff>892968</xdr:colOff>
      <xdr:row>47</xdr:row>
      <xdr:rowOff>258761</xdr:rowOff>
    </xdr:from>
    <xdr:to>
      <xdr:col>27</xdr:col>
      <xdr:colOff>507496</xdr:colOff>
      <xdr:row>54</xdr:row>
      <xdr:rowOff>65969</xdr:rowOff>
    </xdr:to>
    <xdr:pic>
      <xdr:nvPicPr>
        <xdr:cNvPr id="2" name="Picture 1">
          <a:extLst>
            <a:ext uri="{FF2B5EF4-FFF2-40B4-BE49-F238E27FC236}">
              <a16:creationId xmlns:a16="http://schemas.microsoft.com/office/drawing/2014/main" id="{F147F2DA-2D23-D6F7-A3C4-E863461FC637}"/>
            </a:ext>
          </a:extLst>
        </xdr:cNvPr>
        <xdr:cNvPicPr>
          <a:picLocks noChangeAspect="1"/>
        </xdr:cNvPicPr>
      </xdr:nvPicPr>
      <xdr:blipFill>
        <a:blip xmlns:r="http://schemas.openxmlformats.org/officeDocument/2006/relationships" r:embed="rId1"/>
        <a:stretch>
          <a:fillRect/>
        </a:stretch>
      </xdr:blipFill>
      <xdr:spPr>
        <a:xfrm>
          <a:off x="21978937" y="4283074"/>
          <a:ext cx="5642265" cy="17685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eannie Sikora" id="{11011192-530D-4EFA-A5AD-D2AC24D61321}" userId="S::jeannie.sikora@clearesult.com::97b2c4d9-6a75-466a-840c-18e3f9d51745" providerId="AD"/>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oncourse">
  <a:themeElements>
    <a:clrScheme name="CLEAResult">
      <a:dk1>
        <a:sysClr val="windowText" lastClr="000000"/>
      </a:dk1>
      <a:lt1>
        <a:sysClr val="window" lastClr="FFFFFF"/>
      </a:lt1>
      <a:dk2>
        <a:srgbClr val="404040"/>
      </a:dk2>
      <a:lt2>
        <a:srgbClr val="EFE9E5"/>
      </a:lt2>
      <a:accent1>
        <a:srgbClr val="F50000"/>
      </a:accent1>
      <a:accent2>
        <a:srgbClr val="054B56"/>
      </a:accent2>
      <a:accent3>
        <a:srgbClr val="007299"/>
      </a:accent3>
      <a:accent4>
        <a:srgbClr val="92B7BC"/>
      </a:accent4>
      <a:accent5>
        <a:srgbClr val="F4CE00"/>
      </a:accent5>
      <a:accent6>
        <a:srgbClr val="EFE9E5"/>
      </a:accent6>
      <a:hlink>
        <a:srgbClr val="44B9E8"/>
      </a:hlink>
      <a:folHlink>
        <a:srgbClr val="44B9E8"/>
      </a:folHlink>
    </a:clrScheme>
    <a:fontScheme name="CLEAResult">
      <a:majorFont>
        <a:latin typeface="Arial"/>
        <a:ea typeface=""/>
        <a:cs typeface=""/>
      </a:majorFont>
      <a:minorFont>
        <a:latin typeface="Arial"/>
        <a:ea typeface=""/>
        <a:cs typeface=""/>
      </a:minorFont>
    </a:fontScheme>
    <a:fmtScheme name="Concourse">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55000" cap="flat" cmpd="thickThin" algn="ctr">
          <a:solidFill>
            <a:schemeClr val="phClr"/>
          </a:solidFill>
          <a:prstDash val="solid"/>
        </a:ln>
        <a:ln w="63500" cap="flat" cmpd="thickThin"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55000"/>
                <a:satMod val="300000"/>
              </a:schemeClr>
            </a:gs>
            <a:gs pos="40000">
              <a:schemeClr val="phClr">
                <a:tint val="65000"/>
                <a:satMod val="300000"/>
              </a:schemeClr>
            </a:gs>
            <a:gs pos="100000">
              <a:schemeClr val="phClr">
                <a:shade val="65000"/>
                <a:satMod val="300000"/>
              </a:schemeClr>
            </a:gs>
          </a:gsLst>
          <a:path path="circle">
            <a:fillToRect l="65000" b="98000"/>
          </a:path>
        </a:gradFill>
        <a:blipFill>
          <a:blip xmlns:r="http://schemas.openxmlformats.org/officeDocument/2006/relationships" r:embed="rId1">
            <a:duotone>
              <a:schemeClr val="phClr">
                <a:shade val="60000"/>
                <a:satMod val="110000"/>
              </a:schemeClr>
              <a:schemeClr val="phClr">
                <a:tint val="95000"/>
              </a:schemeClr>
            </a:duotone>
          </a:blip>
          <a:tile tx="0" ty="0" sx="50000" sy="50000" flip="none" algn="tl"/>
        </a:blip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D2" dT="2026-04-21T11:44:52.61" personId="{11011192-530D-4EFA-A5AD-D2AC24D61321}" id="{AC32D984-9783-4827-A8A2-AB3CD3E06C8E}">
    <text>NOTE: the calculator looks up CF if Photoperiod is not blank. I didn’t add functionality into test cases - should be tested manually.</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4D33-05D7-45ED-83B2-05BD6651DCAC}">
  <sheetPr codeName="Sheet7">
    <tabColor theme="7"/>
  </sheetPr>
  <dimension ref="A1:D19"/>
  <sheetViews>
    <sheetView workbookViewId="0">
      <selection activeCell="A19" sqref="A19"/>
    </sheetView>
  </sheetViews>
  <sheetFormatPr defaultRowHeight="14.25" x14ac:dyDescent="0.2"/>
  <cols>
    <col min="1" max="1" width="78.375" style="41" customWidth="1"/>
    <col min="3" max="3" width="85.25" customWidth="1"/>
    <col min="4" max="4" width="74.625" customWidth="1"/>
  </cols>
  <sheetData>
    <row r="1" spans="1:4" x14ac:dyDescent="0.2">
      <c r="A1" s="29" t="s">
        <v>0</v>
      </c>
      <c r="B1" s="35" t="s">
        <v>1</v>
      </c>
      <c r="C1" s="35" t="s">
        <v>2</v>
      </c>
      <c r="D1" s="35" t="s">
        <v>3</v>
      </c>
    </row>
    <row r="2" spans="1:4" ht="36" x14ac:dyDescent="0.2">
      <c r="A2" s="30" t="s">
        <v>4</v>
      </c>
      <c r="B2" s="36" t="s">
        <v>5</v>
      </c>
      <c r="C2" s="25" t="s">
        <v>6</v>
      </c>
      <c r="D2" s="37">
        <v>3</v>
      </c>
    </row>
    <row r="3" spans="1:4" ht="39" x14ac:dyDescent="0.2">
      <c r="A3" s="30" t="s">
        <v>7</v>
      </c>
      <c r="B3" s="36" t="s">
        <v>8</v>
      </c>
      <c r="C3" s="25">
        <v>1.6</v>
      </c>
      <c r="D3" s="37">
        <v>3</v>
      </c>
    </row>
    <row r="4" spans="1:4" x14ac:dyDescent="0.2">
      <c r="A4" s="30" t="s">
        <v>9</v>
      </c>
      <c r="B4" s="36" t="s">
        <v>10</v>
      </c>
      <c r="C4" s="31">
        <v>1000</v>
      </c>
      <c r="D4" s="37" t="s">
        <v>11</v>
      </c>
    </row>
    <row r="5" spans="1:4" ht="15.75" x14ac:dyDescent="0.3">
      <c r="A5" s="30" t="s">
        <v>12</v>
      </c>
      <c r="B5" s="36" t="s">
        <v>13</v>
      </c>
      <c r="C5" s="25" t="s">
        <v>14</v>
      </c>
      <c r="D5" s="37" t="s">
        <v>14</v>
      </c>
    </row>
    <row r="6" spans="1:4" ht="25.5" x14ac:dyDescent="0.3">
      <c r="A6" s="30" t="s">
        <v>15</v>
      </c>
      <c r="B6" s="36" t="s">
        <v>16</v>
      </c>
      <c r="C6" s="25" t="s">
        <v>17</v>
      </c>
      <c r="D6" s="37" t="s">
        <v>18</v>
      </c>
    </row>
    <row r="7" spans="1:4" ht="15.75" x14ac:dyDescent="0.3">
      <c r="A7" s="32" t="s">
        <v>19</v>
      </c>
      <c r="B7" s="38" t="s">
        <v>16</v>
      </c>
      <c r="C7" s="26" t="s">
        <v>14</v>
      </c>
      <c r="D7" s="39" t="s">
        <v>18</v>
      </c>
    </row>
    <row r="8" spans="1:4" ht="24" x14ac:dyDescent="0.2">
      <c r="A8" s="33"/>
      <c r="B8" s="40"/>
      <c r="C8" s="34" t="s">
        <v>20</v>
      </c>
      <c r="D8" s="40"/>
    </row>
    <row r="9" spans="1:4" ht="36" x14ac:dyDescent="0.2">
      <c r="A9" s="25" t="s">
        <v>21</v>
      </c>
      <c r="B9" s="36" t="s">
        <v>22</v>
      </c>
      <c r="C9" s="25">
        <v>0.14099999999999999</v>
      </c>
      <c r="D9" s="37">
        <v>5</v>
      </c>
    </row>
    <row r="10" spans="1:4" ht="36" x14ac:dyDescent="0.2">
      <c r="A10" s="25" t="s">
        <v>23</v>
      </c>
      <c r="B10" s="36" t="s">
        <v>22</v>
      </c>
      <c r="C10" s="25">
        <v>0.20100000000000001</v>
      </c>
      <c r="D10" s="37">
        <v>5</v>
      </c>
    </row>
    <row r="11" spans="1:4" ht="36" x14ac:dyDescent="0.2">
      <c r="A11" s="25" t="s">
        <v>24</v>
      </c>
      <c r="B11" s="36" t="s">
        <v>22</v>
      </c>
      <c r="C11" s="25">
        <v>0</v>
      </c>
      <c r="D11" s="37">
        <v>5</v>
      </c>
    </row>
    <row r="12" spans="1:4" ht="37.5" x14ac:dyDescent="0.3">
      <c r="A12" s="30" t="s">
        <v>25</v>
      </c>
      <c r="B12" s="36" t="s">
        <v>22</v>
      </c>
      <c r="C12" s="25" t="s">
        <v>26</v>
      </c>
      <c r="D12" s="37" t="s">
        <v>27</v>
      </c>
    </row>
    <row r="13" spans="1:4" ht="37.5" x14ac:dyDescent="0.3">
      <c r="A13" s="30" t="s">
        <v>28</v>
      </c>
      <c r="B13" s="36" t="s">
        <v>22</v>
      </c>
      <c r="C13" s="25" t="s">
        <v>29</v>
      </c>
      <c r="D13" s="37" t="s">
        <v>27</v>
      </c>
    </row>
    <row r="14" spans="1:4" ht="37.5" x14ac:dyDescent="0.3">
      <c r="A14" s="30" t="s">
        <v>30</v>
      </c>
      <c r="B14" s="36" t="s">
        <v>22</v>
      </c>
      <c r="C14" s="25" t="s">
        <v>26</v>
      </c>
      <c r="D14" s="37" t="s">
        <v>27</v>
      </c>
    </row>
    <row r="15" spans="1:4" ht="37.5" x14ac:dyDescent="0.3">
      <c r="A15" s="30" t="s">
        <v>31</v>
      </c>
      <c r="B15" s="36" t="s">
        <v>22</v>
      </c>
      <c r="C15" s="25" t="s">
        <v>29</v>
      </c>
      <c r="D15" s="37" t="s">
        <v>27</v>
      </c>
    </row>
    <row r="16" spans="1:4" ht="15.75" x14ac:dyDescent="0.3">
      <c r="A16" s="30" t="s">
        <v>32</v>
      </c>
      <c r="B16" s="36" t="s">
        <v>16</v>
      </c>
      <c r="C16" s="25" t="s">
        <v>33</v>
      </c>
      <c r="D16" s="37" t="s">
        <v>33</v>
      </c>
    </row>
    <row r="17" spans="1:4" x14ac:dyDescent="0.2">
      <c r="A17" s="30" t="s">
        <v>34</v>
      </c>
      <c r="B17" s="36" t="s">
        <v>22</v>
      </c>
      <c r="C17" s="25" t="s">
        <v>33</v>
      </c>
      <c r="D17" s="37" t="s">
        <v>33</v>
      </c>
    </row>
    <row r="18" spans="1:4" ht="27" x14ac:dyDescent="0.2">
      <c r="A18" s="30" t="s">
        <v>35</v>
      </c>
      <c r="B18" s="36" t="s">
        <v>22</v>
      </c>
      <c r="C18" s="25" t="s">
        <v>14</v>
      </c>
      <c r="D18" s="37" t="s">
        <v>14</v>
      </c>
    </row>
    <row r="19" spans="1:4" ht="27" x14ac:dyDescent="0.2">
      <c r="A19" s="30" t="s">
        <v>36</v>
      </c>
      <c r="B19" s="36" t="s">
        <v>22</v>
      </c>
      <c r="C19" s="25" t="s">
        <v>14</v>
      </c>
      <c r="D19" s="37" t="s">
        <v>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116D-04A7-41C1-A857-7480E20FC8AF}">
  <sheetPr codeName="Sheet1">
    <tabColor rgb="FFC00000"/>
  </sheetPr>
  <dimension ref="A1:Z37"/>
  <sheetViews>
    <sheetView showGridLines="0" zoomScale="85" zoomScaleNormal="145" workbookViewId="0">
      <selection activeCell="C13" sqref="C13"/>
    </sheetView>
  </sheetViews>
  <sheetFormatPr defaultRowHeight="14.25" x14ac:dyDescent="0.2"/>
  <cols>
    <col min="1" max="1" width="3.375" customWidth="1"/>
    <col min="2" max="2" width="15.125" customWidth="1"/>
    <col min="3" max="4" width="21.625" customWidth="1"/>
    <col min="5" max="5" width="14.625" customWidth="1"/>
    <col min="6" max="6" width="4.375" customWidth="1"/>
    <col min="7" max="7" width="3.5" customWidth="1"/>
    <col min="13" max="13" width="2.5" customWidth="1"/>
    <col min="14" max="14" width="2.75" customWidth="1"/>
    <col min="20" max="20" width="3.125" customWidth="1"/>
  </cols>
  <sheetData>
    <row r="1" spans="1:26" ht="46.5" customHeight="1" x14ac:dyDescent="0.2">
      <c r="A1" s="318"/>
      <c r="B1" s="318"/>
      <c r="C1" s="318"/>
      <c r="D1" s="318"/>
      <c r="E1" s="318"/>
      <c r="F1" s="318"/>
      <c r="G1" s="318"/>
      <c r="H1" s="318"/>
      <c r="I1" s="318"/>
      <c r="J1" s="318"/>
      <c r="K1" s="318"/>
      <c r="L1" s="318"/>
      <c r="M1" s="318"/>
      <c r="N1" s="318"/>
      <c r="O1" s="318"/>
      <c r="P1" s="318"/>
      <c r="Q1" s="318"/>
      <c r="R1" s="318"/>
      <c r="S1" s="318"/>
      <c r="T1" s="318"/>
      <c r="U1" s="318"/>
      <c r="V1" s="318"/>
      <c r="W1" s="318"/>
      <c r="X1" s="318"/>
      <c r="Y1" s="318"/>
      <c r="Z1" s="318"/>
    </row>
    <row r="2" spans="1:26" ht="15.75" thickBot="1" x14ac:dyDescent="0.3">
      <c r="H2" s="206"/>
    </row>
    <row r="3" spans="1:26" ht="20.45" customHeight="1" thickBot="1" x14ac:dyDescent="0.3">
      <c r="B3" s="319" t="s">
        <v>275</v>
      </c>
      <c r="C3" s="320"/>
      <c r="D3" s="321"/>
      <c r="E3" s="207" t="s">
        <v>271</v>
      </c>
      <c r="F3" s="206"/>
      <c r="G3" s="206"/>
      <c r="H3" s="206"/>
    </row>
    <row r="4" spans="1:26" ht="15.75" thickBot="1" x14ac:dyDescent="0.3">
      <c r="G4" s="208"/>
      <c r="H4" s="209"/>
      <c r="I4" s="210"/>
      <c r="J4" s="210"/>
      <c r="K4" s="210"/>
      <c r="L4" s="210"/>
      <c r="M4" s="210"/>
      <c r="N4" s="208"/>
      <c r="O4" s="210"/>
      <c r="P4" s="210"/>
      <c r="Q4" s="210"/>
      <c r="R4" s="210"/>
      <c r="S4" s="210"/>
      <c r="T4" s="211"/>
    </row>
    <row r="5" spans="1:26" ht="15" x14ac:dyDescent="0.25">
      <c r="B5" s="322" t="s">
        <v>265</v>
      </c>
      <c r="C5" s="323"/>
      <c r="D5" s="324"/>
      <c r="G5" s="212"/>
      <c r="H5" s="325" t="s">
        <v>266</v>
      </c>
      <c r="I5" s="325"/>
      <c r="J5" s="325"/>
      <c r="K5" s="325"/>
      <c r="L5" s="325"/>
      <c r="N5" s="212"/>
      <c r="O5" s="325" t="s">
        <v>267</v>
      </c>
      <c r="P5" s="325"/>
      <c r="Q5" s="325"/>
      <c r="R5" s="325"/>
      <c r="S5" s="325"/>
      <c r="T5" s="213"/>
    </row>
    <row r="6" spans="1:26" ht="15.75" thickBot="1" x14ac:dyDescent="0.3">
      <c r="B6" s="214" t="s">
        <v>268</v>
      </c>
      <c r="C6" s="215" t="s">
        <v>87</v>
      </c>
      <c r="D6" s="216" t="s">
        <v>269</v>
      </c>
      <c r="G6" s="212"/>
      <c r="H6" s="206" t="s">
        <v>270</v>
      </c>
      <c r="M6" s="206"/>
      <c r="N6" s="217"/>
      <c r="O6" s="206" t="s">
        <v>270</v>
      </c>
      <c r="T6" s="213"/>
    </row>
    <row r="7" spans="1:26" ht="15" thickTop="1" x14ac:dyDescent="0.2">
      <c r="B7" s="72" t="s">
        <v>271</v>
      </c>
      <c r="C7" s="225">
        <v>0.1</v>
      </c>
      <c r="D7" s="226">
        <v>0</v>
      </c>
      <c r="G7" s="212"/>
      <c r="H7" s="218"/>
      <c r="I7" s="218"/>
      <c r="J7" s="218"/>
      <c r="K7" s="218"/>
      <c r="L7" s="218"/>
      <c r="N7" s="212"/>
      <c r="T7" s="213"/>
    </row>
    <row r="8" spans="1:26" x14ac:dyDescent="0.2">
      <c r="B8" s="72" t="s">
        <v>272</v>
      </c>
      <c r="C8" s="227">
        <v>0.1</v>
      </c>
      <c r="D8" s="228">
        <v>0</v>
      </c>
      <c r="G8" s="212"/>
      <c r="H8" s="218"/>
      <c r="I8" s="218"/>
      <c r="J8" s="218"/>
      <c r="K8" s="218"/>
      <c r="L8" s="218"/>
      <c r="N8" s="212"/>
      <c r="T8" s="213"/>
    </row>
    <row r="9" spans="1:26" ht="15" thickBot="1" x14ac:dyDescent="0.25">
      <c r="B9" s="219" t="s">
        <v>264</v>
      </c>
      <c r="C9" s="229">
        <v>0.01</v>
      </c>
      <c r="D9" s="230">
        <v>100</v>
      </c>
      <c r="G9" s="212"/>
      <c r="H9" s="218"/>
      <c r="I9" s="218"/>
      <c r="J9" s="218"/>
      <c r="K9" s="218"/>
      <c r="L9" s="218"/>
      <c r="N9" s="212"/>
      <c r="T9" s="213"/>
    </row>
    <row r="10" spans="1:26" x14ac:dyDescent="0.2">
      <c r="G10" s="212"/>
      <c r="H10" s="218"/>
      <c r="I10" s="218"/>
      <c r="J10" s="218"/>
      <c r="K10" s="218"/>
      <c r="L10" s="218"/>
      <c r="N10" s="212"/>
      <c r="T10" s="213"/>
    </row>
    <row r="11" spans="1:26" x14ac:dyDescent="0.2">
      <c r="G11" s="212"/>
      <c r="H11" s="218"/>
      <c r="I11" s="218"/>
      <c r="J11" s="218"/>
      <c r="K11" s="218"/>
      <c r="L11" s="218"/>
      <c r="N11" s="212"/>
      <c r="T11" s="213"/>
    </row>
    <row r="12" spans="1:26" x14ac:dyDescent="0.2">
      <c r="B12" s="149" t="s">
        <v>280</v>
      </c>
      <c r="C12" s="280">
        <v>0.5</v>
      </c>
      <c r="D12" s="149" t="s">
        <v>282</v>
      </c>
      <c r="G12" s="212"/>
      <c r="H12" s="218"/>
      <c r="I12" s="218"/>
      <c r="J12" s="218"/>
      <c r="K12" s="218"/>
      <c r="L12" s="218"/>
      <c r="N12" s="212"/>
      <c r="T12" s="213"/>
    </row>
    <row r="13" spans="1:26" x14ac:dyDescent="0.2">
      <c r="B13" s="149" t="s">
        <v>281</v>
      </c>
      <c r="C13" s="281">
        <v>500000</v>
      </c>
      <c r="D13" s="149" t="s">
        <v>283</v>
      </c>
      <c r="G13" s="212"/>
      <c r="H13" s="218"/>
      <c r="I13" s="218"/>
      <c r="J13" s="218"/>
      <c r="K13" s="218"/>
      <c r="L13" s="218"/>
      <c r="N13" s="212"/>
      <c r="T13" s="213"/>
    </row>
    <row r="14" spans="1:26" x14ac:dyDescent="0.2">
      <c r="G14" s="212"/>
      <c r="H14" s="218"/>
      <c r="I14" s="218"/>
      <c r="J14" s="218"/>
      <c r="K14" s="218"/>
      <c r="L14" s="218"/>
      <c r="N14" s="212"/>
      <c r="T14" s="213"/>
    </row>
    <row r="15" spans="1:26" x14ac:dyDescent="0.2">
      <c r="G15" s="212"/>
      <c r="H15" s="218"/>
      <c r="I15" s="218"/>
      <c r="J15" s="218"/>
      <c r="K15" s="218"/>
      <c r="L15" s="218"/>
      <c r="N15" s="212"/>
      <c r="T15" s="213"/>
    </row>
    <row r="16" spans="1:26" ht="15" x14ac:dyDescent="0.25">
      <c r="G16" s="212"/>
      <c r="H16" s="206" t="s">
        <v>273</v>
      </c>
      <c r="N16" s="212"/>
      <c r="O16" s="206" t="s">
        <v>273</v>
      </c>
      <c r="T16" s="213"/>
    </row>
    <row r="17" spans="7:20" x14ac:dyDescent="0.2">
      <c r="G17" s="212"/>
      <c r="H17" s="220"/>
      <c r="I17" s="220"/>
      <c r="J17" s="220"/>
      <c r="K17" s="220"/>
      <c r="L17" s="220"/>
      <c r="N17" s="212"/>
      <c r="T17" s="213"/>
    </row>
    <row r="18" spans="7:20" x14ac:dyDescent="0.2">
      <c r="G18" s="212"/>
      <c r="H18" s="220"/>
      <c r="I18" s="220"/>
      <c r="J18" s="220"/>
      <c r="K18" s="220"/>
      <c r="L18" s="220"/>
      <c r="N18" s="212"/>
      <c r="T18" s="213"/>
    </row>
    <row r="19" spans="7:20" x14ac:dyDescent="0.2">
      <c r="G19" s="212"/>
      <c r="H19" s="220"/>
      <c r="I19" s="220"/>
      <c r="J19" s="220"/>
      <c r="K19" s="220"/>
      <c r="L19" s="220"/>
      <c r="N19" s="212"/>
      <c r="T19" s="213"/>
    </row>
    <row r="20" spans="7:20" x14ac:dyDescent="0.2">
      <c r="G20" s="212"/>
      <c r="H20" s="220"/>
      <c r="I20" s="220"/>
      <c r="J20" s="220"/>
      <c r="K20" s="220"/>
      <c r="L20" s="220"/>
      <c r="N20" s="212"/>
      <c r="T20" s="213"/>
    </row>
    <row r="21" spans="7:20" x14ac:dyDescent="0.2">
      <c r="G21" s="212"/>
      <c r="H21" s="220"/>
      <c r="I21" s="220"/>
      <c r="J21" s="220"/>
      <c r="K21" s="220"/>
      <c r="L21" s="220"/>
      <c r="N21" s="212"/>
      <c r="T21" s="213"/>
    </row>
    <row r="22" spans="7:20" x14ac:dyDescent="0.2">
      <c r="G22" s="212"/>
      <c r="H22" s="220"/>
      <c r="I22" s="220"/>
      <c r="J22" s="220"/>
      <c r="K22" s="220"/>
      <c r="L22" s="220"/>
      <c r="N22" s="212"/>
      <c r="T22" s="213"/>
    </row>
    <row r="23" spans="7:20" x14ac:dyDescent="0.2">
      <c r="G23" s="212"/>
      <c r="H23" s="220"/>
      <c r="I23" s="220"/>
      <c r="J23" s="220"/>
      <c r="K23" s="220"/>
      <c r="L23" s="220"/>
      <c r="N23" s="212"/>
      <c r="T23" s="213"/>
    </row>
    <row r="24" spans="7:20" x14ac:dyDescent="0.2">
      <c r="G24" s="212"/>
      <c r="H24" s="220"/>
      <c r="I24" s="220"/>
      <c r="J24" s="220"/>
      <c r="K24" s="220"/>
      <c r="L24" s="220"/>
      <c r="N24" s="212"/>
      <c r="T24" s="213"/>
    </row>
    <row r="25" spans="7:20" x14ac:dyDescent="0.2">
      <c r="G25" s="212"/>
      <c r="H25" s="220"/>
      <c r="I25" s="220"/>
      <c r="J25" s="220"/>
      <c r="K25" s="220"/>
      <c r="L25" s="220"/>
      <c r="N25" s="212"/>
      <c r="T25" s="213"/>
    </row>
    <row r="26" spans="7:20" ht="15" x14ac:dyDescent="0.25">
      <c r="G26" s="212"/>
      <c r="H26" s="206" t="s">
        <v>274</v>
      </c>
      <c r="N26" s="212"/>
      <c r="O26" s="206" t="s">
        <v>274</v>
      </c>
      <c r="T26" s="213"/>
    </row>
    <row r="27" spans="7:20" x14ac:dyDescent="0.2">
      <c r="G27" s="212"/>
      <c r="H27" s="221"/>
      <c r="I27" s="221"/>
      <c r="J27" s="221"/>
      <c r="K27" s="221"/>
      <c r="L27" s="221"/>
      <c r="N27" s="212"/>
      <c r="T27" s="213"/>
    </row>
    <row r="28" spans="7:20" x14ac:dyDescent="0.2">
      <c r="G28" s="212"/>
      <c r="H28" s="221"/>
      <c r="I28" s="221"/>
      <c r="J28" s="221"/>
      <c r="K28" s="221"/>
      <c r="L28" s="221"/>
      <c r="N28" s="212"/>
      <c r="T28" s="213"/>
    </row>
    <row r="29" spans="7:20" x14ac:dyDescent="0.2">
      <c r="G29" s="212"/>
      <c r="H29" s="221"/>
      <c r="I29" s="221"/>
      <c r="J29" s="221"/>
      <c r="K29" s="221"/>
      <c r="L29" s="221"/>
      <c r="N29" s="212"/>
      <c r="T29" s="213"/>
    </row>
    <row r="30" spans="7:20" x14ac:dyDescent="0.2">
      <c r="G30" s="212"/>
      <c r="H30" s="221"/>
      <c r="I30" s="221"/>
      <c r="J30" s="221"/>
      <c r="K30" s="221"/>
      <c r="L30" s="221"/>
      <c r="N30" s="212"/>
      <c r="T30" s="213"/>
    </row>
    <row r="31" spans="7:20" x14ac:dyDescent="0.2">
      <c r="G31" s="212"/>
      <c r="H31" s="221"/>
      <c r="I31" s="221"/>
      <c r="J31" s="221"/>
      <c r="K31" s="221"/>
      <c r="L31" s="221"/>
      <c r="N31" s="212"/>
      <c r="T31" s="213"/>
    </row>
    <row r="32" spans="7:20" x14ac:dyDescent="0.2">
      <c r="G32" s="212"/>
      <c r="H32" s="221"/>
      <c r="I32" s="221"/>
      <c r="J32" s="221"/>
      <c r="K32" s="221"/>
      <c r="L32" s="221"/>
      <c r="N32" s="212"/>
      <c r="T32" s="213"/>
    </row>
    <row r="33" spans="7:20" x14ac:dyDescent="0.2">
      <c r="G33" s="212"/>
      <c r="H33" s="221"/>
      <c r="I33" s="221"/>
      <c r="J33" s="221"/>
      <c r="K33" s="221"/>
      <c r="L33" s="221"/>
      <c r="N33" s="212"/>
      <c r="T33" s="213"/>
    </row>
    <row r="34" spans="7:20" x14ac:dyDescent="0.2">
      <c r="G34" s="212"/>
      <c r="H34" s="221"/>
      <c r="I34" s="221"/>
      <c r="J34" s="221"/>
      <c r="K34" s="221"/>
      <c r="L34" s="221"/>
      <c r="N34" s="212"/>
      <c r="T34" s="213"/>
    </row>
    <row r="35" spans="7:20" x14ac:dyDescent="0.2">
      <c r="G35" s="212"/>
      <c r="H35" s="221"/>
      <c r="I35" s="221"/>
      <c r="J35" s="221"/>
      <c r="K35" s="221"/>
      <c r="L35" s="221"/>
      <c r="N35" s="212"/>
      <c r="T35" s="213"/>
    </row>
    <row r="36" spans="7:20" ht="9" customHeight="1" x14ac:dyDescent="0.2">
      <c r="G36" s="212"/>
      <c r="N36" s="212"/>
      <c r="T36" s="213"/>
    </row>
    <row r="37" spans="7:20" ht="6.6" customHeight="1" x14ac:dyDescent="0.2">
      <c r="G37" s="222"/>
      <c r="H37" s="223"/>
      <c r="I37" s="223"/>
      <c r="J37" s="223"/>
      <c r="K37" s="223"/>
      <c r="L37" s="223"/>
      <c r="M37" s="223"/>
      <c r="N37" s="222"/>
      <c r="O37" s="223"/>
      <c r="P37" s="223"/>
      <c r="Q37" s="223"/>
      <c r="R37" s="223"/>
      <c r="S37" s="223"/>
      <c r="T37" s="224"/>
    </row>
  </sheetData>
  <mergeCells count="9">
    <mergeCell ref="V1:Z1"/>
    <mergeCell ref="B3:D3"/>
    <mergeCell ref="B5:D5"/>
    <mergeCell ref="H5:L5"/>
    <mergeCell ref="O5:S5"/>
    <mergeCell ref="A1:E1"/>
    <mergeCell ref="F1:J1"/>
    <mergeCell ref="K1:P1"/>
    <mergeCell ref="Q1:U1"/>
  </mergeCells>
  <conditionalFormatting sqref="A1:Z1">
    <cfRule type="expression" dxfId="27" priority="1">
      <formula>$E$3="FirstEnergy"</formula>
    </cfRule>
    <cfRule type="expression" dxfId="26" priority="2">
      <formula>$E$3="PECO"</formula>
    </cfRule>
    <cfRule type="expression" dxfId="25" priority="3">
      <formula>$E$3="PPL"</formula>
    </cfRule>
  </conditionalFormatting>
  <dataValidations count="2">
    <dataValidation type="list" allowBlank="1" showInputMessage="1" showErrorMessage="1" sqref="E3" xr:uid="{98F47117-FAD6-4C28-9E08-14AD83778173}">
      <formula1>"PPL, PECO, FirstEnergy"</formula1>
    </dataValidation>
    <dataValidation allowBlank="1" showInputMessage="1" showErrorMessage="1" prompt="Incentives are referenced on the inventory tab, in column AF" sqref="B5:D5" xr:uid="{B558C90A-0B5B-400A-B124-506F685BA095}"/>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FCDD-4F5B-4479-9ED0-21CD3FA44D76}">
  <sheetPr codeName="Sheet4">
    <tabColor theme="8" tint="0.59999389629810485"/>
  </sheetPr>
  <dimension ref="B1:S54"/>
  <sheetViews>
    <sheetView tabSelected="1" topLeftCell="C1" zoomScaleNormal="100" workbookViewId="0">
      <selection activeCell="E2" sqref="E2"/>
    </sheetView>
  </sheetViews>
  <sheetFormatPr defaultColWidth="8.75" defaultRowHeight="14.25" x14ac:dyDescent="0.2"/>
  <cols>
    <col min="1" max="1" width="3.5" style="1" customWidth="1"/>
    <col min="2" max="2" width="6.75" style="1" customWidth="1"/>
    <col min="3" max="3" width="50.875" style="1" customWidth="1"/>
    <col min="4" max="4" width="18.5" style="1" customWidth="1"/>
    <col min="5" max="5" width="24.875" style="1" customWidth="1"/>
    <col min="6" max="6" width="17.875" style="1" customWidth="1"/>
    <col min="7" max="7" width="38.75" style="1" customWidth="1"/>
    <col min="8" max="8" width="23" style="1" customWidth="1"/>
    <col min="9" max="9" width="18.5" style="1" customWidth="1"/>
    <col min="10" max="10" width="17.5" style="1" bestFit="1" customWidth="1"/>
    <col min="11" max="12" width="10.875" style="1" customWidth="1"/>
    <col min="13" max="13" width="11" style="1" customWidth="1"/>
    <col min="14" max="14" width="14.5" style="1" customWidth="1"/>
    <col min="15" max="15" width="9.375" style="1" bestFit="1" customWidth="1"/>
    <col min="16" max="16384" width="8.75" style="1"/>
  </cols>
  <sheetData>
    <row r="1" spans="2:16" ht="60.75" customHeight="1" x14ac:dyDescent="0.2">
      <c r="B1" s="231"/>
    </row>
    <row r="2" spans="2:16" ht="26.25" customHeight="1" x14ac:dyDescent="0.2">
      <c r="B2" s="231"/>
    </row>
    <row r="3" spans="2:16" ht="34.5" customHeight="1" x14ac:dyDescent="0.5">
      <c r="B3" s="231"/>
      <c r="C3" s="232" t="s">
        <v>84</v>
      </c>
      <c r="D3" s="232"/>
      <c r="E3" s="232"/>
      <c r="F3" s="232"/>
      <c r="G3" s="233"/>
    </row>
    <row r="4" spans="2:16" ht="20.25" customHeight="1" x14ac:dyDescent="0.2">
      <c r="B4" s="231"/>
      <c r="C4" s="300" t="s">
        <v>85</v>
      </c>
      <c r="D4" s="300"/>
      <c r="E4" s="300"/>
      <c r="F4" s="300"/>
      <c r="G4" s="300"/>
    </row>
    <row r="5" spans="2:16" ht="11.45" customHeight="1" x14ac:dyDescent="0.25">
      <c r="B5" s="231"/>
      <c r="C5" s="4"/>
      <c r="D5" s="4"/>
    </row>
    <row r="6" spans="2:16" s="9" customFormat="1" ht="22.35" customHeight="1" thickBot="1" x14ac:dyDescent="0.25">
      <c r="B6" s="16"/>
      <c r="C6" s="234" t="s">
        <v>40</v>
      </c>
      <c r="G6" s="234" t="s">
        <v>41</v>
      </c>
      <c r="H6" s="257" t="s">
        <v>42</v>
      </c>
      <c r="I6" s="257" t="s">
        <v>43</v>
      </c>
      <c r="J6" s="257" t="s">
        <v>44</v>
      </c>
    </row>
    <row r="7" spans="2:16" s="5" customFormat="1" ht="24" customHeight="1" x14ac:dyDescent="0.2">
      <c r="B7" s="284">
        <v>1</v>
      </c>
      <c r="C7" s="254" t="s">
        <v>45</v>
      </c>
      <c r="D7" s="301"/>
      <c r="E7" s="302"/>
      <c r="F7" s="18"/>
      <c r="G7" s="249" t="s">
        <v>46</v>
      </c>
      <c r="H7" s="258">
        <f>Calc!AB21</f>
        <v>0</v>
      </c>
      <c r="I7" s="258">
        <f>Calc!AC21</f>
        <v>0</v>
      </c>
      <c r="J7" s="258">
        <f>Calc!AD21</f>
        <v>0</v>
      </c>
      <c r="L7" s="139"/>
      <c r="M7" s="139"/>
      <c r="N7" s="140"/>
      <c r="O7" s="140"/>
      <c r="P7" s="140"/>
    </row>
    <row r="8" spans="2:16" s="5" customFormat="1" ht="22.35" customHeight="1" x14ac:dyDescent="0.2">
      <c r="B8" s="285"/>
      <c r="C8" s="255" t="s">
        <v>47</v>
      </c>
      <c r="D8" s="289"/>
      <c r="E8" s="290"/>
      <c r="F8" s="18"/>
      <c r="G8" s="249" t="s">
        <v>48</v>
      </c>
      <c r="H8" s="259">
        <f>Calc!AE21</f>
        <v>0</v>
      </c>
      <c r="I8" s="259">
        <f>Calc!AF21</f>
        <v>0</v>
      </c>
      <c r="J8" s="259">
        <f>Calc!AI21</f>
        <v>0</v>
      </c>
      <c r="L8" s="140"/>
    </row>
    <row r="9" spans="2:16" s="5" customFormat="1" ht="22.35" customHeight="1" x14ac:dyDescent="0.2">
      <c r="B9" s="285"/>
      <c r="C9" s="255" t="s">
        <v>49</v>
      </c>
      <c r="D9" s="303"/>
      <c r="E9" s="290"/>
      <c r="F9" s="18"/>
      <c r="G9" s="249" t="s">
        <v>50</v>
      </c>
      <c r="H9" s="258">
        <f>Calc!AG21</f>
        <v>0</v>
      </c>
      <c r="I9" s="258">
        <f>Calc!AH21</f>
        <v>0</v>
      </c>
      <c r="J9" s="258">
        <f>Calc!AJ21</f>
        <v>0</v>
      </c>
      <c r="L9" s="140"/>
    </row>
    <row r="10" spans="2:16" ht="22.35" customHeight="1" thickBot="1" x14ac:dyDescent="0.25">
      <c r="B10" s="286"/>
      <c r="C10" s="256" t="s">
        <v>284</v>
      </c>
      <c r="D10" s="287"/>
      <c r="E10" s="288"/>
      <c r="F10" s="18"/>
      <c r="G10" s="249" t="s">
        <v>51</v>
      </c>
      <c r="H10" s="260"/>
      <c r="I10" s="260"/>
      <c r="J10" s="261">
        <f>Calc!AK21</f>
        <v>0</v>
      </c>
      <c r="L10" s="141"/>
      <c r="M10" s="142"/>
      <c r="N10" s="142"/>
      <c r="O10" s="142"/>
    </row>
    <row r="11" spans="2:16" ht="22.35" customHeight="1" x14ac:dyDescent="0.2">
      <c r="B11" s="246"/>
      <c r="C11" s="282"/>
      <c r="D11" s="283"/>
      <c r="E11" s="248"/>
      <c r="F11" s="18"/>
      <c r="G11" s="249" t="s">
        <v>53</v>
      </c>
      <c r="H11" s="260"/>
      <c r="I11" s="260"/>
      <c r="J11" s="262">
        <f>IFERROR(MIN(VLOOKUP(CR_Utility,'Utility Admin'!B$7:D$9,2,FALSE)*J7+VLOOKUP(CR_Utility,'Utility Admin'!B$7:D$9,3,FALSE)*J10,D10*'Utility Admin'!C12,'Utility Admin'!C13),0)</f>
        <v>0</v>
      </c>
      <c r="L11" s="141"/>
      <c r="M11" s="142"/>
      <c r="N11" s="142"/>
      <c r="O11" s="142"/>
    </row>
    <row r="12" spans="2:16" s="9" customFormat="1" ht="22.35" customHeight="1" thickBot="1" x14ac:dyDescent="0.25">
      <c r="B12" s="14"/>
      <c r="C12" s="234" t="s">
        <v>52</v>
      </c>
      <c r="F12" s="18"/>
      <c r="G12" s="19" t="s">
        <v>55</v>
      </c>
      <c r="H12" s="1"/>
      <c r="I12" s="1"/>
      <c r="J12" s="1"/>
    </row>
    <row r="13" spans="2:16" s="5" customFormat="1" ht="22.35" customHeight="1" thickBot="1" x14ac:dyDescent="0.25">
      <c r="B13" s="307">
        <v>2</v>
      </c>
      <c r="C13" s="310" t="s">
        <v>54</v>
      </c>
      <c r="D13" s="311"/>
      <c r="E13" s="312"/>
      <c r="F13" s="18"/>
    </row>
    <row r="14" spans="2:16" ht="22.35" customHeight="1" x14ac:dyDescent="0.2">
      <c r="B14" s="308"/>
      <c r="C14" s="250" t="s">
        <v>56</v>
      </c>
      <c r="D14" s="301"/>
      <c r="E14" s="302"/>
      <c r="F14" s="18"/>
      <c r="G14" s="19"/>
      <c r="L14" s="5"/>
      <c r="M14" s="5"/>
    </row>
    <row r="15" spans="2:16" s="9" customFormat="1" ht="22.35" customHeight="1" x14ac:dyDescent="0.2">
      <c r="B15" s="308"/>
      <c r="C15" s="251" t="s">
        <v>58</v>
      </c>
      <c r="D15" s="316"/>
      <c r="E15" s="317"/>
      <c r="F15" s="18"/>
    </row>
    <row r="16" spans="2:16" s="5" customFormat="1" ht="22.35" customHeight="1" x14ac:dyDescent="0.2">
      <c r="B16" s="308"/>
      <c r="C16" s="251" t="s">
        <v>59</v>
      </c>
      <c r="D16" s="143"/>
      <c r="E16" s="13" t="s">
        <v>60</v>
      </c>
      <c r="F16" s="18"/>
      <c r="H16" s="19"/>
    </row>
    <row r="17" spans="2:17" s="5" customFormat="1" ht="22.35" customHeight="1" thickBot="1" x14ac:dyDescent="0.25">
      <c r="B17" s="308"/>
      <c r="C17" s="253" t="s">
        <v>61</v>
      </c>
      <c r="D17" s="144"/>
      <c r="E17" s="109" t="s">
        <v>62</v>
      </c>
      <c r="F17" s="18"/>
    </row>
    <row r="18" spans="2:17" s="5" customFormat="1" ht="22.35" customHeight="1" thickBot="1" x14ac:dyDescent="0.25">
      <c r="B18" s="308"/>
      <c r="C18" s="310" t="s">
        <v>63</v>
      </c>
      <c r="D18" s="311"/>
      <c r="E18" s="312"/>
      <c r="F18" s="18"/>
      <c r="G18" s="234" t="s">
        <v>57</v>
      </c>
    </row>
    <row r="19" spans="2:17" s="5" customFormat="1" ht="22.35" customHeight="1" x14ac:dyDescent="0.2">
      <c r="B19" s="308"/>
      <c r="C19" s="250" t="s">
        <v>56</v>
      </c>
      <c r="D19" s="301"/>
      <c r="E19" s="302"/>
      <c r="F19" s="18"/>
      <c r="G19" s="291"/>
      <c r="H19" s="292"/>
      <c r="I19" s="292"/>
      <c r="J19" s="293"/>
    </row>
    <row r="20" spans="2:17" s="9" customFormat="1" ht="22.35" customHeight="1" x14ac:dyDescent="0.2">
      <c r="B20" s="308"/>
      <c r="C20" s="251" t="s">
        <v>58</v>
      </c>
      <c r="D20" s="289"/>
      <c r="E20" s="290"/>
      <c r="F20" s="18"/>
      <c r="G20" s="294"/>
      <c r="H20" s="295"/>
      <c r="I20" s="295"/>
      <c r="J20" s="296"/>
    </row>
    <row r="21" spans="2:17" s="5" customFormat="1" ht="22.35" customHeight="1" x14ac:dyDescent="0.2">
      <c r="B21" s="308"/>
      <c r="C21" s="251" t="s">
        <v>59</v>
      </c>
      <c r="D21" s="143"/>
      <c r="E21" s="13" t="s">
        <v>60</v>
      </c>
      <c r="F21" s="18"/>
      <c r="G21" s="294"/>
      <c r="H21" s="295"/>
      <c r="I21" s="295"/>
      <c r="J21" s="296"/>
    </row>
    <row r="22" spans="2:17" s="5" customFormat="1" ht="22.35" customHeight="1" thickBot="1" x14ac:dyDescent="0.25">
      <c r="B22" s="308"/>
      <c r="C22" s="253" t="s">
        <v>61</v>
      </c>
      <c r="D22" s="144"/>
      <c r="E22" s="109" t="s">
        <v>62</v>
      </c>
      <c r="F22" s="18"/>
      <c r="G22" s="294"/>
      <c r="H22" s="295"/>
      <c r="I22" s="295"/>
      <c r="J22" s="296"/>
    </row>
    <row r="23" spans="2:17" s="5" customFormat="1" ht="22.35" customHeight="1" thickBot="1" x14ac:dyDescent="0.25">
      <c r="B23" s="308"/>
      <c r="C23" s="310" t="s">
        <v>64</v>
      </c>
      <c r="D23" s="311"/>
      <c r="E23" s="312"/>
      <c r="F23" s="18"/>
      <c r="G23" s="294"/>
      <c r="H23" s="295"/>
      <c r="I23" s="295"/>
      <c r="J23" s="296"/>
    </row>
    <row r="24" spans="2:17" s="5" customFormat="1" ht="22.35" customHeight="1" x14ac:dyDescent="0.2">
      <c r="B24" s="308"/>
      <c r="C24" s="250" t="s">
        <v>56</v>
      </c>
      <c r="D24" s="301"/>
      <c r="E24" s="302"/>
      <c r="F24" s="18"/>
      <c r="G24" s="294"/>
      <c r="H24" s="295"/>
      <c r="I24" s="295"/>
      <c r="J24" s="296"/>
    </row>
    <row r="25" spans="2:17" s="5" customFormat="1" ht="22.35" customHeight="1" x14ac:dyDescent="0.2">
      <c r="B25" s="308"/>
      <c r="C25" s="251" t="s">
        <v>58</v>
      </c>
      <c r="D25" s="289"/>
      <c r="E25" s="290"/>
      <c r="F25" s="18"/>
      <c r="G25" s="294"/>
      <c r="H25" s="295"/>
      <c r="I25" s="295"/>
      <c r="J25" s="296"/>
    </row>
    <row r="26" spans="2:17" s="5" customFormat="1" ht="22.35" customHeight="1" x14ac:dyDescent="0.2">
      <c r="B26" s="308"/>
      <c r="C26" s="251" t="s">
        <v>59</v>
      </c>
      <c r="D26" s="143"/>
      <c r="E26" s="13" t="s">
        <v>60</v>
      </c>
      <c r="F26" s="18"/>
      <c r="G26" s="294"/>
      <c r="H26" s="295"/>
      <c r="I26" s="295"/>
      <c r="J26" s="296"/>
    </row>
    <row r="27" spans="2:17" s="5" customFormat="1" ht="22.35" customHeight="1" thickBot="1" x14ac:dyDescent="0.25">
      <c r="B27" s="309"/>
      <c r="C27" s="252" t="s">
        <v>61</v>
      </c>
      <c r="D27" s="145"/>
      <c r="E27" s="107" t="s">
        <v>62</v>
      </c>
      <c r="F27" s="18"/>
      <c r="G27" s="294"/>
      <c r="H27" s="295"/>
      <c r="I27" s="295"/>
      <c r="J27" s="296"/>
    </row>
    <row r="28" spans="2:17" s="5" customFormat="1" ht="22.35" customHeight="1" x14ac:dyDescent="0.2">
      <c r="B28" s="108"/>
      <c r="C28" s="108"/>
      <c r="D28" s="108"/>
      <c r="E28" s="108"/>
      <c r="F28" s="18"/>
      <c r="G28" s="294"/>
      <c r="H28" s="295"/>
      <c r="I28" s="295"/>
      <c r="J28" s="296"/>
    </row>
    <row r="29" spans="2:17" s="5" customFormat="1" ht="22.35" customHeight="1" thickBot="1" x14ac:dyDescent="0.25">
      <c r="B29" s="9"/>
      <c r="C29" s="234" t="s">
        <v>65</v>
      </c>
      <c r="D29" s="7"/>
      <c r="E29" s="7"/>
      <c r="F29" s="7"/>
      <c r="G29" s="297"/>
      <c r="H29" s="298"/>
      <c r="I29" s="298"/>
      <c r="J29" s="299"/>
    </row>
    <row r="30" spans="2:17" ht="22.35" customHeight="1" x14ac:dyDescent="0.2">
      <c r="B30" s="284">
        <v>3</v>
      </c>
      <c r="C30" s="254" t="s">
        <v>66</v>
      </c>
      <c r="D30" s="301"/>
      <c r="E30" s="302"/>
      <c r="F30" s="7"/>
      <c r="G30" s="7"/>
      <c r="H30" s="10"/>
      <c r="I30" s="5"/>
      <c r="J30" s="5"/>
    </row>
    <row r="31" spans="2:17" s="9" customFormat="1" ht="22.35" customHeight="1" x14ac:dyDescent="0.2">
      <c r="B31" s="285"/>
      <c r="C31" s="255" t="s">
        <v>68</v>
      </c>
      <c r="D31" s="289"/>
      <c r="E31" s="290"/>
      <c r="F31" s="7"/>
      <c r="G31" s="7"/>
      <c r="H31" s="10"/>
      <c r="I31" s="5"/>
      <c r="J31" s="5"/>
    </row>
    <row r="32" spans="2:17" s="18" customFormat="1" ht="22.35" customHeight="1" x14ac:dyDescent="0.2">
      <c r="B32" s="285"/>
      <c r="C32" s="255" t="s">
        <v>70</v>
      </c>
      <c r="D32" s="289"/>
      <c r="E32" s="290"/>
      <c r="F32" s="304" t="s">
        <v>72</v>
      </c>
      <c r="G32" s="304"/>
      <c r="H32" s="304"/>
      <c r="I32" s="5"/>
      <c r="J32" s="5"/>
      <c r="K32" s="50"/>
      <c r="L32" s="50"/>
      <c r="M32" s="21"/>
      <c r="N32" s="6"/>
      <c r="O32" s="6"/>
      <c r="P32" s="6"/>
      <c r="Q32" s="7"/>
    </row>
    <row r="33" spans="2:19" s="18" customFormat="1" ht="22.35" customHeight="1" x14ac:dyDescent="0.2">
      <c r="B33" s="285"/>
      <c r="C33" s="255" t="s">
        <v>73</v>
      </c>
      <c r="D33" s="313"/>
      <c r="E33" s="290"/>
      <c r="F33" s="304"/>
      <c r="G33" s="304"/>
      <c r="H33" s="304"/>
      <c r="I33" s="5"/>
      <c r="J33" s="5"/>
      <c r="K33" s="50"/>
      <c r="L33" s="50"/>
      <c r="M33" s="21"/>
      <c r="N33" s="6"/>
      <c r="O33" s="6"/>
      <c r="P33" s="6"/>
      <c r="Q33" s="7"/>
    </row>
    <row r="34" spans="2:19" s="18" customFormat="1" ht="22.35" customHeight="1" thickBot="1" x14ac:dyDescent="0.25">
      <c r="B34" s="315"/>
      <c r="C34" s="256" t="s">
        <v>74</v>
      </c>
      <c r="D34" s="314"/>
      <c r="E34" s="288"/>
      <c r="F34" s="7"/>
      <c r="G34" s="7"/>
      <c r="H34" s="10"/>
      <c r="I34" s="5"/>
      <c r="J34" s="5"/>
      <c r="K34" s="50"/>
      <c r="L34" s="50"/>
      <c r="M34" s="21"/>
      <c r="N34" s="6"/>
      <c r="O34" s="6"/>
      <c r="P34" s="6"/>
      <c r="Q34" s="7"/>
    </row>
    <row r="35" spans="2:19" s="18" customFormat="1" ht="22.35" customHeight="1" x14ac:dyDescent="0.2">
      <c r="B35" s="246"/>
      <c r="C35" s="247"/>
      <c r="D35" s="248"/>
      <c r="E35" s="248"/>
      <c r="F35" s="7"/>
      <c r="G35" s="7"/>
      <c r="H35" s="10"/>
      <c r="I35" s="5"/>
      <c r="J35" s="5"/>
      <c r="K35" s="50"/>
      <c r="L35" s="50"/>
      <c r="M35" s="21"/>
      <c r="N35" s="6"/>
      <c r="O35" s="6"/>
      <c r="P35" s="6"/>
      <c r="Q35" s="7"/>
    </row>
    <row r="36" spans="2:19" s="5" customFormat="1" ht="22.35" customHeight="1" thickBot="1" x14ac:dyDescent="0.25">
      <c r="B36" s="15"/>
      <c r="D36" s="235" t="s">
        <v>217</v>
      </c>
      <c r="E36" s="235" t="s">
        <v>217</v>
      </c>
      <c r="F36" s="236" t="s">
        <v>218</v>
      </c>
      <c r="G36" s="236" t="s">
        <v>218</v>
      </c>
      <c r="H36" s="236" t="s">
        <v>218</v>
      </c>
      <c r="K36" s="1"/>
      <c r="L36" s="1"/>
      <c r="M36" s="1"/>
      <c r="O36" s="1"/>
      <c r="P36" s="1"/>
      <c r="Q36" s="1"/>
    </row>
    <row r="37" spans="2:19" s="5" customFormat="1" ht="73.5" customHeight="1" thickBot="1" x14ac:dyDescent="0.25">
      <c r="B37" s="15"/>
      <c r="C37" s="234" t="s">
        <v>76</v>
      </c>
      <c r="D37" s="266" t="s">
        <v>77</v>
      </c>
      <c r="E37" s="267" t="s">
        <v>276</v>
      </c>
      <c r="F37" s="266" t="s">
        <v>277</v>
      </c>
      <c r="G37" s="267" t="s">
        <v>278</v>
      </c>
      <c r="H37" s="268" t="s">
        <v>279</v>
      </c>
      <c r="K37" s="1"/>
      <c r="L37" s="1"/>
      <c r="M37" s="1"/>
      <c r="N37" s="1"/>
      <c r="O37" s="1"/>
      <c r="P37" s="1"/>
    </row>
    <row r="38" spans="2:19" ht="22.35" customHeight="1" x14ac:dyDescent="0.2">
      <c r="B38" s="284">
        <v>4</v>
      </c>
      <c r="C38" s="263" t="s">
        <v>78</v>
      </c>
      <c r="D38" s="237"/>
      <c r="E38" s="122"/>
      <c r="F38" s="120"/>
      <c r="G38" s="121"/>
      <c r="H38" s="238"/>
    </row>
    <row r="39" spans="2:19" s="5" customFormat="1" ht="22.35" customHeight="1" x14ac:dyDescent="0.2">
      <c r="B39" s="305"/>
      <c r="C39" s="264" t="s">
        <v>79</v>
      </c>
      <c r="D39" s="239"/>
      <c r="E39" s="119"/>
      <c r="F39" s="123"/>
      <c r="G39" s="118"/>
      <c r="H39" s="240"/>
      <c r="K39" s="1"/>
      <c r="L39" s="1"/>
      <c r="M39" s="1"/>
      <c r="N39" s="1"/>
      <c r="O39" s="1"/>
      <c r="P39" s="1"/>
    </row>
    <row r="40" spans="2:19" s="5" customFormat="1" ht="22.35" customHeight="1" x14ac:dyDescent="0.2">
      <c r="B40" s="305"/>
      <c r="C40" s="264" t="s">
        <v>80</v>
      </c>
      <c r="D40" s="239"/>
      <c r="E40" s="119"/>
      <c r="F40" s="123"/>
      <c r="G40" s="118"/>
      <c r="H40" s="240"/>
      <c r="K40" s="8"/>
      <c r="L40" s="12"/>
      <c r="N40" s="7"/>
      <c r="O40" s="7"/>
      <c r="P40" s="1"/>
    </row>
    <row r="41" spans="2:19" s="5" customFormat="1" ht="22.35" customHeight="1" x14ac:dyDescent="0.2">
      <c r="B41" s="305"/>
      <c r="C41" s="264" t="s">
        <v>81</v>
      </c>
      <c r="D41" s="239"/>
      <c r="E41" s="119"/>
      <c r="F41" s="123"/>
      <c r="G41" s="118"/>
      <c r="H41" s="240"/>
      <c r="K41" s="8"/>
      <c r="L41" s="12"/>
      <c r="N41" s="7"/>
      <c r="O41" s="7"/>
      <c r="P41" s="7"/>
    </row>
    <row r="42" spans="2:19" s="5" customFormat="1" ht="22.35" customHeight="1" x14ac:dyDescent="0.2">
      <c r="B42" s="305"/>
      <c r="C42" s="264" t="s">
        <v>82</v>
      </c>
      <c r="D42" s="239"/>
      <c r="E42" s="119"/>
      <c r="F42" s="123"/>
      <c r="G42" s="118"/>
      <c r="H42" s="240"/>
      <c r="K42" s="8"/>
      <c r="L42" s="12"/>
      <c r="M42" s="6"/>
      <c r="N42" s="6"/>
      <c r="O42" s="6"/>
      <c r="P42" s="7"/>
    </row>
    <row r="43" spans="2:19" s="5" customFormat="1" ht="22.35" customHeight="1" thickBot="1" x14ac:dyDescent="0.25">
      <c r="B43" s="306"/>
      <c r="C43" s="265" t="s">
        <v>83</v>
      </c>
      <c r="D43" s="241"/>
      <c r="E43" s="242"/>
      <c r="F43" s="243"/>
      <c r="G43" s="244"/>
      <c r="H43" s="245"/>
      <c r="K43" s="8"/>
      <c r="L43" s="12"/>
      <c r="M43" s="6"/>
      <c r="N43" s="6"/>
      <c r="O43" s="6"/>
      <c r="P43" s="7"/>
    </row>
    <row r="44" spans="2:19" ht="23.25" customHeight="1" x14ac:dyDescent="0.2">
      <c r="J44" s="12"/>
      <c r="K44" s="5"/>
      <c r="L44" s="5"/>
      <c r="M44" s="5"/>
      <c r="N44" s="5"/>
      <c r="O44" s="5"/>
      <c r="P44" s="5"/>
      <c r="Q44" s="7"/>
    </row>
    <row r="45" spans="2:19" s="5" customFormat="1" ht="14.25" customHeight="1" x14ac:dyDescent="0.2">
      <c r="B45" s="1"/>
      <c r="M45" s="51"/>
      <c r="N45" s="51"/>
      <c r="O45" s="12"/>
      <c r="P45" s="6"/>
      <c r="Q45" s="6"/>
      <c r="R45" s="6"/>
      <c r="S45" s="7"/>
    </row>
    <row r="46" spans="2:19" ht="14.25" customHeight="1" x14ac:dyDescent="0.2">
      <c r="B46" s="17"/>
    </row>
    <row r="47" spans="2:19" x14ac:dyDescent="0.2">
      <c r="J47" s="5"/>
    </row>
    <row r="54" spans="6:6" x14ac:dyDescent="0.2">
      <c r="F54" s="24"/>
    </row>
  </sheetData>
  <sheetProtection algorithmName="SHA-512" hashValue="QoETTNFNpdi37JU4i5nSMhqDtp6kpGirNnAXf6NWA1sPS7yByYiz2i9DkSwz7Cal21jCA7FryJmloOkuwkCrWw==" saltValue="J1l3vuy4EX5LS/v+gJhUqA==" spinCount="100000" sheet="1" formatColumns="0"/>
  <mergeCells count="25">
    <mergeCell ref="B38:B43"/>
    <mergeCell ref="B13:B27"/>
    <mergeCell ref="C13:E13"/>
    <mergeCell ref="D14:E14"/>
    <mergeCell ref="C18:E18"/>
    <mergeCell ref="D19:E19"/>
    <mergeCell ref="C23:E23"/>
    <mergeCell ref="D24:E24"/>
    <mergeCell ref="D33:E33"/>
    <mergeCell ref="D34:E34"/>
    <mergeCell ref="B30:B34"/>
    <mergeCell ref="D20:E20"/>
    <mergeCell ref="D25:E25"/>
    <mergeCell ref="D15:E15"/>
    <mergeCell ref="D30:E30"/>
    <mergeCell ref="C4:G4"/>
    <mergeCell ref="D7:E7"/>
    <mergeCell ref="D8:E8"/>
    <mergeCell ref="D9:E9"/>
    <mergeCell ref="F32:H33"/>
    <mergeCell ref="B7:B10"/>
    <mergeCell ref="D10:E10"/>
    <mergeCell ref="D31:E31"/>
    <mergeCell ref="D32:E32"/>
    <mergeCell ref="G19:J29"/>
  </mergeCells>
  <phoneticPr fontId="38" type="noConversion"/>
  <conditionalFormatting sqref="D33:E33">
    <cfRule type="expression" dxfId="21" priority="5">
      <formula>$D$32="No"</formula>
    </cfRule>
  </conditionalFormatting>
  <conditionalFormatting sqref="D38:H41 D43:H43">
    <cfRule type="expression" dxfId="20" priority="10">
      <formula>$D$30="Leafy Greens"</formula>
    </cfRule>
  </conditionalFormatting>
  <conditionalFormatting sqref="D38:H42">
    <cfRule type="expression" dxfId="19" priority="6">
      <formula>$D$30="Other"</formula>
    </cfRule>
    <cfRule type="expression" dxfId="18" priority="16">
      <formula>$D$29="Other"</formula>
    </cfRule>
  </conditionalFormatting>
  <conditionalFormatting sqref="D42:H43">
    <cfRule type="expression" dxfId="17" priority="9">
      <formula>$D$30="Cannabis"</formula>
    </cfRule>
    <cfRule type="expression" dxfId="16" priority="17">
      <formula>$D$29="Cannabis"</formula>
    </cfRule>
  </conditionalFormatting>
  <conditionalFormatting sqref="E42">
    <cfRule type="expression" dxfId="15" priority="13">
      <formula>$D$29="Leafy Greens"</formula>
    </cfRule>
  </conditionalFormatting>
  <conditionalFormatting sqref="E43">
    <cfRule type="expression" dxfId="14" priority="12">
      <formula>$D$29="Other"</formula>
    </cfRule>
  </conditionalFormatting>
  <conditionalFormatting sqref="F32:H33">
    <cfRule type="expression" dxfId="13" priority="14">
      <formula>$D$32="Yes"</formula>
    </cfRule>
    <cfRule type="expression" dxfId="12" priority="15">
      <formula>$D$32="Yes"</formula>
    </cfRule>
  </conditionalFormatting>
  <conditionalFormatting sqref="G14 H16">
    <cfRule type="expression" dxfId="11" priority="41">
      <formula>IF($D$10="Cooling", TRUE)</formula>
    </cfRule>
    <cfRule type="expression" dxfId="10" priority="42">
      <formula>IF($D$10="Heating", TRUE)</formula>
    </cfRule>
  </conditionalFormatting>
  <conditionalFormatting sqref="H16">
    <cfRule type="expression" dxfId="9" priority="24">
      <formula>IF($D$13="Gas", TRUE)</formula>
    </cfRule>
  </conditionalFormatting>
  <conditionalFormatting sqref="H30:J31 I32:J33 H34:J35 H51">
    <cfRule type="expression" dxfId="8" priority="22">
      <formula>OR(#REF!="Yes",$D$32="No")</formula>
    </cfRule>
  </conditionalFormatting>
  <dataValidations count="7">
    <dataValidation type="whole" allowBlank="1" showInputMessage="1" showErrorMessage="1" sqref="D38:D43" xr:uid="{8AB2883B-2EC2-4FC1-9CB4-8A7B3DE0970C}">
      <formula1>1</formula1>
      <formula2>10000</formula2>
    </dataValidation>
    <dataValidation type="whole" allowBlank="1" showInputMessage="1" showErrorMessage="1" sqref="G38:G43" xr:uid="{8525B102-C6C7-4A46-A5EA-173E0D5312C1}">
      <formula1>0</formula1>
      <formula2>23</formula2>
    </dataValidation>
    <dataValidation type="whole" allowBlank="1" showInputMessage="1" showErrorMessage="1" promptTitle="Hours per Day" prompt="Input hours per day lights are on during growing cycle." sqref="F41" xr:uid="{45783870-3828-47E6-95FA-F07D11E2C447}">
      <formula1>0</formula1>
      <formula2>24</formula2>
    </dataValidation>
    <dataValidation type="whole" allowBlank="1" showInputMessage="1" showErrorMessage="1" promptTitle="Hours per Day" prompt="Input hours per day lights are on during growing cycle" sqref="F42:F43 F38:F40" xr:uid="{C585EF0D-ADFB-4795-A44A-AD1C13332C2B}">
      <formula1>0</formula1>
      <formula2>24</formula2>
    </dataValidation>
    <dataValidation type="whole" allowBlank="1" showInputMessage="1" showErrorMessage="1" sqref="H38:H43" xr:uid="{8A6DB12C-2FB6-4080-8E9A-38469C824DFF}">
      <formula1>0</formula1>
      <formula2>365</formula2>
    </dataValidation>
    <dataValidation type="decimal" errorStyle="warning" allowBlank="1" showInputMessage="1" showErrorMessage="1" errorTitle="Out of range" error="Dimming value must be between 0 and 1." promptTitle="Average Dimming during Cycle" prompt="For dimming control, enter avg % power lights operate in a crop cycle. e.g., If lights operate 50% power for 3 wks, 75% for 3 wks, 90% for 2 wks, and100% for 1 wk, average for crop cycle is [(3) x 50% + (3) x 75%  + (2) x 90% + (1) x 100%]/9 = 72.7%." sqref="D33:E33" xr:uid="{D5139DE1-756F-4152-8120-BDF625A8C8FF}">
      <formula1>0.5</formula1>
      <formula2>1</formula2>
    </dataValidation>
    <dataValidation type="list" allowBlank="1" showErrorMessage="1" sqref="D32:E32 D34:E35" xr:uid="{3A5DD458-551D-44E5-B17E-F0FBDDA4CE83}">
      <formula1>"Yes,No"</formula1>
    </dataValidation>
  </dataValidations>
  <pageMargins left="0.5" right="0.5" top="0.5" bottom="0.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0E71D612-017A-4F5C-BFB8-63F67A98D6FC}">
            <xm:f>'Utility Admin'!$E$3="FirstEnergy"</xm:f>
            <x14:dxf>
              <fill>
                <patternFill>
                  <bgColor rgb="FF1E427C"/>
                </patternFill>
              </fill>
            </x14:dxf>
          </x14:cfRule>
          <x14:cfRule type="expression" priority="3" id="{63CDAF65-7DD6-4592-93AD-7D3603B683A4}">
            <xm:f>'Utility Admin'!$E$3="PECO"</xm:f>
            <x14:dxf>
              <fill>
                <patternFill>
                  <bgColor rgb="FF6E06C1"/>
                </patternFill>
              </fill>
            </x14:dxf>
          </x14:cfRule>
          <x14:cfRule type="expression" priority="4" id="{ABC60437-7EAE-4D2E-BCB3-73C160EEC7B9}">
            <xm:f>'Utility Admin'!$E$3="PPL"</xm:f>
            <x14:dxf>
              <fill>
                <patternFill>
                  <bgColor rgb="FF001489"/>
                </patternFill>
              </fill>
            </x14:dxf>
          </x14:cfRule>
          <xm:sqref>B1:K1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57F6B20A-214D-4ED1-B561-C11148F89369}">
          <x14:formula1>
            <xm:f>'MiscLook-Up'!$A$8:$A$8</xm:f>
          </x14:formula1>
          <xm:sqref>D31:E31</xm:sqref>
        </x14:dataValidation>
        <x14:dataValidation type="list" allowBlank="1" showInputMessage="1" showErrorMessage="1" xr:uid="{AFCB2257-D65B-4AE1-A6E7-34F4868F15F2}">
          <x14:formula1>
            <xm:f>'MiscLook-Up'!$C$7:$C$9</xm:f>
          </x14:formula1>
          <xm:sqref>E38:E43</xm:sqref>
        </x14:dataValidation>
        <x14:dataValidation type="list" errorStyle="warning" allowBlank="1" showInputMessage="1" showErrorMessage="1" promptTitle="Use for dimming strategies only" prompt="Provide average full power for entire crop cycle, based on grower interview. Annual energy use will be reduced proportionally to reflect reduced average lamp wattage. If lights are dimmed on average by 10%, then full power would be 90%" xr:uid="{09599902-4DED-4571-9E13-810081E6450B}">
          <x14:formula1>
            <xm:f>'MiscLook-Up'!$E$6:$E$16</xm:f>
          </x14:formula1>
          <xm:sqref>F54</xm:sqref>
        </x14:dataValidation>
        <x14:dataValidation type="list" allowBlank="1" showInputMessage="1" showErrorMessage="1" xr:uid="{5B268E2D-5729-43E2-A394-2A000A39A75C}">
          <x14:formula1>
            <xm:f>'MiscLook-Up'!$B$7:B$9</xm:f>
          </x14:formula1>
          <xm:sqref>D30:E30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B1:U47"/>
  <sheetViews>
    <sheetView topLeftCell="C3" zoomScaleNormal="100" workbookViewId="0">
      <selection activeCell="D7" sqref="D7:E7"/>
    </sheetView>
  </sheetViews>
  <sheetFormatPr defaultColWidth="8.75" defaultRowHeight="14.25" x14ac:dyDescent="0.2"/>
  <cols>
    <col min="1" max="1" width="3.5" style="1" customWidth="1"/>
    <col min="2" max="2" width="6.75" style="1" customWidth="1"/>
    <col min="3" max="3" width="52" style="1" customWidth="1"/>
    <col min="4" max="4" width="18.5" style="1" customWidth="1"/>
    <col min="5" max="5" width="23.625" style="1" customWidth="1"/>
    <col min="6" max="6" width="17.25" style="1" customWidth="1"/>
    <col min="7" max="7" width="37.625" style="1" customWidth="1"/>
    <col min="8" max="8" width="27.875" style="1" customWidth="1"/>
    <col min="9" max="9" width="19.125" style="1" customWidth="1"/>
    <col min="10" max="10" width="21.375" style="1" customWidth="1"/>
    <col min="11" max="11" width="18.875" style="1" customWidth="1"/>
    <col min="12" max="12" width="28.5" style="1" bestFit="1" customWidth="1"/>
    <col min="13" max="13" width="10.75" style="1" customWidth="1"/>
    <col min="14" max="14" width="8.75" style="1"/>
    <col min="15" max="16" width="10.875" style="1" customWidth="1"/>
    <col min="17" max="17" width="44.125" style="1" customWidth="1"/>
    <col min="18" max="18" width="25.375" style="1" customWidth="1"/>
    <col min="19" max="16384" width="8.75" style="1"/>
  </cols>
  <sheetData>
    <row r="1" spans="2:18" ht="57" customHeight="1" x14ac:dyDescent="0.2">
      <c r="B1" s="231"/>
    </row>
    <row r="2" spans="2:18" ht="26.25" customHeight="1" x14ac:dyDescent="0.2">
      <c r="B2" s="231"/>
    </row>
    <row r="3" spans="2:18" ht="34.5" customHeight="1" x14ac:dyDescent="0.5">
      <c r="B3" s="231"/>
      <c r="C3" s="232" t="s">
        <v>37</v>
      </c>
      <c r="D3" s="3"/>
      <c r="E3" s="3"/>
      <c r="F3" s="3"/>
      <c r="R3" s="1" t="s">
        <v>38</v>
      </c>
    </row>
    <row r="4" spans="2:18" ht="21" customHeight="1" x14ac:dyDescent="0.2">
      <c r="B4" s="231"/>
      <c r="C4" s="279" t="s">
        <v>39</v>
      </c>
      <c r="D4" s="106"/>
      <c r="E4" s="106"/>
      <c r="F4" s="106"/>
      <c r="J4" s="23"/>
    </row>
    <row r="5" spans="2:18" ht="11.45" customHeight="1" x14ac:dyDescent="0.25">
      <c r="B5" s="231"/>
      <c r="C5" s="4"/>
      <c r="D5" s="4"/>
    </row>
    <row r="6" spans="2:18" s="9" customFormat="1" ht="22.35" customHeight="1" thickBot="1" x14ac:dyDescent="0.25">
      <c r="B6" s="16"/>
      <c r="C6" s="234" t="s">
        <v>40</v>
      </c>
      <c r="G6" s="234" t="s">
        <v>41</v>
      </c>
      <c r="H6" s="257" t="s">
        <v>42</v>
      </c>
      <c r="I6" s="257" t="s">
        <v>43</v>
      </c>
      <c r="J6" s="257" t="s">
        <v>44</v>
      </c>
    </row>
    <row r="7" spans="2:18" s="5" customFormat="1" ht="22.35" customHeight="1" x14ac:dyDescent="0.2">
      <c r="B7" s="284">
        <v>1</v>
      </c>
      <c r="C7" s="254" t="s">
        <v>45</v>
      </c>
      <c r="D7" s="301"/>
      <c r="E7" s="302"/>
      <c r="F7" s="18"/>
      <c r="G7" s="249" t="s">
        <v>46</v>
      </c>
      <c r="H7" s="258">
        <f>Calc!AB11</f>
        <v>0</v>
      </c>
      <c r="I7" s="258">
        <f>Calc!AC11</f>
        <v>0</v>
      </c>
      <c r="J7" s="258">
        <f>Calc!AD11</f>
        <v>0</v>
      </c>
    </row>
    <row r="8" spans="2:18" s="5" customFormat="1" ht="22.35" customHeight="1" x14ac:dyDescent="0.2">
      <c r="B8" s="285"/>
      <c r="C8" s="255" t="s">
        <v>47</v>
      </c>
      <c r="D8" s="289"/>
      <c r="E8" s="290"/>
      <c r="F8" s="18"/>
      <c r="G8" s="249" t="s">
        <v>48</v>
      </c>
      <c r="H8" s="259">
        <f>Calc!AE11</f>
        <v>0</v>
      </c>
      <c r="I8" s="259">
        <f>Calc!AF11</f>
        <v>0</v>
      </c>
      <c r="J8" s="259">
        <f>Calc!AI11</f>
        <v>0</v>
      </c>
    </row>
    <row r="9" spans="2:18" s="5" customFormat="1" ht="22.35" customHeight="1" x14ac:dyDescent="0.2">
      <c r="B9" s="285"/>
      <c r="C9" s="255" t="s">
        <v>49</v>
      </c>
      <c r="D9" s="303"/>
      <c r="E9" s="290"/>
      <c r="F9" s="18"/>
      <c r="G9" s="249" t="s">
        <v>50</v>
      </c>
      <c r="H9" s="258">
        <f>Calc!AG11</f>
        <v>0</v>
      </c>
      <c r="I9" s="258">
        <f>Calc!AH11</f>
        <v>0</v>
      </c>
      <c r="J9" s="258">
        <f>Calc!AJ11</f>
        <v>0</v>
      </c>
      <c r="L9" s="141"/>
      <c r="M9" s="142"/>
      <c r="N9" s="142"/>
      <c r="O9" s="142"/>
    </row>
    <row r="10" spans="2:18" s="9" customFormat="1" ht="22.35" customHeight="1" thickBot="1" x14ac:dyDescent="0.25">
      <c r="B10" s="286"/>
      <c r="C10" s="256" t="s">
        <v>284</v>
      </c>
      <c r="D10" s="287"/>
      <c r="E10" s="288"/>
      <c r="F10" s="18"/>
      <c r="G10" s="249" t="s">
        <v>51</v>
      </c>
      <c r="H10" s="260"/>
      <c r="I10" s="260"/>
      <c r="J10" s="261">
        <f>Calc!AK11</f>
        <v>0</v>
      </c>
    </row>
    <row r="11" spans="2:18" s="9" customFormat="1" ht="22.35" customHeight="1" x14ac:dyDescent="0.2">
      <c r="B11" s="2"/>
      <c r="C11" s="1"/>
      <c r="D11" s="1"/>
      <c r="E11" s="1"/>
      <c r="F11" s="18"/>
      <c r="G11" s="249" t="s">
        <v>53</v>
      </c>
      <c r="H11" s="260"/>
      <c r="I11" s="260"/>
      <c r="J11" s="262">
        <f>IFERROR(MIN(VLOOKUP(CR_Utility,'Utility Admin'!B$7:D$9,2,FALSE)*J7+VLOOKUP(CR_Utility,'Utility Admin'!B$7:D$9,3,FALSE)*J10,D10*'Utility Admin'!C12,'Utility Admin'!C13),0)</f>
        <v>0</v>
      </c>
    </row>
    <row r="12" spans="2:18" s="5" customFormat="1" ht="22.35" customHeight="1" thickBot="1" x14ac:dyDescent="0.25">
      <c r="B12" s="14"/>
      <c r="C12" s="234" t="s">
        <v>52</v>
      </c>
      <c r="D12" s="9"/>
      <c r="E12" s="9"/>
      <c r="F12" s="18"/>
      <c r="G12" s="19" t="s">
        <v>55</v>
      </c>
      <c r="H12" s="1"/>
      <c r="I12" s="1"/>
      <c r="J12" s="1"/>
    </row>
    <row r="13" spans="2:18" ht="22.35" customHeight="1" thickBot="1" x14ac:dyDescent="0.25">
      <c r="B13" s="307">
        <v>2</v>
      </c>
      <c r="C13" s="310" t="s">
        <v>54</v>
      </c>
      <c r="D13" s="311"/>
      <c r="E13" s="312"/>
      <c r="F13" s="18"/>
      <c r="N13" s="5"/>
      <c r="O13" s="5"/>
      <c r="P13" s="5"/>
      <c r="Q13" s="5"/>
    </row>
    <row r="14" spans="2:18" s="9" customFormat="1" ht="22.35" customHeight="1" x14ac:dyDescent="0.2">
      <c r="B14" s="308"/>
      <c r="C14" s="250" t="s">
        <v>56</v>
      </c>
      <c r="D14" s="301"/>
      <c r="E14" s="302"/>
      <c r="F14" s="18"/>
      <c r="J14" s="1"/>
      <c r="K14" s="5"/>
      <c r="L14" s="5"/>
      <c r="M14" s="5"/>
      <c r="N14" s="5"/>
    </row>
    <row r="15" spans="2:18" s="5" customFormat="1" ht="22.35" customHeight="1" x14ac:dyDescent="0.2">
      <c r="B15" s="308"/>
      <c r="C15" s="251" t="s">
        <v>58</v>
      </c>
      <c r="D15" s="316"/>
      <c r="E15" s="317"/>
      <c r="F15" s="18"/>
      <c r="J15" s="9"/>
    </row>
    <row r="16" spans="2:18" s="5" customFormat="1" ht="22.35" customHeight="1" thickBot="1" x14ac:dyDescent="0.25">
      <c r="B16" s="308"/>
      <c r="C16" s="251" t="s">
        <v>59</v>
      </c>
      <c r="D16" s="143"/>
      <c r="E16" s="13" t="s">
        <v>60</v>
      </c>
      <c r="F16" s="18"/>
      <c r="G16" s="234" t="s">
        <v>57</v>
      </c>
    </row>
    <row r="17" spans="2:21" s="5" customFormat="1" ht="22.35" customHeight="1" thickBot="1" x14ac:dyDescent="0.25">
      <c r="B17" s="308"/>
      <c r="C17" s="253" t="s">
        <v>61</v>
      </c>
      <c r="D17" s="144"/>
      <c r="E17" s="109" t="s">
        <v>62</v>
      </c>
      <c r="F17" s="18"/>
      <c r="G17" s="84"/>
      <c r="H17" s="85"/>
      <c r="I17" s="86"/>
    </row>
    <row r="18" spans="2:21" s="5" customFormat="1" ht="22.35" customHeight="1" thickBot="1" x14ac:dyDescent="0.25">
      <c r="B18" s="308"/>
      <c r="C18" s="310" t="s">
        <v>63</v>
      </c>
      <c r="D18" s="311"/>
      <c r="E18" s="312"/>
      <c r="F18" s="18"/>
      <c r="G18" s="27"/>
      <c r="H18" s="45"/>
      <c r="I18" s="28"/>
    </row>
    <row r="19" spans="2:21" s="9" customFormat="1" ht="22.35" customHeight="1" x14ac:dyDescent="0.2">
      <c r="B19" s="308"/>
      <c r="C19" s="250" t="s">
        <v>56</v>
      </c>
      <c r="D19" s="301"/>
      <c r="E19" s="302"/>
      <c r="F19" s="18"/>
      <c r="G19" s="27"/>
      <c r="H19" s="45"/>
      <c r="I19" s="28"/>
      <c r="J19" s="5"/>
    </row>
    <row r="20" spans="2:21" s="5" customFormat="1" ht="22.35" customHeight="1" x14ac:dyDescent="0.2">
      <c r="B20" s="308"/>
      <c r="C20" s="251" t="s">
        <v>58</v>
      </c>
      <c r="D20" s="316"/>
      <c r="E20" s="317"/>
      <c r="F20" s="18"/>
      <c r="G20" s="27"/>
      <c r="H20" s="45"/>
      <c r="I20" s="28"/>
      <c r="J20" s="9"/>
    </row>
    <row r="21" spans="2:21" s="5" customFormat="1" ht="22.35" customHeight="1" x14ac:dyDescent="0.2">
      <c r="B21" s="308"/>
      <c r="C21" s="251" t="s">
        <v>59</v>
      </c>
      <c r="D21" s="143"/>
      <c r="E21" s="13" t="s">
        <v>60</v>
      </c>
      <c r="F21" s="18"/>
      <c r="G21" s="27"/>
      <c r="H21" s="45"/>
      <c r="I21" s="28"/>
    </row>
    <row r="22" spans="2:21" s="5" customFormat="1" ht="22.35" customHeight="1" thickBot="1" x14ac:dyDescent="0.25">
      <c r="B22" s="308"/>
      <c r="C22" s="253" t="s">
        <v>61</v>
      </c>
      <c r="D22" s="144"/>
      <c r="E22" s="109" t="s">
        <v>62</v>
      </c>
      <c r="F22" s="18"/>
      <c r="G22" s="27"/>
      <c r="H22" s="45"/>
      <c r="I22" s="28"/>
    </row>
    <row r="23" spans="2:21" s="5" customFormat="1" ht="22.35" customHeight="1" thickBot="1" x14ac:dyDescent="0.25">
      <c r="B23" s="308"/>
      <c r="C23" s="310" t="s">
        <v>64</v>
      </c>
      <c r="D23" s="311"/>
      <c r="E23" s="312"/>
      <c r="F23" s="18"/>
      <c r="G23" s="27"/>
      <c r="H23" s="45"/>
      <c r="I23" s="28"/>
    </row>
    <row r="24" spans="2:21" s="5" customFormat="1" ht="22.35" customHeight="1" x14ac:dyDescent="0.2">
      <c r="B24" s="308"/>
      <c r="C24" s="250" t="s">
        <v>56</v>
      </c>
      <c r="D24" s="301"/>
      <c r="E24" s="302"/>
      <c r="F24" s="18"/>
      <c r="G24" s="27"/>
      <c r="H24" s="45"/>
      <c r="I24" s="28"/>
    </row>
    <row r="25" spans="2:21" s="5" customFormat="1" ht="22.35" customHeight="1" x14ac:dyDescent="0.2">
      <c r="B25" s="308"/>
      <c r="C25" s="251" t="s">
        <v>58</v>
      </c>
      <c r="D25" s="316"/>
      <c r="E25" s="317"/>
      <c r="F25" s="18"/>
      <c r="G25" s="27"/>
      <c r="H25" s="45"/>
      <c r="I25" s="28"/>
    </row>
    <row r="26" spans="2:21" s="5" customFormat="1" ht="22.35" customHeight="1" x14ac:dyDescent="0.2">
      <c r="B26" s="308"/>
      <c r="C26" s="251" t="s">
        <v>59</v>
      </c>
      <c r="D26" s="143"/>
      <c r="E26" s="13" t="s">
        <v>60</v>
      </c>
      <c r="F26" s="18"/>
      <c r="G26" s="27"/>
      <c r="H26" s="45"/>
      <c r="I26" s="28"/>
    </row>
    <row r="27" spans="2:21" s="5" customFormat="1" ht="22.35" customHeight="1" thickBot="1" x14ac:dyDescent="0.25">
      <c r="B27" s="309"/>
      <c r="C27" s="252" t="s">
        <v>61</v>
      </c>
      <c r="D27" s="145"/>
      <c r="E27" s="107" t="s">
        <v>62</v>
      </c>
      <c r="F27" s="18"/>
      <c r="G27" s="27"/>
      <c r="H27" s="45"/>
      <c r="I27" s="28"/>
    </row>
    <row r="28" spans="2:21" s="5" customFormat="1" ht="22.35" customHeight="1" thickBot="1" x14ac:dyDescent="0.25">
      <c r="B28" s="108"/>
      <c r="C28" s="108"/>
      <c r="D28" s="108"/>
      <c r="E28" s="108"/>
      <c r="F28" s="18"/>
      <c r="G28" s="46"/>
      <c r="H28" s="47"/>
      <c r="I28" s="48"/>
    </row>
    <row r="29" spans="2:21" s="5" customFormat="1" ht="22.35" customHeight="1" thickBot="1" x14ac:dyDescent="0.25">
      <c r="B29" s="9"/>
      <c r="C29" s="234" t="s">
        <v>65</v>
      </c>
      <c r="D29" s="9"/>
      <c r="E29" s="9"/>
      <c r="F29" s="18"/>
    </row>
    <row r="30" spans="2:21" ht="22.35" customHeight="1" x14ac:dyDescent="0.2">
      <c r="B30" s="327">
        <v>3</v>
      </c>
      <c r="C30" s="254" t="s">
        <v>66</v>
      </c>
      <c r="D30" s="301"/>
      <c r="E30" s="302"/>
      <c r="F30" s="18"/>
      <c r="G30" s="5"/>
      <c r="H30" s="5"/>
      <c r="I30" s="5"/>
    </row>
    <row r="31" spans="2:21" s="9" customFormat="1" ht="22.35" customHeight="1" x14ac:dyDescent="0.2">
      <c r="B31" s="330"/>
      <c r="C31" s="255" t="s">
        <v>68</v>
      </c>
      <c r="D31" s="289"/>
      <c r="E31" s="290"/>
      <c r="F31" s="18"/>
      <c r="G31" s="5"/>
      <c r="H31" s="5"/>
      <c r="I31" s="5"/>
    </row>
    <row r="32" spans="2:21" s="18" customFormat="1" ht="22.35" customHeight="1" x14ac:dyDescent="0.2">
      <c r="B32" s="330"/>
      <c r="C32" s="255" t="s">
        <v>70</v>
      </c>
      <c r="D32" s="316"/>
      <c r="E32" s="317"/>
      <c r="F32" s="304" t="s">
        <v>72</v>
      </c>
      <c r="G32" s="304"/>
      <c r="H32" s="304"/>
      <c r="I32" s="5"/>
      <c r="O32" s="20"/>
      <c r="P32" s="20"/>
      <c r="Q32" s="21"/>
      <c r="R32" s="6"/>
      <c r="S32" s="6"/>
      <c r="T32" s="6"/>
      <c r="U32" s="7"/>
    </row>
    <row r="33" spans="2:21" s="18" customFormat="1" ht="22.35" customHeight="1" x14ac:dyDescent="0.2">
      <c r="B33" s="330"/>
      <c r="C33" s="255" t="s">
        <v>73</v>
      </c>
      <c r="D33" s="313"/>
      <c r="E33" s="290"/>
      <c r="F33" s="304"/>
      <c r="G33" s="304"/>
      <c r="H33" s="304"/>
      <c r="I33" s="5"/>
      <c r="O33" s="20"/>
      <c r="P33" s="20"/>
      <c r="Q33" s="21"/>
      <c r="R33" s="6"/>
      <c r="S33" s="6"/>
      <c r="T33" s="6"/>
      <c r="U33" s="7"/>
    </row>
    <row r="34" spans="2:21" s="18" customFormat="1" ht="22.35" customHeight="1" thickBot="1" x14ac:dyDescent="0.25">
      <c r="B34" s="331"/>
      <c r="C34" s="256" t="s">
        <v>74</v>
      </c>
      <c r="D34" s="314"/>
      <c r="E34" s="288"/>
      <c r="F34" s="110"/>
      <c r="G34" s="110"/>
      <c r="H34" s="110"/>
      <c r="I34" s="5"/>
      <c r="O34" s="20"/>
      <c r="P34" s="20"/>
      <c r="Q34" s="21"/>
      <c r="R34" s="6"/>
      <c r="S34" s="6"/>
      <c r="T34" s="6"/>
      <c r="U34" s="7"/>
    </row>
    <row r="35" spans="2:21" s="18" customFormat="1" ht="22.35" customHeight="1" x14ac:dyDescent="0.2">
      <c r="B35" s="246"/>
      <c r="C35" s="236"/>
      <c r="D35" s="269"/>
      <c r="E35" s="269"/>
      <c r="F35" s="17"/>
      <c r="G35" s="17"/>
      <c r="H35" s="17"/>
      <c r="I35" s="5"/>
      <c r="O35" s="20"/>
      <c r="P35" s="20"/>
      <c r="Q35" s="21"/>
      <c r="R35" s="6"/>
      <c r="S35" s="6"/>
      <c r="T35" s="6"/>
      <c r="U35" s="7"/>
    </row>
    <row r="36" spans="2:21" s="18" customFormat="1" ht="22.35" customHeight="1" thickBot="1" x14ac:dyDescent="0.25">
      <c r="C36" s="235"/>
      <c r="D36" s="235" t="s">
        <v>217</v>
      </c>
      <c r="E36" s="235" t="s">
        <v>217</v>
      </c>
      <c r="F36" s="236" t="s">
        <v>218</v>
      </c>
      <c r="G36" s="236" t="s">
        <v>218</v>
      </c>
      <c r="H36" s="236" t="s">
        <v>218</v>
      </c>
      <c r="I36" s="5"/>
      <c r="O36" s="20"/>
      <c r="P36" s="20"/>
      <c r="Q36" s="21"/>
      <c r="R36" s="6"/>
      <c r="S36" s="6"/>
      <c r="T36" s="6"/>
      <c r="U36" s="7"/>
    </row>
    <row r="37" spans="2:21" s="5" customFormat="1" ht="73.5" customHeight="1" thickBot="1" x14ac:dyDescent="0.25">
      <c r="B37" s="15"/>
      <c r="C37" s="234" t="s">
        <v>76</v>
      </c>
      <c r="D37" s="266" t="s">
        <v>77</v>
      </c>
      <c r="E37" s="267" t="s">
        <v>276</v>
      </c>
      <c r="F37" s="266" t="s">
        <v>277</v>
      </c>
      <c r="G37" s="267" t="s">
        <v>278</v>
      </c>
      <c r="H37" s="268" t="s">
        <v>279</v>
      </c>
      <c r="K37" s="1"/>
      <c r="L37" s="1"/>
      <c r="M37" s="18"/>
      <c r="N37" s="18"/>
      <c r="O37" s="1"/>
      <c r="P37" s="1"/>
    </row>
    <row r="38" spans="2:21" ht="22.35" customHeight="1" x14ac:dyDescent="0.2">
      <c r="B38" s="327">
        <v>4</v>
      </c>
      <c r="C38" s="263" t="s">
        <v>78</v>
      </c>
      <c r="D38" s="270"/>
      <c r="E38" s="126"/>
      <c r="F38" s="124"/>
      <c r="G38" s="125"/>
      <c r="H38" s="271"/>
    </row>
    <row r="39" spans="2:21" s="5" customFormat="1" ht="22.35" customHeight="1" x14ac:dyDescent="0.2">
      <c r="B39" s="328"/>
      <c r="C39" s="264" t="s">
        <v>79</v>
      </c>
      <c r="D39" s="272"/>
      <c r="E39" s="129"/>
      <c r="F39" s="127"/>
      <c r="G39" s="128"/>
      <c r="H39" s="273"/>
      <c r="K39" s="1"/>
      <c r="L39" s="1"/>
      <c r="M39" s="1"/>
      <c r="N39" s="1"/>
      <c r="O39" s="1"/>
      <c r="P39" s="1"/>
    </row>
    <row r="40" spans="2:21" s="5" customFormat="1" ht="22.35" customHeight="1" x14ac:dyDescent="0.2">
      <c r="B40" s="328"/>
      <c r="C40" s="264" t="s">
        <v>80</v>
      </c>
      <c r="D40" s="272"/>
      <c r="E40" s="129"/>
      <c r="F40" s="127"/>
      <c r="G40" s="128"/>
      <c r="H40" s="273"/>
      <c r="K40" s="8"/>
      <c r="L40" s="12"/>
      <c r="N40" s="7"/>
      <c r="O40" s="7"/>
      <c r="P40" s="1"/>
    </row>
    <row r="41" spans="2:21" s="5" customFormat="1" ht="22.35" customHeight="1" x14ac:dyDescent="0.2">
      <c r="B41" s="328"/>
      <c r="C41" s="264" t="s">
        <v>81</v>
      </c>
      <c r="D41" s="272"/>
      <c r="E41" s="129"/>
      <c r="F41" s="127"/>
      <c r="G41" s="128"/>
      <c r="H41" s="273"/>
      <c r="K41" s="8"/>
      <c r="L41" s="12"/>
      <c r="N41" s="7"/>
      <c r="O41" s="7"/>
      <c r="P41" s="7"/>
    </row>
    <row r="42" spans="2:21" s="5" customFormat="1" ht="22.35" customHeight="1" x14ac:dyDescent="0.2">
      <c r="B42" s="328"/>
      <c r="C42" s="264" t="s">
        <v>82</v>
      </c>
      <c r="D42" s="272"/>
      <c r="E42" s="129"/>
      <c r="F42" s="127"/>
      <c r="G42" s="128"/>
      <c r="H42" s="273"/>
      <c r="K42" s="8"/>
      <c r="L42" s="12"/>
      <c r="M42" s="6"/>
      <c r="N42" s="6"/>
      <c r="O42" s="6"/>
      <c r="P42" s="7"/>
    </row>
    <row r="43" spans="2:21" s="5" customFormat="1" ht="22.35" customHeight="1" thickBot="1" x14ac:dyDescent="0.25">
      <c r="B43" s="329"/>
      <c r="C43" s="265" t="s">
        <v>83</v>
      </c>
      <c r="D43" s="274"/>
      <c r="E43" s="275"/>
      <c r="F43" s="276"/>
      <c r="G43" s="277"/>
      <c r="H43" s="278"/>
      <c r="K43" s="8"/>
      <c r="L43" s="12"/>
      <c r="M43" s="6"/>
      <c r="N43" s="6"/>
      <c r="O43" s="6"/>
      <c r="P43" s="7"/>
    </row>
    <row r="44" spans="2:21" ht="14.25" customHeight="1" x14ac:dyDescent="0.2">
      <c r="I44" s="5"/>
      <c r="O44" s="5"/>
      <c r="P44" s="5"/>
      <c r="Q44" s="5"/>
      <c r="R44" s="5"/>
      <c r="S44" s="5"/>
      <c r="T44" s="5"/>
      <c r="U44" s="7"/>
    </row>
    <row r="45" spans="2:21" s="5" customFormat="1" ht="14.25" customHeight="1" x14ac:dyDescent="0.2">
      <c r="B45" s="1"/>
      <c r="C45" s="10"/>
      <c r="D45" s="1"/>
      <c r="E45" s="1"/>
      <c r="G45" s="49"/>
      <c r="H45" s="49"/>
      <c r="I45" s="49"/>
      <c r="O45" s="8"/>
      <c r="P45" s="8"/>
      <c r="Q45" s="12"/>
      <c r="R45" s="6"/>
      <c r="S45" s="6"/>
      <c r="T45" s="6"/>
      <c r="U45" s="7"/>
    </row>
    <row r="46" spans="2:21" ht="14.25" customHeight="1" x14ac:dyDescent="0.2">
      <c r="B46" s="17"/>
      <c r="C46" s="22"/>
    </row>
    <row r="47" spans="2:21" x14ac:dyDescent="0.2">
      <c r="D47" s="326">
        <v>0.85</v>
      </c>
      <c r="E47" s="326"/>
      <c r="G47" s="5"/>
      <c r="H47" s="5"/>
      <c r="I47" s="5"/>
    </row>
  </sheetData>
  <sheetProtection algorithmName="SHA-512" hashValue="O/et/dRpIb0Oc6X2vXAIMRaJ75SPJg1eHg7kzgH/x13fY73eedAlC6OxkrR/B12xQZUXfMevOdogCMa7dqnf5g==" saltValue="UOaqrrHfzoQ1Pbbo/vgceA==" spinCount="100000" sheet="1" formatColumns="0"/>
  <mergeCells count="24">
    <mergeCell ref="B7:B10"/>
    <mergeCell ref="B38:B43"/>
    <mergeCell ref="D34:E34"/>
    <mergeCell ref="B30:B34"/>
    <mergeCell ref="C18:E18"/>
    <mergeCell ref="D33:E33"/>
    <mergeCell ref="D20:E20"/>
    <mergeCell ref="B13:B27"/>
    <mergeCell ref="D14:E14"/>
    <mergeCell ref="D15:E15"/>
    <mergeCell ref="D19:E19"/>
    <mergeCell ref="C13:E13"/>
    <mergeCell ref="C23:E23"/>
    <mergeCell ref="D47:E47"/>
    <mergeCell ref="D31:E31"/>
    <mergeCell ref="D32:E32"/>
    <mergeCell ref="F32:H33"/>
    <mergeCell ref="D7:E7"/>
    <mergeCell ref="D8:E8"/>
    <mergeCell ref="D30:E30"/>
    <mergeCell ref="D10:E10"/>
    <mergeCell ref="D9:E9"/>
    <mergeCell ref="D24:E24"/>
    <mergeCell ref="D25:E25"/>
  </mergeCells>
  <phoneticPr fontId="38" type="noConversion"/>
  <conditionalFormatting sqref="D33:E33">
    <cfRule type="expression" dxfId="4" priority="5">
      <formula>$D$32="No"</formula>
    </cfRule>
  </conditionalFormatting>
  <conditionalFormatting sqref="D38:H41 D43:H43">
    <cfRule type="expression" dxfId="3" priority="6">
      <formula>$D$30="Leafy Greens"</formula>
    </cfRule>
  </conditionalFormatting>
  <conditionalFormatting sqref="D38:H42">
    <cfRule type="expression" dxfId="2" priority="10">
      <formula>$D$30="Other"</formula>
    </cfRule>
  </conditionalFormatting>
  <conditionalFormatting sqref="D42:H43">
    <cfRule type="expression" dxfId="1" priority="7">
      <formula>$D$30="Cannabis"</formula>
    </cfRule>
  </conditionalFormatting>
  <conditionalFormatting sqref="F32:H33">
    <cfRule type="expression" dxfId="0" priority="8">
      <formula>$D$32="Yes"</formula>
    </cfRule>
  </conditionalFormatting>
  <dataValidations xWindow="1439" yWindow="616" count="6">
    <dataValidation type="whole" allowBlank="1" showInputMessage="1" showErrorMessage="1" sqref="D38:D43" xr:uid="{806C5EFE-1E2A-4EEE-9A7D-0CFF5AA18137}">
      <formula1>1</formula1>
      <formula2>10000</formula2>
    </dataValidation>
    <dataValidation type="whole" allowBlank="1" showInputMessage="1" showErrorMessage="1" sqref="H38:H43" xr:uid="{E7AD0679-6F74-4DEE-9358-8DC290D87F4D}">
      <formula1>0</formula1>
      <formula2>365</formula2>
    </dataValidation>
    <dataValidation type="list" allowBlank="1" showErrorMessage="1" sqref="D32:E32 D34:E35" xr:uid="{E9654306-B2D0-4BF4-A857-F12FA6E5728D}">
      <formula1>"Yes,No"</formula1>
    </dataValidation>
    <dataValidation type="whole" allowBlank="1" showInputMessage="1" showErrorMessage="1" promptTitle="Hours per Day" prompt="Input hours per day lights are on during growing cycle" sqref="F38:F43" xr:uid="{F7D77EF0-BB04-405C-BF9B-C3B708C2B11D}">
      <formula1>0</formula1>
      <formula2>24</formula2>
    </dataValidation>
    <dataValidation type="decimal" errorStyle="warning" allowBlank="1" showInputMessage="1" showErrorMessage="1" errorTitle="Out of range" error="Dimming value must be between 0 and 1." promptTitle="Average Dimming during Cycle" prompt="For dimming control, enter avg % power lights operate in a crop cycle. e.g., If lights operate 50% power for 3 wks, 75% for 3 wks, 90% for 2 wks, and100% for 1 wk, average for crop cycle is [(3) x 50% + (3) x 75%  + (2) x 90% + (1) x 100%]/9 = 72.7%." sqref="D33:E33" xr:uid="{93A84351-4852-4BEF-9812-B3A966D7F395}">
      <formula1>0.5</formula1>
      <formula2>1</formula2>
    </dataValidation>
    <dataValidation type="whole" allowBlank="1" showInputMessage="1" showErrorMessage="1" sqref="G38:G43" xr:uid="{C4779F55-020D-4E89-9C00-CC9B103ECAE5}">
      <formula1>0</formula1>
      <formula2>23</formula2>
    </dataValidation>
  </dataValidations>
  <pageMargins left="0.5" right="0.5" top="0.5" bottom="0.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6C47CBB4-33D0-4A13-B5EC-DD20788B5A97}">
            <xm:f>'Utility Admin'!$E$3="FirstEnergy"</xm:f>
            <x14:dxf>
              <fill>
                <patternFill>
                  <bgColor rgb="FF1E427C"/>
                </patternFill>
              </fill>
            </x14:dxf>
          </x14:cfRule>
          <x14:cfRule type="expression" priority="2" id="{30EB124E-029B-4F5F-8992-5BFEB18119E5}">
            <xm:f>'Utility Admin'!$E$3="PECO"</xm:f>
            <x14:dxf>
              <fill>
                <patternFill>
                  <bgColor rgb="FF6E06C1"/>
                </patternFill>
              </fill>
            </x14:dxf>
          </x14:cfRule>
          <x14:cfRule type="expression" priority="4" id="{0AB28679-8BA5-4C87-94B2-1CFD88BBF46C}">
            <xm:f>'Utility Admin'!$E$3="PPL"</xm:f>
            <x14:dxf>
              <fill>
                <patternFill>
                  <bgColor rgb="FF001489"/>
                </patternFill>
              </fill>
            </x14:dxf>
          </x14:cfRule>
          <xm:sqref>B1:K1</xm:sqref>
        </x14:conditionalFormatting>
      </x14:conditionalFormattings>
    </ext>
    <ext xmlns:x14="http://schemas.microsoft.com/office/spreadsheetml/2009/9/main" uri="{CCE6A557-97BC-4b89-ADB6-D9C93CAAB3DF}">
      <x14:dataValidations xmlns:xm="http://schemas.microsoft.com/office/excel/2006/main" xWindow="1439" yWindow="616" count="4">
        <x14:dataValidation type="list" allowBlank="1" showInputMessage="1" showErrorMessage="1" xr:uid="{F69AB485-6CC6-43F7-94C0-B46A5B1474E9}">
          <x14:formula1>
            <xm:f>'MiscLook-Up'!$B$7:$B$9</xm:f>
          </x14:formula1>
          <xm:sqref>D30:E30</xm:sqref>
        </x14:dataValidation>
        <x14:dataValidation type="list" allowBlank="1" showInputMessage="1" showErrorMessage="1" xr:uid="{06812363-9D41-41C9-AEF3-19B8B43CDF2C}">
          <x14:formula1>
            <xm:f>'MiscLook-Up'!$A$7</xm:f>
          </x14:formula1>
          <xm:sqref>D31:E31</xm:sqref>
        </x14:dataValidation>
        <x14:dataValidation type="list" allowBlank="1" showInputMessage="1" showErrorMessage="1" xr:uid="{2D8D2D4F-7C34-4ACB-94AD-7B44A01C3B5E}">
          <x14:formula1>
            <xm:f>'MiscLook-Up'!$C$7:$C$9</xm:f>
          </x14:formula1>
          <xm:sqref>E38:E43</xm:sqref>
        </x14:dataValidation>
        <x14:dataValidation type="list" errorStyle="warning" allowBlank="1" showInputMessage="1" showErrorMessage="1" promptTitle="Use for dimming strategies only" prompt="Provide average full power for entire crop cycle, based on grower interview. Annual energy use will be reduced proportionally to reflect reduced average lamp wattage. If lights are dimmed on average by 10%, then full power would be 90%" xr:uid="{A3594F82-AC8E-44D8-BFD5-9CE7F3D52198}">
          <x14:formula1>
            <xm:f>'MiscLook-Up'!$E$6:$E$16</xm:f>
          </x14:formula1>
          <xm:sqref>D47:E47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45AF-C39F-4ACA-86CF-DACA085A8EAF}">
  <sheetPr>
    <tabColor rgb="FF00B0F0"/>
  </sheetPr>
  <dimension ref="A1:AI8"/>
  <sheetViews>
    <sheetView zoomScale="80" zoomScaleNormal="80" workbookViewId="0">
      <pane xSplit="1" ySplit="2" topLeftCell="R3" activePane="bottomRight" state="frozen"/>
      <selection pane="topRight" activeCell="B1" sqref="B1"/>
      <selection pane="bottomLeft" activeCell="A3" sqref="A3"/>
      <selection pane="bottomRight" activeCell="AE29" sqref="AE29"/>
    </sheetView>
  </sheetViews>
  <sheetFormatPr defaultRowHeight="14.25" x14ac:dyDescent="0.2"/>
  <cols>
    <col min="1" max="1" width="28.75" customWidth="1"/>
    <col min="2" max="2" width="23" bestFit="1" customWidth="1"/>
    <col min="3" max="9" width="13.5" customWidth="1"/>
    <col min="10" max="10" width="14.75" customWidth="1"/>
    <col min="11" max="39" width="13.5" customWidth="1"/>
  </cols>
  <sheetData>
    <row r="1" spans="1:35" s="193" customFormat="1" ht="57" x14ac:dyDescent="0.2">
      <c r="B1" s="193" t="s">
        <v>245</v>
      </c>
      <c r="D1" s="193" t="s">
        <v>243</v>
      </c>
      <c r="E1" s="193" t="s">
        <v>250</v>
      </c>
      <c r="F1" s="193" t="s">
        <v>234</v>
      </c>
      <c r="G1" s="193" t="s">
        <v>235</v>
      </c>
      <c r="H1" s="193" t="s">
        <v>236</v>
      </c>
      <c r="I1" s="193" t="s">
        <v>237</v>
      </c>
      <c r="J1" s="193" t="s">
        <v>247</v>
      </c>
      <c r="K1" s="193" t="s">
        <v>238</v>
      </c>
      <c r="L1" s="193" t="s">
        <v>251</v>
      </c>
      <c r="M1" s="193" t="s">
        <v>219</v>
      </c>
      <c r="N1" s="193" t="s">
        <v>252</v>
      </c>
      <c r="O1" s="193" t="s">
        <v>254</v>
      </c>
      <c r="P1" s="193" t="s">
        <v>228</v>
      </c>
      <c r="Q1" s="193" t="s">
        <v>220</v>
      </c>
      <c r="R1" s="193" t="s">
        <v>221</v>
      </c>
      <c r="S1" s="193" t="s">
        <v>262</v>
      </c>
      <c r="T1" s="193" t="s">
        <v>263</v>
      </c>
      <c r="U1" s="193" t="s">
        <v>222</v>
      </c>
      <c r="V1" s="193" t="s">
        <v>223</v>
      </c>
      <c r="W1" s="193" t="s">
        <v>224</v>
      </c>
      <c r="X1" s="193" t="s">
        <v>242</v>
      </c>
      <c r="Y1" s="193" t="s">
        <v>241</v>
      </c>
      <c r="Z1" s="193" t="s">
        <v>227</v>
      </c>
      <c r="AA1" s="193" t="s">
        <v>229</v>
      </c>
      <c r="AB1" s="193" t="s">
        <v>230</v>
      </c>
      <c r="AC1" s="193" t="s">
        <v>231</v>
      </c>
      <c r="AD1" s="193" t="s">
        <v>226</v>
      </c>
      <c r="AE1" s="193" t="s">
        <v>232</v>
      </c>
      <c r="AF1" s="193" t="s">
        <v>239</v>
      </c>
      <c r="AG1" s="193" t="s">
        <v>240</v>
      </c>
      <c r="AH1" s="193" t="s">
        <v>233</v>
      </c>
      <c r="AI1" s="193" t="s">
        <v>225</v>
      </c>
    </row>
    <row r="2" spans="1:35" s="192" customFormat="1" ht="75.75" thickBot="1" x14ac:dyDescent="0.25">
      <c r="A2" s="196" t="s">
        <v>261</v>
      </c>
      <c r="B2" s="196" t="s">
        <v>246</v>
      </c>
      <c r="C2" s="196" t="s">
        <v>244</v>
      </c>
      <c r="D2" s="200" t="s">
        <v>118</v>
      </c>
      <c r="E2" s="200" t="s">
        <v>249</v>
      </c>
      <c r="F2" s="197" t="s">
        <v>112</v>
      </c>
      <c r="G2" s="197" t="s">
        <v>113</v>
      </c>
      <c r="H2" s="197" t="s">
        <v>114</v>
      </c>
      <c r="I2" s="197" t="s">
        <v>115</v>
      </c>
      <c r="J2" s="199" t="s">
        <v>248</v>
      </c>
      <c r="K2" s="199" t="s">
        <v>116</v>
      </c>
      <c r="L2" s="200" t="s">
        <v>153</v>
      </c>
      <c r="M2" s="200" t="s">
        <v>90</v>
      </c>
      <c r="N2" s="200" t="s">
        <v>253</v>
      </c>
      <c r="O2" s="197" t="s">
        <v>94</v>
      </c>
      <c r="P2" s="197" t="s">
        <v>111</v>
      </c>
      <c r="Q2" s="197" t="s">
        <v>91</v>
      </c>
      <c r="R2" s="197" t="s">
        <v>92</v>
      </c>
      <c r="S2" s="197" t="s">
        <v>93</v>
      </c>
      <c r="T2" s="197" t="s">
        <v>95</v>
      </c>
      <c r="U2" s="197" t="s">
        <v>96</v>
      </c>
      <c r="V2" s="197" t="s">
        <v>97</v>
      </c>
      <c r="W2" s="197" t="s">
        <v>98</v>
      </c>
      <c r="X2" s="197" t="s">
        <v>99</v>
      </c>
      <c r="Y2" s="197" t="s">
        <v>100</v>
      </c>
      <c r="Z2" s="197" t="s">
        <v>101</v>
      </c>
      <c r="AA2" s="197" t="s">
        <v>102</v>
      </c>
      <c r="AB2" s="197" t="s">
        <v>103</v>
      </c>
      <c r="AC2" s="197" t="s">
        <v>104</v>
      </c>
      <c r="AD2" s="197" t="s">
        <v>105</v>
      </c>
      <c r="AE2" s="197" t="s">
        <v>106</v>
      </c>
      <c r="AF2" s="197" t="s">
        <v>107</v>
      </c>
      <c r="AG2" s="197" t="s">
        <v>108</v>
      </c>
      <c r="AH2" s="197" t="s">
        <v>109</v>
      </c>
      <c r="AI2" s="197" t="s">
        <v>110</v>
      </c>
    </row>
    <row r="3" spans="1:35" ht="15" thickTop="1" x14ac:dyDescent="0.2">
      <c r="A3" s="203" t="s">
        <v>255</v>
      </c>
      <c r="B3" s="40" t="str">
        <f>IF($D3="", "", "GreenHouseHortLighting")</f>
        <v/>
      </c>
      <c r="C3" s="40" t="str">
        <f>IF($D3="", "", "Prescriptive")</f>
        <v/>
      </c>
      <c r="D3" s="40" t="str">
        <f t="shared" ref="D3:D8" si="0" xml:space="preserve"> IF(OR(F3="", F3=0), "", Q3)</f>
        <v/>
      </c>
      <c r="E3" s="201" t="str">
        <f>IF($D3="", "", IF('Greenhouse HortLighting_Inputs'!$D$9="", "",'Greenhouse HortLighting_Inputs'!$D$9))</f>
        <v/>
      </c>
      <c r="F3" s="40" t="str">
        <f>IF(Calc!AD15="", "", IFERROR(Calc!AD15,""))</f>
        <v/>
      </c>
      <c r="G3" s="198" t="str">
        <f>IF($D3="", "", IF(Calc!AI15="", "", IFERROR(Calc!AI15,"")))</f>
        <v/>
      </c>
      <c r="H3" s="198" t="str">
        <f>IF($D3="", "", IF(Calc!AJ15="", "", IFERROR(Calc!AJ15,"")))</f>
        <v/>
      </c>
      <c r="I3" s="198" t="str">
        <f>IF($D3="", "", IF(Calc!AK15="", "", IFERROR(Calc!AK15,"")))</f>
        <v/>
      </c>
      <c r="J3" s="194" t="str">
        <f>IF($D3="", "", IF(#REF!="", "",#REF!))</f>
        <v/>
      </c>
      <c r="K3" s="194" t="str">
        <f t="shared" ref="K3:K8" si="1">IF($D3="", "", IF(J3="", "", IFERROR(ROUND($F3 * $J3, 2),"")))</f>
        <v/>
      </c>
      <c r="L3" s="40" t="str">
        <f>IF($D3="", "", IF('Greenhouse HortLighting_Inputs'!$D$30="", "",'Greenhouse HortLighting_Inputs'!$D$30))</f>
        <v/>
      </c>
      <c r="M3" s="40" t="str">
        <f>IF($D3="", "", IF('Greenhouse HortLighting_Inputs'!$D$31="", "",'Greenhouse HortLighting_Inputs'!$D$31))</f>
        <v/>
      </c>
      <c r="N3" s="40" t="str">
        <f>IF($D3="", "", IF('Greenhouse HortLighting_Inputs'!$D$32="", "",IF('Greenhouse HortLighting_Inputs'!$D$32="Yes", "Dimmers", "None")))</f>
        <v/>
      </c>
      <c r="O3" s="40" t="str">
        <f>IF($D3="", "", IF('Greenhouse HortLighting_Inputs'!$D$34="", "",IF('Greenhouse HortLighting_Inputs'!$D$34="Yes", "Mechanically Cooled","No Mechanical Cooling")))</f>
        <v/>
      </c>
      <c r="P3" s="40" t="str">
        <f>IF($D3="", "", IF('Greenhouse HortLighting_Inputs'!$D$33="", "",'Greenhouse HortLighting_Inputs'!$D$33))</f>
        <v/>
      </c>
      <c r="Q3" s="202" t="str">
        <f xml:space="preserve"> IF(OR(F3="", F3=0), "", IF(Calc!C15="", "", Calc!C15))</f>
        <v/>
      </c>
      <c r="R3" s="195" t="str">
        <f>IF($D3="","",IF('Greenhouse HortLighting_Inputs'!D16="","",'Greenhouse HortLighting_Inputs'!D16))</f>
        <v/>
      </c>
      <c r="S3" s="195" t="str">
        <f>IF($D3="","",IF('Greenhouse HortLighting_Inputs'!D17="","",'Greenhouse HortLighting_Inputs'!D17))</f>
        <v/>
      </c>
      <c r="T3" s="195" t="str">
        <f>IF($D3="","",IF('Greenhouse HortLighting_Inputs'!F38="","",'Greenhouse HortLighting_Inputs'!F38))</f>
        <v/>
      </c>
      <c r="U3" s="195" t="str">
        <f>IF($D3="","",IF(Calc!G15="","",Calc!G15))</f>
        <v/>
      </c>
      <c r="V3" s="195" t="str">
        <f>IF($D3="","",IF(Calc!D15="","",Calc!D15))</f>
        <v/>
      </c>
      <c r="W3" s="195" t="str">
        <f>IF($D3="","",IF(Calc!E15="","",Calc!E15))</f>
        <v/>
      </c>
      <c r="X3" s="195" t="str">
        <f>IF($D3="","",IF(Calc!K15="","",Calc!K15))</f>
        <v/>
      </c>
      <c r="Y3" s="195" t="str">
        <f>IF($D3="","",IF(Calc!K15="","",Calc!K15))</f>
        <v/>
      </c>
      <c r="Z3" s="195" t="str">
        <f>IF($D3="","",IF(Calc!L15="","",Calc!L15))</f>
        <v/>
      </c>
      <c r="AA3" s="205" t="str">
        <f>IF($D3="","",IF(Calc!Y15="","",Calc!Y15))</f>
        <v/>
      </c>
      <c r="AB3" s="205" t="str">
        <f>IF($D3="","",IF(Calc!Z15="","",Calc!Z15))</f>
        <v/>
      </c>
      <c r="AC3" s="205" t="str">
        <f>IF($D3="","",IF(Calc!AA15="","",Calc!AA15))</f>
        <v/>
      </c>
      <c r="AD3" s="205" t="str">
        <f>IF($D3="","",IF(Calc!S15="","",Calc!S15))</f>
        <v/>
      </c>
      <c r="AE3" s="205" t="str">
        <f>IF($D3="","",IF(Calc!T15="","",Calc!T15))</f>
        <v/>
      </c>
      <c r="AF3" s="205" t="str">
        <f>IF($D3="","",IF(Calc!U15="","",Calc!U15))</f>
        <v/>
      </c>
      <c r="AG3" s="205" t="str">
        <f>IF($D3="","",IF(Calc!V15="","",Calc!V15))</f>
        <v/>
      </c>
      <c r="AH3" s="205" t="str">
        <f>IF($D3="","",IF(Calc!W15="","",Calc!W15))</f>
        <v/>
      </c>
      <c r="AI3" s="205" t="str">
        <f>IF($D3="","",IF(Calc!X15="","",Calc!X15))</f>
        <v/>
      </c>
    </row>
    <row r="4" spans="1:35" x14ac:dyDescent="0.2">
      <c r="A4" s="203" t="s">
        <v>256</v>
      </c>
      <c r="B4" s="40" t="str">
        <f t="shared" ref="B4:B5" si="2">IF($D4="", "", "GreenHouseHortLighting")</f>
        <v/>
      </c>
      <c r="C4" s="40" t="str">
        <f>IF($D4="", "", "Prescriptive")</f>
        <v/>
      </c>
      <c r="D4" s="40" t="str">
        <f t="shared" si="0"/>
        <v/>
      </c>
      <c r="E4" s="201" t="str">
        <f>IF($D4="", "", IF('Greenhouse HortLighting_Inputs'!$D$9="", "",'Greenhouse HortLighting_Inputs'!$D$9))</f>
        <v/>
      </c>
      <c r="F4" s="40" t="str">
        <f>IF(Calc!AD16="", "", IFERROR(Calc!AD16,""))</f>
        <v/>
      </c>
      <c r="G4" s="198" t="str">
        <f>IF($D4="", "", IF(Calc!AI16="", "", IFERROR(Calc!AI16,"")))</f>
        <v/>
      </c>
      <c r="H4" s="198" t="str">
        <f>IF($D4="", "", IF(Calc!AJ16="", "", IFERROR(Calc!AJ16,"")))</f>
        <v/>
      </c>
      <c r="I4" s="198" t="str">
        <f>IF($D4="", "", IF(Calc!AK16="", "", IFERROR(Calc!AK16,"")))</f>
        <v/>
      </c>
      <c r="J4" s="194" t="str">
        <f>IF($D4="", "", IF(#REF!="", "",#REF!))</f>
        <v/>
      </c>
      <c r="K4" s="194" t="str">
        <f t="shared" si="1"/>
        <v/>
      </c>
      <c r="L4" s="40" t="str">
        <f>IF($D4="", "", IF('Greenhouse HortLighting_Inputs'!$D$30="", "",'Greenhouse HortLighting_Inputs'!$D$30))</f>
        <v/>
      </c>
      <c r="M4" s="40" t="str">
        <f>IF($D4="", "", IF('Greenhouse HortLighting_Inputs'!$D$31="", "",'Greenhouse HortLighting_Inputs'!$D$31))</f>
        <v/>
      </c>
      <c r="N4" s="40" t="str">
        <f>IF($D4="", "", IF('Greenhouse HortLighting_Inputs'!$D$32="", "",IF('Greenhouse HortLighting_Inputs'!$D$32="Yes", "Dimmers", "None")))</f>
        <v/>
      </c>
      <c r="O4" s="40" t="str">
        <f>IF($D4="", "", IF('Greenhouse HortLighting_Inputs'!$D$34="", "",IF('Greenhouse HortLighting_Inputs'!$D$34="Yes", "Mechanically Cooled","No Mechanical Cooling")))</f>
        <v/>
      </c>
      <c r="P4" s="40" t="str">
        <f>IF($D4="", "", IF('Greenhouse HortLighting_Inputs'!$D$33="", "",'Greenhouse HortLighting_Inputs'!$D$33))</f>
        <v/>
      </c>
      <c r="Q4" s="202" t="str">
        <f xml:space="preserve"> IF(OR(F4="", F4=0), "", IF(Calc!C16="", "", Calc!C16))</f>
        <v/>
      </c>
      <c r="R4" s="195" t="str">
        <f>IF($D4="","",IF('Greenhouse HortLighting_Inputs'!D21="","",'Greenhouse HortLighting_Inputs'!D21))</f>
        <v/>
      </c>
      <c r="S4" s="195" t="str">
        <f>IF($D4="","",IF('Greenhouse HortLighting_Inputs'!D22="","",'Greenhouse HortLighting_Inputs'!D22))</f>
        <v/>
      </c>
      <c r="T4" s="195" t="str">
        <f>IF($D4="","",IF('Greenhouse HortLighting_Inputs'!F39="","",'Greenhouse HortLighting_Inputs'!F39))</f>
        <v/>
      </c>
      <c r="U4" s="195" t="str">
        <f>IF($D4="","",IF(Calc!G16="","",Calc!G16))</f>
        <v/>
      </c>
      <c r="V4" s="195" t="str">
        <f>IF($D4="","",IF(Calc!D16="","",Calc!D16))</f>
        <v/>
      </c>
      <c r="W4" s="195" t="str">
        <f>IF($D4="","",IF(Calc!E16="","",Calc!E16))</f>
        <v/>
      </c>
      <c r="X4" s="195" t="str">
        <f>IF($D4="","",IF(Calc!K16="","",Calc!K16))</f>
        <v/>
      </c>
      <c r="Y4" s="195" t="str">
        <f>IF($D4="","",IF(Calc!K16="","",Calc!K16))</f>
        <v/>
      </c>
      <c r="Z4" s="195" t="str">
        <f>IF($D4="","",IF(Calc!L16="","",Calc!L16))</f>
        <v/>
      </c>
      <c r="AA4" s="205" t="str">
        <f>IF($D4="","",IF(Calc!Y16="","",Calc!Y16))</f>
        <v/>
      </c>
      <c r="AB4" s="205" t="str">
        <f>IF($D4="","",IF(Calc!Z16="","",Calc!Z16))</f>
        <v/>
      </c>
      <c r="AC4" s="205" t="str">
        <f>IF($D4="","",IF(Calc!AA16="","",Calc!AA16))</f>
        <v/>
      </c>
      <c r="AD4" s="205" t="str">
        <f>IF($D4="","",IF(Calc!S16="","",Calc!S16))</f>
        <v/>
      </c>
      <c r="AE4" s="205" t="str">
        <f>IF($D4="","",IF(Calc!T16="","",Calc!T16))</f>
        <v/>
      </c>
      <c r="AF4" s="205" t="str">
        <f>IF($D4="","",IF(Calc!U16="","",Calc!U16))</f>
        <v/>
      </c>
      <c r="AG4" s="205" t="str">
        <f>IF($D4="","",IF(Calc!V16="","",Calc!V16))</f>
        <v/>
      </c>
      <c r="AH4" s="205" t="str">
        <f>IF($D4="","",IF(Calc!W16="","",Calc!W16))</f>
        <v/>
      </c>
      <c r="AI4" s="205" t="str">
        <f>IF($D4="","",IF(Calc!X16="","",Calc!X16))</f>
        <v/>
      </c>
    </row>
    <row r="5" spans="1:35" x14ac:dyDescent="0.2">
      <c r="A5" s="203" t="s">
        <v>257</v>
      </c>
      <c r="B5" s="40" t="str">
        <f t="shared" si="2"/>
        <v/>
      </c>
      <c r="C5" s="40" t="str">
        <f>IF($D5="", "", "Prescriptive")</f>
        <v/>
      </c>
      <c r="D5" s="40" t="str">
        <f t="shared" si="0"/>
        <v/>
      </c>
      <c r="E5" s="201" t="str">
        <f>IF($D5="", "", IF('Greenhouse HortLighting_Inputs'!$D$9="", "",'Greenhouse HortLighting_Inputs'!$D$9))</f>
        <v/>
      </c>
      <c r="F5" s="40" t="str">
        <f>IF(Calc!AD17="", "", IFERROR(Calc!AD17,""))</f>
        <v/>
      </c>
      <c r="G5" s="198" t="str">
        <f>IF($D5="", "", IF(Calc!AI17="", "", IFERROR(Calc!AI17,"")))</f>
        <v/>
      </c>
      <c r="H5" s="198" t="str">
        <f>IF($D5="", "", IF(Calc!AJ17="", "", IFERROR(Calc!AJ17,"")))</f>
        <v/>
      </c>
      <c r="I5" s="198" t="str">
        <f>IF($D5="", "", IF(Calc!AK17="", "", IFERROR(Calc!AK17,"")))</f>
        <v/>
      </c>
      <c r="J5" s="194" t="str">
        <f>IF($D5="", "", IF(#REF!="", "",#REF!))</f>
        <v/>
      </c>
      <c r="K5" s="194" t="str">
        <f t="shared" si="1"/>
        <v/>
      </c>
      <c r="L5" s="40" t="str">
        <f>IF($D5="", "", IF('Greenhouse HortLighting_Inputs'!$D$30="", "",'Greenhouse HortLighting_Inputs'!$D$30))</f>
        <v/>
      </c>
      <c r="M5" s="40" t="str">
        <f>IF($D5="", "", IF('Greenhouse HortLighting_Inputs'!$D$31="", "",'Greenhouse HortLighting_Inputs'!$D$31))</f>
        <v/>
      </c>
      <c r="N5" s="40" t="str">
        <f>IF($D5="", "", IF('Greenhouse HortLighting_Inputs'!$D$32="", "",IF('Greenhouse HortLighting_Inputs'!$D$32="Yes", "Dimmers", "None")))</f>
        <v/>
      </c>
      <c r="O5" s="40" t="str">
        <f>IF($D5="", "", IF('Greenhouse HortLighting_Inputs'!$D$34="", "",IF('Greenhouse HortLighting_Inputs'!$D$34="Yes", "Mechanically Cooled","No Mechanical Cooling")))</f>
        <v/>
      </c>
      <c r="P5" s="40" t="str">
        <f>IF($D5="", "", IF('Greenhouse HortLighting_Inputs'!$D$33="", "",'Greenhouse HortLighting_Inputs'!$D$33))</f>
        <v/>
      </c>
      <c r="Q5" s="202" t="str">
        <f xml:space="preserve"> IF(OR(F5="", F5=0), "", IF(Calc!C17="", "", Calc!C17))</f>
        <v/>
      </c>
      <c r="R5" s="195" t="str">
        <f>IF($D5="","",IF('Greenhouse HortLighting_Inputs'!D26="","",'Greenhouse HortLighting_Inputs'!D26))</f>
        <v/>
      </c>
      <c r="S5" s="195" t="str">
        <f>IF($D5="","",IF('Greenhouse HortLighting_Inputs'!D27="","",'Greenhouse HortLighting_Inputs'!D27))</f>
        <v/>
      </c>
      <c r="T5" s="195" t="str">
        <f>IF($D5="","",IF('Greenhouse HortLighting_Inputs'!F40="","",'Greenhouse HortLighting_Inputs'!F40))</f>
        <v/>
      </c>
      <c r="U5" s="195" t="str">
        <f>IF($D5="","",IF(Calc!G17="","",Calc!G17))</f>
        <v/>
      </c>
      <c r="V5" s="195" t="str">
        <f>IF($D5="","",IF(Calc!D17="","",Calc!D17))</f>
        <v/>
      </c>
      <c r="W5" s="195" t="str">
        <f>IF($D5="","",IF(Calc!E17="","",Calc!E17))</f>
        <v/>
      </c>
      <c r="X5" s="195" t="str">
        <f>IF($D5="","",IF(Calc!K17="","",Calc!K17))</f>
        <v/>
      </c>
      <c r="Y5" s="195" t="str">
        <f>IF($D5="","",IF(Calc!K17="","",Calc!K17))</f>
        <v/>
      </c>
      <c r="Z5" s="195" t="str">
        <f>IF($D5="","",IF(Calc!L17="","",Calc!L17))</f>
        <v/>
      </c>
      <c r="AA5" s="205" t="str">
        <f>IF($D5="","",IF(Calc!Y17="","",Calc!Y17))</f>
        <v/>
      </c>
      <c r="AB5" s="205" t="str">
        <f>IF($D5="","",IF(Calc!Z17="","",Calc!Z17))</f>
        <v/>
      </c>
      <c r="AC5" s="205" t="str">
        <f>IF($D5="","",IF(Calc!AA17="","",Calc!AA17))</f>
        <v/>
      </c>
      <c r="AD5" s="205" t="str">
        <f>IF($D5="","",IF(Calc!S17="","",Calc!S17))</f>
        <v/>
      </c>
      <c r="AE5" s="205" t="str">
        <f>IF($D5="","",IF(Calc!T17="","",Calc!T17))</f>
        <v/>
      </c>
      <c r="AF5" s="205" t="str">
        <f>IF($D5="","",IF(Calc!U17="","",Calc!U17))</f>
        <v/>
      </c>
      <c r="AG5" s="205" t="str">
        <f>IF($D5="","",IF(Calc!V17="","",Calc!V17))</f>
        <v/>
      </c>
      <c r="AH5" s="205" t="str">
        <f>IF($D5="","",IF(Calc!W17="","",Calc!W17))</f>
        <v/>
      </c>
      <c r="AI5" s="205" t="str">
        <f>IF($D5="","",IF(Calc!X17="","",Calc!X17))</f>
        <v/>
      </c>
    </row>
    <row r="6" spans="1:35" x14ac:dyDescent="0.2">
      <c r="A6" s="204" t="s">
        <v>258</v>
      </c>
      <c r="B6" s="191" t="str">
        <f>IF($D6="", "", "IndoorHortLighting")</f>
        <v/>
      </c>
      <c r="C6" s="191" t="str">
        <f>IF($D6="", "", "Prescriptive")</f>
        <v/>
      </c>
      <c r="D6" s="191" t="str">
        <f t="shared" si="0"/>
        <v/>
      </c>
      <c r="E6" s="201" t="str">
        <f>IF($D6="", "", IF('Indoor HortLighting_Inputs'!$D$9="", "",'Indoor HortLighting_Inputs'!$D$9))</f>
        <v/>
      </c>
      <c r="F6" s="40" t="str">
        <f>IF(Calc!AD5="", "", IFERROR(Calc!AD5,""))</f>
        <v/>
      </c>
      <c r="G6" s="198" t="str">
        <f>IF($D6="", "", IF(Calc!AI5="", "", IFERROR(Calc!AI5,"")))</f>
        <v/>
      </c>
      <c r="H6" s="198" t="str">
        <f>IF($D6="", "", IF(Calc!AJ5="", "", IFERROR(Calc!AJ5,"")))</f>
        <v/>
      </c>
      <c r="I6" s="198" t="str">
        <f>IF($D6="", "", IF(Calc!AK5="", "", IFERROR(Calc!AK5,"")))</f>
        <v/>
      </c>
      <c r="J6" s="194" t="str">
        <f>IF($D6="", "", IF(#REF!="", "",#REF!))</f>
        <v/>
      </c>
      <c r="K6" s="194" t="str">
        <f t="shared" si="1"/>
        <v/>
      </c>
      <c r="L6" s="40" t="str">
        <f>IF($D6="", "", IF('Indoor HortLighting_Inputs'!$D$30="", "",'Indoor HortLighting_Inputs'!$D$30))</f>
        <v/>
      </c>
      <c r="M6" s="40" t="str">
        <f>IF($D6="", "", IF('Indoor HortLighting_Inputs'!$D$31="", "",'Indoor HortLighting_Inputs'!$D$31))</f>
        <v/>
      </c>
      <c r="N6" s="40" t="str">
        <f>IF($D6="", "", IF('Indoor HortLighting_Inputs'!$D$32="", "",IF('Indoor HortLighting_Inputs'!$D$32="Yes", "Dimmers", "None")))</f>
        <v/>
      </c>
      <c r="O6" s="40" t="str">
        <f>IF($D6="", "", IF('Indoor HortLighting_Inputs'!$D$34="", "",IF('Indoor HortLighting_Inputs'!$D$34="Yes", "Mechanically Cooled","No Mechanical Cooling")))</f>
        <v/>
      </c>
      <c r="P6" s="194" t="str">
        <f>IF($D6="", "", IF('Indoor HortLighting_Inputs'!$D$33="", "",'Indoor HortLighting_Inputs'!$D$33))</f>
        <v/>
      </c>
      <c r="Q6" s="202" t="str">
        <f xml:space="preserve"> IF(OR(F6="", F6=0), "", IF(Calc!C5="", "", Calc!C5))</f>
        <v/>
      </c>
      <c r="R6" s="195" t="str">
        <f>IF($D6="","",IF('Indoor HortLighting_Inputs'!D16="","",'Indoor HortLighting_Inputs'!D16))</f>
        <v/>
      </c>
      <c r="S6" s="195" t="str">
        <f>IF($D6="","",IF('Indoor HortLighting_Inputs'!D17="","",'Indoor HortLighting_Inputs'!D17))</f>
        <v/>
      </c>
      <c r="T6" s="195" t="str">
        <f>IF($D6="","",IF('Indoor HortLighting_Inputs'!F38="","",'Indoor HortLighting_Inputs'!F38))</f>
        <v/>
      </c>
      <c r="U6" s="195" t="str">
        <f>IF($D6="","",IF(Calc!G5="","",Calc!G5))</f>
        <v/>
      </c>
      <c r="V6" s="195" t="str">
        <f>IF($D6="","",IF(Calc!D5="","",Calc!D5))</f>
        <v/>
      </c>
      <c r="W6" s="195" t="str">
        <f>IF($D6="","",IF(Calc!E5="","",Calc!E5))</f>
        <v/>
      </c>
      <c r="X6" s="195" t="str">
        <f>IF($D6="","",IF(Calc!K5="","",Calc!K5))</f>
        <v/>
      </c>
      <c r="Y6" s="195" t="str">
        <f>IF($D6="","",IF(Calc!K5="","",Calc!K5))</f>
        <v/>
      </c>
      <c r="Z6" s="195" t="str">
        <f>IF($D6="","",IF(Calc!L5="","",Calc!L5))</f>
        <v/>
      </c>
      <c r="AA6" s="205" t="str">
        <f>IF($D6="","",IF(Calc!Y5="","",Calc!Y5))</f>
        <v/>
      </c>
      <c r="AB6" s="205" t="str">
        <f>IF($D6="","",IF(Calc!Z5="","",Calc!Z5))</f>
        <v/>
      </c>
      <c r="AC6" s="205" t="str">
        <f>IF($D6="","",IF(Calc!AA5="","",Calc!AA5))</f>
        <v/>
      </c>
      <c r="AD6" s="205" t="str">
        <f>IF($D6="","",IF(Calc!S5="","",Calc!S5))</f>
        <v/>
      </c>
      <c r="AE6" s="205" t="str">
        <f>IF($D6="","",IF(Calc!T5="","",Calc!T5))</f>
        <v/>
      </c>
      <c r="AF6" s="205" t="str">
        <f>IF($D6="","",IF(Calc!U5="","",Calc!U5))</f>
        <v/>
      </c>
      <c r="AG6" s="205" t="str">
        <f>IF($D6="","",IF(Calc!V5="","",Calc!V5))</f>
        <v/>
      </c>
      <c r="AH6" s="205" t="str">
        <f>IF($D6="","",IF(Calc!W5="","",Calc!W5))</f>
        <v/>
      </c>
      <c r="AI6" s="205" t="str">
        <f>IF($D6="","",IF(Calc!X5="","",Calc!X5))</f>
        <v/>
      </c>
    </row>
    <row r="7" spans="1:35" x14ac:dyDescent="0.2">
      <c r="A7" s="204" t="s">
        <v>259</v>
      </c>
      <c r="B7" s="191" t="str">
        <f t="shared" ref="B7:B8" si="3">IF($D7="", "", "IndoorHortLighting")</f>
        <v/>
      </c>
      <c r="C7" s="191" t="str">
        <f t="shared" ref="C7:C8" si="4">IF($D7="", "", "Prescriptive")</f>
        <v/>
      </c>
      <c r="D7" s="191" t="str">
        <f t="shared" si="0"/>
        <v/>
      </c>
      <c r="E7" s="201" t="str">
        <f>IF($D7="", "", IF('Indoor HortLighting_Inputs'!$D$9="", "",'Indoor HortLighting_Inputs'!$D$9))</f>
        <v/>
      </c>
      <c r="F7" s="40" t="str">
        <f>IF(Calc!AD6="", "", IFERROR(Calc!AD6,""))</f>
        <v/>
      </c>
      <c r="G7" s="198" t="str">
        <f>IF($D7="", "", IF(Calc!AI6="", "", IFERROR(Calc!AI6,"")))</f>
        <v/>
      </c>
      <c r="H7" s="198" t="str">
        <f>IF($D7="", "", IF(Calc!AJ6="", "", IFERROR(Calc!AJ6,"")))</f>
        <v/>
      </c>
      <c r="I7" s="198" t="str">
        <f>IF($D7="", "", IF(Calc!AK6="", "", IFERROR(Calc!AK6,"")))</f>
        <v/>
      </c>
      <c r="J7" s="194" t="str">
        <f>IF($D7="", "", IF(#REF!="", "",#REF!))</f>
        <v/>
      </c>
      <c r="K7" s="194" t="str">
        <f t="shared" si="1"/>
        <v/>
      </c>
      <c r="L7" s="40" t="str">
        <f>IF($D7="", "", IF('Indoor HortLighting_Inputs'!$D$30="", "",'Indoor HortLighting_Inputs'!$D$30))</f>
        <v/>
      </c>
      <c r="M7" s="40" t="str">
        <f>IF($D7="", "", IF('Indoor HortLighting_Inputs'!$D$31="", "",'Indoor HortLighting_Inputs'!$D$31))</f>
        <v/>
      </c>
      <c r="N7" s="40" t="str">
        <f>IF($D7="", "", IF('Indoor HortLighting_Inputs'!$D$32="", "",IF('Indoor HortLighting_Inputs'!$D$32="Yes", "Dimmers", "None")))</f>
        <v/>
      </c>
      <c r="O7" s="40" t="str">
        <f>IF($D7="", "", IF('Indoor HortLighting_Inputs'!$D$34="", "",IF('Indoor HortLighting_Inputs'!$D$34="Yes", "Mechanically Cooled","No Mechanical Cooling")))</f>
        <v/>
      </c>
      <c r="P7" s="194" t="str">
        <f>IF($D7="", "", IF('Indoor HortLighting_Inputs'!$D$33="", "",'Indoor HortLighting_Inputs'!$D$33))</f>
        <v/>
      </c>
      <c r="Q7" s="202" t="str">
        <f xml:space="preserve"> IF(OR(F7="", F7=0), "", IF(Calc!C6="", "", Calc!C6))</f>
        <v/>
      </c>
      <c r="R7" s="195" t="str">
        <f>IF($D7="","",IF('Indoor HortLighting_Inputs'!D21="","",'Indoor HortLighting_Inputs'!D21))</f>
        <v/>
      </c>
      <c r="S7" s="195" t="str">
        <f>IF($D7="","",IF('Indoor HortLighting_Inputs'!D22="","",'Indoor HortLighting_Inputs'!D22))</f>
        <v/>
      </c>
      <c r="T7" s="195" t="str">
        <f>IF($D7="","",IF('Indoor HortLighting_Inputs'!F39="","",'Indoor HortLighting_Inputs'!F39))</f>
        <v/>
      </c>
      <c r="U7" s="195" t="str">
        <f>IF($D7="","",IF(Calc!G6="","",Calc!G6))</f>
        <v/>
      </c>
      <c r="V7" s="195" t="str">
        <f>IF($D7="","",IF(Calc!D6="","",Calc!D6))</f>
        <v/>
      </c>
      <c r="W7" s="195" t="str">
        <f>IF($D7="","",IF(Calc!E6="","",Calc!E6))</f>
        <v/>
      </c>
      <c r="X7" s="195" t="str">
        <f>IF($D7="","",IF(Calc!K6="","",Calc!K6))</f>
        <v/>
      </c>
      <c r="Y7" s="195" t="str">
        <f>IF($D7="","",IF(Calc!K6="","",Calc!K6))</f>
        <v/>
      </c>
      <c r="Z7" s="195" t="str">
        <f>IF($D7="","",IF(Calc!L6="","",Calc!L6))</f>
        <v/>
      </c>
      <c r="AA7" s="205" t="str">
        <f>IF($D7="","",IF(Calc!Y6="","",Calc!Y6))</f>
        <v/>
      </c>
      <c r="AB7" s="205" t="str">
        <f>IF($D7="","",IF(Calc!Z6="","",Calc!Z6))</f>
        <v/>
      </c>
      <c r="AC7" s="205" t="str">
        <f>IF($D7="","",IF(Calc!AA6="","",Calc!AA6))</f>
        <v/>
      </c>
      <c r="AD7" s="205" t="str">
        <f>IF($D7="","",IF(Calc!S6="","",Calc!S6))</f>
        <v/>
      </c>
      <c r="AE7" s="205" t="str">
        <f>IF($D7="","",IF(Calc!T6="","",Calc!T6))</f>
        <v/>
      </c>
      <c r="AF7" s="205" t="str">
        <f>IF($D7="","",IF(Calc!U6="","",Calc!U6))</f>
        <v/>
      </c>
      <c r="AG7" s="205" t="str">
        <f>IF($D7="","",IF(Calc!V6="","",Calc!V6))</f>
        <v/>
      </c>
      <c r="AH7" s="205" t="str">
        <f>IF($D7="","",IF(Calc!W6="","",Calc!W6))</f>
        <v/>
      </c>
      <c r="AI7" s="205" t="str">
        <f>IF($D7="","",IF(Calc!X6="","",Calc!X6))</f>
        <v/>
      </c>
    </row>
    <row r="8" spans="1:35" x14ac:dyDescent="0.2">
      <c r="A8" s="204" t="s">
        <v>260</v>
      </c>
      <c r="B8" s="191" t="str">
        <f t="shared" si="3"/>
        <v/>
      </c>
      <c r="C8" s="191" t="str">
        <f t="shared" si="4"/>
        <v/>
      </c>
      <c r="D8" s="191" t="str">
        <f t="shared" si="0"/>
        <v/>
      </c>
      <c r="E8" s="201" t="str">
        <f>IF($D8="", "", IF('Indoor HortLighting_Inputs'!$D$9="", "",'Indoor HortLighting_Inputs'!$D$9))</f>
        <v/>
      </c>
      <c r="F8" s="40" t="str">
        <f>IF(Calc!AD7="", "", IFERROR(Calc!AD7,""))</f>
        <v/>
      </c>
      <c r="G8" s="198" t="str">
        <f>IF($D8="", "", IF(Calc!AI7="", "", IFERROR(Calc!AI7,"")))</f>
        <v/>
      </c>
      <c r="H8" s="198" t="str">
        <f>IF($D8="", "", IF(Calc!AJ7="", "", IFERROR(Calc!AJ7,"")))</f>
        <v/>
      </c>
      <c r="I8" s="198" t="str">
        <f>IF($D8="", "", IF(Calc!AK7="", "", IFERROR(Calc!AK7,"")))</f>
        <v/>
      </c>
      <c r="J8" s="194" t="str">
        <f>IF($D8="", "", IF(#REF!="", "",#REF!))</f>
        <v/>
      </c>
      <c r="K8" s="194" t="str">
        <f t="shared" si="1"/>
        <v/>
      </c>
      <c r="L8" s="40" t="str">
        <f>IF($D8="", "", IF('Indoor HortLighting_Inputs'!$D$30="", "",'Indoor HortLighting_Inputs'!$D$30))</f>
        <v/>
      </c>
      <c r="M8" s="40" t="str">
        <f>IF($D8="", "", IF('Indoor HortLighting_Inputs'!$D$31="", "",'Indoor HortLighting_Inputs'!$D$31))</f>
        <v/>
      </c>
      <c r="N8" s="40" t="str">
        <f>IF($D8="", "", IF('Indoor HortLighting_Inputs'!$D$32="", "",IF('Indoor HortLighting_Inputs'!$D$32="Yes", "Dimmers", "None")))</f>
        <v/>
      </c>
      <c r="O8" s="40" t="str">
        <f>IF($D8="", "", IF('Indoor HortLighting_Inputs'!$D$34="", "",IF('Indoor HortLighting_Inputs'!$D$34="Yes", "Mechanically Cooled","No Mechanical Cooling")))</f>
        <v/>
      </c>
      <c r="P8" s="194" t="str">
        <f>IF($D8="", "", IF('Indoor HortLighting_Inputs'!$D$33="", "",'Indoor HortLighting_Inputs'!$D$33))</f>
        <v/>
      </c>
      <c r="Q8" s="202" t="str">
        <f xml:space="preserve"> IF(OR(F8="", F8=0), "", IF(Calc!C7="", "", Calc!C7))</f>
        <v/>
      </c>
      <c r="R8" s="195" t="str">
        <f>IF($D8="","",IF('Indoor HortLighting_Inputs'!D26="","",'Indoor HortLighting_Inputs'!D26))</f>
        <v/>
      </c>
      <c r="S8" s="195" t="str">
        <f>IF($D8="","",IF('Indoor HortLighting_Inputs'!D27="","",'Indoor HortLighting_Inputs'!D27))</f>
        <v/>
      </c>
      <c r="T8" s="195" t="str">
        <f>IF($D8="","",IF('Indoor HortLighting_Inputs'!F40="","",'Indoor HortLighting_Inputs'!F40))</f>
        <v/>
      </c>
      <c r="U8" s="195" t="str">
        <f>IF($D8="","",IF(Calc!G7="","",Calc!G7))</f>
        <v/>
      </c>
      <c r="V8" s="195" t="str">
        <f>IF($D8="","",IF(Calc!D7="","",Calc!D7))</f>
        <v/>
      </c>
      <c r="W8" s="195" t="str">
        <f>IF($D8="","",IF(Calc!E7="","",Calc!E7))</f>
        <v/>
      </c>
      <c r="X8" s="195" t="str">
        <f>IF($D8="","",IF(Calc!K7="","",Calc!K7))</f>
        <v/>
      </c>
      <c r="Y8" s="195" t="str">
        <f>IF($D8="","",IF(Calc!K7="","",Calc!K7))</f>
        <v/>
      </c>
      <c r="Z8" s="195" t="str">
        <f>IF($D8="","",IF(Calc!L7="","",Calc!L7))</f>
        <v/>
      </c>
      <c r="AA8" s="205" t="str">
        <f>IF($D8="","",IF(Calc!Y7="","",Calc!Y7))</f>
        <v/>
      </c>
      <c r="AB8" s="205" t="str">
        <f>IF($D8="","",IF(Calc!Z7="","",Calc!Z7))</f>
        <v/>
      </c>
      <c r="AC8" s="205" t="str">
        <f>IF($D8="","",IF(Calc!AA7="","",Calc!AA7))</f>
        <v/>
      </c>
      <c r="AD8" s="205" t="str">
        <f>IF($D8="","",IF(Calc!S7="","",Calc!S7))</f>
        <v/>
      </c>
      <c r="AE8" s="205" t="str">
        <f>IF($D8="","",IF(Calc!T7="","",Calc!T7))</f>
        <v/>
      </c>
      <c r="AF8" s="205" t="str">
        <f>IF($D8="","",IF(Calc!U7="","",Calc!U7))</f>
        <v/>
      </c>
      <c r="AG8" s="205" t="str">
        <f>IF($D8="","",IF(Calc!V7="","",Calc!V7))</f>
        <v/>
      </c>
      <c r="AH8" s="205" t="str">
        <f>IF($D8="","",IF(Calc!W7="","",Calc!W7))</f>
        <v/>
      </c>
      <c r="AI8" s="205" t="str">
        <f>IF($D8="","",IF(Calc!X7="","",Calc!X7))</f>
        <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FDA30-44AC-4F81-8851-5B0F65FE40E0}">
  <sheetPr>
    <tabColor theme="7"/>
  </sheetPr>
  <dimension ref="A1:AL62"/>
  <sheetViews>
    <sheetView zoomScale="90" zoomScaleNormal="90" workbookViewId="0">
      <selection activeCell="E4" sqref="E4"/>
    </sheetView>
  </sheetViews>
  <sheetFormatPr defaultColWidth="9" defaultRowHeight="14.25" customHeight="1" x14ac:dyDescent="0.2"/>
  <cols>
    <col min="1" max="1" width="14.5" style="149" customWidth="1"/>
    <col min="2" max="2" width="18.5" style="151" customWidth="1"/>
    <col min="3" max="3" width="16.625" style="149" customWidth="1"/>
    <col min="4" max="4" width="12.875" style="149" bestFit="1" customWidth="1"/>
    <col min="5" max="6" width="10.25" style="149" bestFit="1" customWidth="1"/>
    <col min="7" max="7" width="11.875" style="149" bestFit="1" customWidth="1"/>
    <col min="8" max="9" width="11.875" style="149" customWidth="1"/>
    <col min="10" max="10" width="18.125" style="149" customWidth="1"/>
    <col min="11" max="11" width="16.375" style="149" customWidth="1"/>
    <col min="12" max="12" width="10.875" style="149" bestFit="1" customWidth="1"/>
    <col min="13" max="13" width="12.625" style="149" customWidth="1"/>
    <col min="14" max="14" width="11.125" style="149" customWidth="1"/>
    <col min="15" max="15" width="11.75" style="149" customWidth="1"/>
    <col min="16" max="16" width="13.75" style="149" bestFit="1" customWidth="1"/>
    <col min="17" max="17" width="11.25" style="149" customWidth="1"/>
    <col min="18" max="18" width="12.375" style="149" customWidth="1"/>
    <col min="19" max="19" width="15.875" style="149" customWidth="1"/>
    <col min="20" max="20" width="15.75" style="149" bestFit="1" customWidth="1"/>
    <col min="21" max="21" width="15.25" style="149" bestFit="1" customWidth="1"/>
    <col min="22" max="22" width="14.875" style="149" customWidth="1"/>
    <col min="23" max="23" width="16.25" style="149" customWidth="1"/>
    <col min="24" max="24" width="18.125" style="149" bestFit="1" customWidth="1"/>
    <col min="25" max="25" width="15.875" style="149" bestFit="1" customWidth="1"/>
    <col min="26" max="26" width="15.375" style="149" customWidth="1"/>
    <col min="27" max="27" width="13.375" style="149" bestFit="1" customWidth="1"/>
    <col min="28" max="28" width="15.125" style="149" customWidth="1"/>
    <col min="29" max="29" width="16.75" style="149" customWidth="1"/>
    <col min="30" max="30" width="16" style="149" customWidth="1"/>
    <col min="31" max="36" width="13.125" style="149" customWidth="1"/>
    <col min="37" max="37" width="12.875" style="149" customWidth="1"/>
    <col min="38" max="16384" width="9" style="149"/>
  </cols>
  <sheetData>
    <row r="1" spans="1:38" ht="24.6" customHeight="1" x14ac:dyDescent="0.2">
      <c r="A1" s="147" t="s">
        <v>86</v>
      </c>
      <c r="B1" s="148"/>
    </row>
    <row r="3" spans="1:38" ht="14.25" customHeight="1" x14ac:dyDescent="0.2">
      <c r="A3" s="150"/>
      <c r="S3" s="340" t="s">
        <v>117</v>
      </c>
      <c r="T3" s="340"/>
      <c r="U3" s="340"/>
      <c r="V3" s="340"/>
      <c r="W3" s="340"/>
      <c r="X3" s="340"/>
    </row>
    <row r="4" spans="1:38" s="151" customFormat="1" ht="54.6" customHeight="1" x14ac:dyDescent="0.2">
      <c r="A4" s="332" t="s">
        <v>216</v>
      </c>
      <c r="B4" s="152"/>
      <c r="C4" s="131" t="s">
        <v>118</v>
      </c>
      <c r="D4" s="131" t="s">
        <v>119</v>
      </c>
      <c r="E4" s="131" t="s">
        <v>120</v>
      </c>
      <c r="F4" s="131" t="s">
        <v>121</v>
      </c>
      <c r="G4" s="131" t="s">
        <v>122</v>
      </c>
      <c r="H4" s="131" t="s">
        <v>123</v>
      </c>
      <c r="I4" s="131" t="s">
        <v>124</v>
      </c>
      <c r="J4" s="190" t="s">
        <v>125</v>
      </c>
      <c r="K4" s="132" t="s">
        <v>126</v>
      </c>
      <c r="L4" s="132" t="s">
        <v>127</v>
      </c>
      <c r="M4" s="132" t="s">
        <v>128</v>
      </c>
      <c r="N4" s="132" t="s">
        <v>129</v>
      </c>
      <c r="O4" s="132" t="s">
        <v>130</v>
      </c>
      <c r="P4" s="132" t="s">
        <v>131</v>
      </c>
      <c r="Q4" s="132" t="s">
        <v>132</v>
      </c>
      <c r="R4" s="132" t="s">
        <v>133</v>
      </c>
      <c r="S4" s="131" t="s">
        <v>134</v>
      </c>
      <c r="T4" s="131" t="s">
        <v>135</v>
      </c>
      <c r="U4" s="131" t="s">
        <v>136</v>
      </c>
      <c r="V4" s="131" t="s">
        <v>137</v>
      </c>
      <c r="W4" s="131" t="s">
        <v>138</v>
      </c>
      <c r="X4" s="131" t="s">
        <v>139</v>
      </c>
      <c r="Y4" s="131" t="s">
        <v>102</v>
      </c>
      <c r="Z4" s="131" t="s">
        <v>140</v>
      </c>
      <c r="AA4" s="131" t="s">
        <v>141</v>
      </c>
      <c r="AB4" s="133" t="s">
        <v>142</v>
      </c>
      <c r="AC4" s="133" t="s">
        <v>143</v>
      </c>
      <c r="AD4" s="131" t="s">
        <v>144</v>
      </c>
      <c r="AE4" s="131" t="s">
        <v>145</v>
      </c>
      <c r="AF4" s="131" t="s">
        <v>146</v>
      </c>
      <c r="AG4" s="131" t="s">
        <v>147</v>
      </c>
      <c r="AH4" s="131" t="s">
        <v>148</v>
      </c>
      <c r="AI4" s="131" t="s">
        <v>149</v>
      </c>
      <c r="AJ4" s="131" t="s">
        <v>150</v>
      </c>
      <c r="AK4" s="131" t="s">
        <v>115</v>
      </c>
    </row>
    <row r="5" spans="1:38" ht="42" customHeight="1" x14ac:dyDescent="0.2">
      <c r="A5" s="332"/>
      <c r="B5" s="131" t="str">
        <f>'Indoor HortLighting_Inputs'!C38</f>
        <v>Propagation, Seeding, Cloning (Cannabis)</v>
      </c>
      <c r="C5" s="153">
        <f>'Indoor HortLighting_Inputs'!D38</f>
        <v>0</v>
      </c>
      <c r="D5" s="154" t="str">
        <f>IFERROR(VLOOKUP('Indoor HortLighting_Inputs'!E38,'MiscLook-Up'!$G$6:$I$8,2)*C5,"")</f>
        <v/>
      </c>
      <c r="E5" s="155" t="str">
        <f>IFERROR((C5*(VLOOKUP('Indoor HortLighting_Inputs'!E38,'MiscLook-Up'!$G$6:$I$8,3)))/1000,"")</f>
        <v/>
      </c>
      <c r="F5" s="155" t="str">
        <f>IFERROR(D5/(G5*1000),"")</f>
        <v/>
      </c>
      <c r="G5" s="156">
        <v>1.6</v>
      </c>
      <c r="H5" s="156">
        <f>1-J5</f>
        <v>0</v>
      </c>
      <c r="I5" s="157">
        <v>1</v>
      </c>
      <c r="J5" s="153">
        <f>IF('Indoor HortLighting_Inputs'!$D$32="Yes", 'Indoor HortLighting_Inputs'!$D$33, 1)</f>
        <v>1</v>
      </c>
      <c r="K5" s="158">
        <f>IF('Indoor HortLighting_Inputs'!F38="",5200,(365-'Indoor HortLighting_Inputs'!H38)*'Indoor HortLighting_Inputs'!F38)</f>
        <v>5200</v>
      </c>
      <c r="L5" s="158">
        <f t="shared" ref="L5:L10" si="0">K5*J5</f>
        <v>5200</v>
      </c>
      <c r="M5" s="158">
        <f>IF('Indoor HortLighting_Inputs'!$D$30="Other",0.238,0.594)</f>
        <v>0.59399999999999997</v>
      </c>
      <c r="N5" s="158">
        <v>0.59399999999999997</v>
      </c>
      <c r="O5" s="158">
        <f>N5*J5</f>
        <v>0.59399999999999997</v>
      </c>
      <c r="P5" s="158">
        <f>IF('Indoor HortLighting_Inputs'!$D$30="Other",0.238,0.594)</f>
        <v>0.59399999999999997</v>
      </c>
      <c r="Q5" s="158">
        <v>0.59399999999999997</v>
      </c>
      <c r="R5" s="158">
        <f>Q5*$J5</f>
        <v>0.59399999999999997</v>
      </c>
      <c r="S5" s="159">
        <f>IF(SUM('MiscLook-Up'!A18:A19)&lt;&gt;0,'MiscLook-Up'!B18,Calc!N5)</f>
        <v>0.59399999999999997</v>
      </c>
      <c r="T5" s="159">
        <f t="shared" ref="T5:T10" si="1">S5</f>
        <v>0.59399999999999997</v>
      </c>
      <c r="U5" s="159">
        <f t="shared" ref="U5:U10" si="2">T5*$J5</f>
        <v>0.59399999999999997</v>
      </c>
      <c r="V5" s="159">
        <f>IF(SUM('MiscLook-Up'!A18:A19)&lt;&gt;0,'MiscLook-Up'!C18,Calc!N5)</f>
        <v>0.59399999999999997</v>
      </c>
      <c r="W5" s="159">
        <f>V5</f>
        <v>0.59399999999999997</v>
      </c>
      <c r="X5" s="159">
        <f t="shared" ref="X5:X10" si="3">W5*$J5</f>
        <v>0.59399999999999997</v>
      </c>
      <c r="Y5" s="153">
        <f>IF('Indoor HortLighting_Inputs'!$D$34="Yes",0.141,0)</f>
        <v>0</v>
      </c>
      <c r="Z5" s="153">
        <f>IF('Indoor HortLighting_Inputs'!$D$34="Yes",0.201,0)</f>
        <v>0</v>
      </c>
      <c r="AA5" s="160">
        <v>0</v>
      </c>
      <c r="AB5" s="161" t="str">
        <f>IFERROR((F5*K5*(1+Y5)),"")</f>
        <v/>
      </c>
      <c r="AC5" s="161" t="str">
        <f>IFERROR((E5*L5*(1+Y5)),"")</f>
        <v/>
      </c>
      <c r="AD5" s="161" t="str">
        <f>IFERROR(AB5-AC5,"")</f>
        <v/>
      </c>
      <c r="AE5" s="161" t="str">
        <f>IFERROR((D5/(G5*1000)*S5*(1+Z5)),"")</f>
        <v/>
      </c>
      <c r="AF5" s="161" t="str">
        <f>IFERROR(E5*U5*(1+Z5),"")</f>
        <v/>
      </c>
      <c r="AG5" s="161" t="str">
        <f>IFERROR((D5/(G5*1000)*V5*(1+AA5)),"")</f>
        <v/>
      </c>
      <c r="AH5" s="161" t="str">
        <f>IFERROR(E5*X5*(1+AA5),"")</f>
        <v/>
      </c>
      <c r="AI5" s="161" t="str">
        <f>IFERROR((D5/(G5*1000)*M5-E5*O5)*(1+Z5),"")</f>
        <v/>
      </c>
      <c r="AJ5" s="161" t="str">
        <f>IFERROR((D5/(G5*1000)*P5-E5*R5)*(1+AA5),"")</f>
        <v/>
      </c>
      <c r="AK5" s="161" t="str">
        <f>IFERROR(AVERAGE(AI5:AJ5),"")</f>
        <v/>
      </c>
    </row>
    <row r="6" spans="1:38" ht="27.95" customHeight="1" x14ac:dyDescent="0.2">
      <c r="A6" s="332"/>
      <c r="B6" s="131" t="str">
        <f>'Indoor HortLighting_Inputs'!C39</f>
        <v>Vegetative (Cannabis)</v>
      </c>
      <c r="C6" s="153">
        <f>'Indoor HortLighting_Inputs'!D39</f>
        <v>0</v>
      </c>
      <c r="D6" s="154" t="str">
        <f>IFERROR(VLOOKUP('Indoor HortLighting_Inputs'!E39,'MiscLook-Up'!$G$6:$I$8,2)*C6,"")</f>
        <v/>
      </c>
      <c r="E6" s="155" t="str">
        <f>IFERROR((C6*(VLOOKUP('Indoor HortLighting_Inputs'!E39,'MiscLook-Up'!$G$6:$I$8,3)))/1000,"")</f>
        <v/>
      </c>
      <c r="F6" s="155" t="str">
        <f t="shared" ref="F6:F10" si="4">IFERROR(D6/(G6*1000),"")</f>
        <v/>
      </c>
      <c r="G6" s="156">
        <v>1.6</v>
      </c>
      <c r="H6" s="156">
        <f t="shared" ref="H6:H10" si="5">1-J6</f>
        <v>0</v>
      </c>
      <c r="I6" s="157">
        <v>1</v>
      </c>
      <c r="J6" s="153">
        <f>IF('Indoor HortLighting_Inputs'!$D$32="Yes", 'Indoor HortLighting_Inputs'!$D$33, 1)</f>
        <v>1</v>
      </c>
      <c r="K6" s="158">
        <f>IF('Indoor HortLighting_Inputs'!F39="",5200,(365-'Indoor HortLighting_Inputs'!H39)*'Indoor HortLighting_Inputs'!F39)</f>
        <v>5200</v>
      </c>
      <c r="L6" s="158">
        <f t="shared" si="0"/>
        <v>5200</v>
      </c>
      <c r="M6" s="158">
        <f>IF('Indoor HortLighting_Inputs'!$D$30="Other",0.238,0.594)</f>
        <v>0.59399999999999997</v>
      </c>
      <c r="N6" s="158">
        <v>0.59399999999999997</v>
      </c>
      <c r="O6" s="158">
        <f t="shared" ref="O6:O10" si="6">N6*J6</f>
        <v>0.59399999999999997</v>
      </c>
      <c r="P6" s="158">
        <f>IF('Indoor HortLighting_Inputs'!$D$30="Other",0.238,0.594)</f>
        <v>0.59399999999999997</v>
      </c>
      <c r="Q6" s="158">
        <v>0.59399999999999997</v>
      </c>
      <c r="R6" s="158">
        <f t="shared" ref="R6:R9" si="7">Q6*J6</f>
        <v>0.59399999999999997</v>
      </c>
      <c r="S6" s="159">
        <f>IF(SUM('MiscLook-Up'!A22:A23)&lt;&gt;0,'MiscLook-Up'!B22,Calc!N6)</f>
        <v>0.59399999999999997</v>
      </c>
      <c r="T6" s="159">
        <f t="shared" si="1"/>
        <v>0.59399999999999997</v>
      </c>
      <c r="U6" s="159">
        <f t="shared" si="2"/>
        <v>0.59399999999999997</v>
      </c>
      <c r="V6" s="159">
        <f>IF(SUM('MiscLook-Up'!A22:A23)&lt;&gt;0,'MiscLook-Up'!C22,Calc!N6)</f>
        <v>0.59399999999999997</v>
      </c>
      <c r="W6" s="159">
        <f t="shared" ref="W6:W10" si="8">V6</f>
        <v>0.59399999999999997</v>
      </c>
      <c r="X6" s="159">
        <f t="shared" si="3"/>
        <v>0.59399999999999997</v>
      </c>
      <c r="Y6" s="153">
        <f>IF('Indoor HortLighting_Inputs'!$D$34="Yes",0.141,0)</f>
        <v>0</v>
      </c>
      <c r="Z6" s="153">
        <f>IF('Indoor HortLighting_Inputs'!$D$34="Yes",0.201,0)</f>
        <v>0</v>
      </c>
      <c r="AA6" s="160">
        <v>0</v>
      </c>
      <c r="AB6" s="161" t="str">
        <f t="shared" ref="AB6:AB9" si="9">IFERROR((F6*K6*(1+Y6)),"")</f>
        <v/>
      </c>
      <c r="AC6" s="161" t="str">
        <f t="shared" ref="AC6:AC9" si="10">IFERROR((E6*L6*(1+Y6)),"")</f>
        <v/>
      </c>
      <c r="AD6" s="161" t="str">
        <f t="shared" ref="AD6:AD10" si="11">IFERROR(AB6-AC6,"")</f>
        <v/>
      </c>
      <c r="AE6" s="161" t="str">
        <f t="shared" ref="AE6:AE10" si="12">IFERROR((D6/(G6*1000)*S6*(1+Z6)),"")</f>
        <v/>
      </c>
      <c r="AF6" s="161" t="str">
        <f t="shared" ref="AF6:AF10" si="13">IFERROR(E6*U6*(1+Z6),"")</f>
        <v/>
      </c>
      <c r="AG6" s="161" t="str">
        <f t="shared" ref="AG6:AG10" si="14">IFERROR((D6/(G6*1000)*V6*(1+AA6)),"")</f>
        <v/>
      </c>
      <c r="AH6" s="161" t="str">
        <f t="shared" ref="AH6:AH10" si="15">IFERROR(E6*X6*(1+AA6),"")</f>
        <v/>
      </c>
      <c r="AI6" s="161" t="str">
        <f t="shared" ref="AI6:AI10" si="16">IFERROR((D6/(G6*1000)*M6-E6*O6)*(1+Z6),"")</f>
        <v/>
      </c>
      <c r="AJ6" s="161" t="str">
        <f t="shared" ref="AJ6:AJ10" si="17">IFERROR((D6/(G6*1000)*P6-E6*R6)*(1+AA6),"")</f>
        <v/>
      </c>
      <c r="AK6" s="161" t="str">
        <f t="shared" ref="AK6:AK10" si="18">IFERROR(AVERAGE(AI6:AJ6),"")</f>
        <v/>
      </c>
    </row>
    <row r="7" spans="1:38" ht="27.95" customHeight="1" x14ac:dyDescent="0.2">
      <c r="A7" s="332"/>
      <c r="B7" s="131" t="str">
        <f>'Indoor HortLighting_Inputs'!C40</f>
        <v>Stock Plants / Mothers (Cannabis)</v>
      </c>
      <c r="C7" s="153">
        <f>'Indoor HortLighting_Inputs'!D40</f>
        <v>0</v>
      </c>
      <c r="D7" s="154" t="str">
        <f>IFERROR(VLOOKUP('Indoor HortLighting_Inputs'!E40,'MiscLook-Up'!$G$6:$I$8,2)*C7,"")</f>
        <v/>
      </c>
      <c r="E7" s="155" t="str">
        <f>IFERROR((C7*(VLOOKUP('Indoor HortLighting_Inputs'!E40,'MiscLook-Up'!$G$6:$I$8,3)))/1000,"")</f>
        <v/>
      </c>
      <c r="F7" s="155" t="str">
        <f t="shared" si="4"/>
        <v/>
      </c>
      <c r="G7" s="156">
        <v>1.6</v>
      </c>
      <c r="H7" s="156">
        <f t="shared" si="5"/>
        <v>0</v>
      </c>
      <c r="I7" s="157">
        <v>1</v>
      </c>
      <c r="J7" s="153">
        <f>IF('Indoor HortLighting_Inputs'!$D$32="Yes", 'Indoor HortLighting_Inputs'!$D$33, 1)</f>
        <v>1</v>
      </c>
      <c r="K7" s="158">
        <f>IF('Indoor HortLighting_Inputs'!F40="",5200,(365-'Indoor HortLighting_Inputs'!H40)*'Indoor HortLighting_Inputs'!F40)</f>
        <v>5200</v>
      </c>
      <c r="L7" s="158">
        <f t="shared" si="0"/>
        <v>5200</v>
      </c>
      <c r="M7" s="158">
        <f>IF('Indoor HortLighting_Inputs'!$D$30="Other",0.238,0.594)</f>
        <v>0.59399999999999997</v>
      </c>
      <c r="N7" s="158">
        <v>0.59399999999999997</v>
      </c>
      <c r="O7" s="158">
        <f t="shared" si="6"/>
        <v>0.59399999999999997</v>
      </c>
      <c r="P7" s="158">
        <f>IF('Indoor HortLighting_Inputs'!$D$30="Other",0.238,0.594)</f>
        <v>0.59399999999999997</v>
      </c>
      <c r="Q7" s="158">
        <v>0.59399999999999997</v>
      </c>
      <c r="R7" s="158">
        <f t="shared" si="7"/>
        <v>0.59399999999999997</v>
      </c>
      <c r="S7" s="159">
        <f>IF(SUM('MiscLook-Up'!A26:A27)&lt;&gt;0,'MiscLook-Up'!B26,Calc!N7)</f>
        <v>0.59399999999999997</v>
      </c>
      <c r="T7" s="159">
        <f t="shared" si="1"/>
        <v>0.59399999999999997</v>
      </c>
      <c r="U7" s="159">
        <f t="shared" si="2"/>
        <v>0.59399999999999997</v>
      </c>
      <c r="V7" s="159">
        <f>IF(SUM('MiscLook-Up'!A26:A27)&lt;&gt;0,'MiscLook-Up'!C26,Calc!N7)</f>
        <v>0.59399999999999997</v>
      </c>
      <c r="W7" s="159">
        <f t="shared" si="8"/>
        <v>0.59399999999999997</v>
      </c>
      <c r="X7" s="159">
        <f t="shared" si="3"/>
        <v>0.59399999999999997</v>
      </c>
      <c r="Y7" s="153">
        <f>IF('Indoor HortLighting_Inputs'!$D$34="Yes",0.141,0)</f>
        <v>0</v>
      </c>
      <c r="Z7" s="153">
        <f>IF('Indoor HortLighting_Inputs'!$D$34="Yes",0.201,0)</f>
        <v>0</v>
      </c>
      <c r="AA7" s="160">
        <v>0</v>
      </c>
      <c r="AB7" s="161" t="str">
        <f t="shared" si="9"/>
        <v/>
      </c>
      <c r="AC7" s="161" t="str">
        <f t="shared" si="10"/>
        <v/>
      </c>
      <c r="AD7" s="161" t="str">
        <f t="shared" si="11"/>
        <v/>
      </c>
      <c r="AE7" s="161" t="str">
        <f t="shared" si="12"/>
        <v/>
      </c>
      <c r="AF7" s="161" t="str">
        <f t="shared" si="13"/>
        <v/>
      </c>
      <c r="AG7" s="161" t="str">
        <f t="shared" si="14"/>
        <v/>
      </c>
      <c r="AH7" s="161" t="str">
        <f t="shared" si="15"/>
        <v/>
      </c>
      <c r="AI7" s="161" t="str">
        <f t="shared" si="16"/>
        <v/>
      </c>
      <c r="AJ7" s="161" t="str">
        <f t="shared" si="17"/>
        <v/>
      </c>
      <c r="AK7" s="161" t="str">
        <f t="shared" si="18"/>
        <v/>
      </c>
    </row>
    <row r="8" spans="1:38" ht="42" customHeight="1" x14ac:dyDescent="0.2">
      <c r="A8" s="332"/>
      <c r="B8" s="131" t="str">
        <f>'Indoor HortLighting_Inputs'!C41</f>
        <v>Flowering (Cannabis)</v>
      </c>
      <c r="C8" s="153">
        <f>'Indoor HortLighting_Inputs'!D41</f>
        <v>0</v>
      </c>
      <c r="D8" s="154" t="str">
        <f>IFERROR(VLOOKUP('Indoor HortLighting_Inputs'!E41,'MiscLook-Up'!$G$6:$I$8,2)*C8,"")</f>
        <v/>
      </c>
      <c r="E8" s="155" t="str">
        <f>IFERROR((C8*(VLOOKUP('Indoor HortLighting_Inputs'!E41,'MiscLook-Up'!$G$6:$I$8,3)))/1000,"")</f>
        <v/>
      </c>
      <c r="F8" s="155" t="str">
        <f t="shared" si="4"/>
        <v/>
      </c>
      <c r="G8" s="156">
        <v>1.6</v>
      </c>
      <c r="H8" s="156">
        <f t="shared" si="5"/>
        <v>0</v>
      </c>
      <c r="I8" s="157">
        <v>1</v>
      </c>
      <c r="J8" s="153">
        <f>IF('Indoor HortLighting_Inputs'!$D$32="Yes", 'Indoor HortLighting_Inputs'!$D$33, 1)</f>
        <v>1</v>
      </c>
      <c r="K8" s="158">
        <f>IF('Indoor HortLighting_Inputs'!F41="",5200,(365-'Indoor HortLighting_Inputs'!H41)*'Indoor HortLighting_Inputs'!F41)</f>
        <v>5200</v>
      </c>
      <c r="L8" s="158">
        <f t="shared" si="0"/>
        <v>5200</v>
      </c>
      <c r="M8" s="158">
        <f>IF('Indoor HortLighting_Inputs'!$D$30="Other",0.238,0.594)</f>
        <v>0.59399999999999997</v>
      </c>
      <c r="N8" s="158">
        <v>0.59399999999999997</v>
      </c>
      <c r="O8" s="158">
        <f t="shared" si="6"/>
        <v>0.59399999999999997</v>
      </c>
      <c r="P8" s="158">
        <f>IF('Indoor HortLighting_Inputs'!$D$30="Other",0.238,0.594)</f>
        <v>0.59399999999999997</v>
      </c>
      <c r="Q8" s="158">
        <v>0.59399999999999997</v>
      </c>
      <c r="R8" s="158">
        <f t="shared" si="7"/>
        <v>0.59399999999999997</v>
      </c>
      <c r="S8" s="159">
        <f>IF(SUM('MiscLook-Up'!A30:A31)&lt;&gt;0,'MiscLook-Up'!B30,Calc!N8)</f>
        <v>0.59399999999999997</v>
      </c>
      <c r="T8" s="159">
        <f t="shared" si="1"/>
        <v>0.59399999999999997</v>
      </c>
      <c r="U8" s="159">
        <f t="shared" si="2"/>
        <v>0.59399999999999997</v>
      </c>
      <c r="V8" s="159">
        <f>IF(SUM('MiscLook-Up'!A30:A31)&lt;&gt;0,'MiscLook-Up'!C30,Calc!N8)</f>
        <v>0.59399999999999997</v>
      </c>
      <c r="W8" s="159">
        <f t="shared" si="8"/>
        <v>0.59399999999999997</v>
      </c>
      <c r="X8" s="159">
        <f t="shared" si="3"/>
        <v>0.59399999999999997</v>
      </c>
      <c r="Y8" s="153">
        <f>IF('Indoor HortLighting_Inputs'!$D$34="Yes",0.141,0)</f>
        <v>0</v>
      </c>
      <c r="Z8" s="153">
        <f>IF('Indoor HortLighting_Inputs'!$D$34="Yes",0.201,0)</f>
        <v>0</v>
      </c>
      <c r="AA8" s="160">
        <v>0</v>
      </c>
      <c r="AB8" s="161" t="str">
        <f t="shared" si="9"/>
        <v/>
      </c>
      <c r="AC8" s="161" t="str">
        <f t="shared" si="10"/>
        <v/>
      </c>
      <c r="AD8" s="161" t="str">
        <f t="shared" si="11"/>
        <v/>
      </c>
      <c r="AE8" s="161" t="str">
        <f t="shared" si="12"/>
        <v/>
      </c>
      <c r="AF8" s="161" t="str">
        <f t="shared" si="13"/>
        <v/>
      </c>
      <c r="AG8" s="161" t="str">
        <f t="shared" si="14"/>
        <v/>
      </c>
      <c r="AH8" s="161" t="str">
        <f t="shared" si="15"/>
        <v/>
      </c>
      <c r="AI8" s="161" t="str">
        <f t="shared" si="16"/>
        <v/>
      </c>
      <c r="AJ8" s="161" t="str">
        <f t="shared" si="17"/>
        <v/>
      </c>
      <c r="AK8" s="161" t="str">
        <f t="shared" si="18"/>
        <v/>
      </c>
    </row>
    <row r="9" spans="1:38" x14ac:dyDescent="0.2">
      <c r="A9" s="332"/>
      <c r="B9" s="131" t="str">
        <f>'Indoor HortLighting_Inputs'!C42</f>
        <v>Leafy Greens</v>
      </c>
      <c r="C9" s="153">
        <f>'Indoor HortLighting_Inputs'!D42</f>
        <v>0</v>
      </c>
      <c r="D9" s="154" t="str">
        <f>IFERROR(VLOOKUP('Indoor HortLighting_Inputs'!E42,'MiscLook-Up'!$G$6:$I$8,2)*C9,"")</f>
        <v/>
      </c>
      <c r="E9" s="162" t="str">
        <f>IFERROR((C9*(VLOOKUP('Indoor HortLighting_Inputs'!E42,'MiscLook-Up'!$G$6:$I$8,3)))/1000,"")</f>
        <v/>
      </c>
      <c r="F9" s="162" t="str">
        <f t="shared" si="4"/>
        <v/>
      </c>
      <c r="G9" s="156">
        <v>1.6</v>
      </c>
      <c r="H9" s="156">
        <f t="shared" si="5"/>
        <v>0</v>
      </c>
      <c r="I9" s="157">
        <v>1</v>
      </c>
      <c r="J9" s="153">
        <f>IF('Indoor HortLighting_Inputs'!$D$32="Yes", 'Indoor HortLighting_Inputs'!$D$33, 1)</f>
        <v>1</v>
      </c>
      <c r="K9" s="158">
        <f>IF('Indoor HortLighting_Inputs'!F42="",5200,(365-'Indoor HortLighting_Inputs'!H42)*'Indoor HortLighting_Inputs'!F42)</f>
        <v>5200</v>
      </c>
      <c r="L9" s="158">
        <f t="shared" si="0"/>
        <v>5200</v>
      </c>
      <c r="M9" s="158">
        <f>IF('Indoor HortLighting_Inputs'!$D$30="Other",0.238,0.594)</f>
        <v>0.59399999999999997</v>
      </c>
      <c r="N9" s="158">
        <v>0.59399999999999997</v>
      </c>
      <c r="O9" s="158">
        <f t="shared" si="6"/>
        <v>0.59399999999999997</v>
      </c>
      <c r="P9" s="158">
        <f>IF('Indoor HortLighting_Inputs'!$D$30="Other",0.238,0.594)</f>
        <v>0.59399999999999997</v>
      </c>
      <c r="Q9" s="158">
        <v>0.59399999999999997</v>
      </c>
      <c r="R9" s="158">
        <f t="shared" si="7"/>
        <v>0.59399999999999997</v>
      </c>
      <c r="S9" s="159">
        <f>IF(SUM('MiscLook-Up'!A34:A35)&lt;&gt;0,'MiscLook-Up'!B34,Calc!N9)</f>
        <v>0.59399999999999997</v>
      </c>
      <c r="T9" s="159">
        <f t="shared" si="1"/>
        <v>0.59399999999999997</v>
      </c>
      <c r="U9" s="159">
        <f t="shared" si="2"/>
        <v>0.59399999999999997</v>
      </c>
      <c r="V9" s="159">
        <f>IF(SUM('MiscLook-Up'!A34:A35)&lt;&gt;0,'MiscLook-Up'!C34,Calc!N9)</f>
        <v>0.59399999999999997</v>
      </c>
      <c r="W9" s="159">
        <f t="shared" si="8"/>
        <v>0.59399999999999997</v>
      </c>
      <c r="X9" s="159">
        <f t="shared" si="3"/>
        <v>0.59399999999999997</v>
      </c>
      <c r="Y9" s="153">
        <f>IF('Indoor HortLighting_Inputs'!$D$34="Yes",0.141,0)</f>
        <v>0</v>
      </c>
      <c r="Z9" s="153">
        <f>IF('Indoor HortLighting_Inputs'!$D$34="Yes",0.201,0)</f>
        <v>0</v>
      </c>
      <c r="AA9" s="160">
        <v>0</v>
      </c>
      <c r="AB9" s="161" t="str">
        <f t="shared" si="9"/>
        <v/>
      </c>
      <c r="AC9" s="161" t="str">
        <f t="shared" si="10"/>
        <v/>
      </c>
      <c r="AD9" s="161" t="str">
        <f t="shared" si="11"/>
        <v/>
      </c>
      <c r="AE9" s="161" t="str">
        <f t="shared" si="12"/>
        <v/>
      </c>
      <c r="AF9" s="161" t="str">
        <f t="shared" si="13"/>
        <v/>
      </c>
      <c r="AG9" s="161" t="str">
        <f t="shared" si="14"/>
        <v/>
      </c>
      <c r="AH9" s="161" t="str">
        <f t="shared" si="15"/>
        <v/>
      </c>
      <c r="AI9" s="161" t="str">
        <f t="shared" si="16"/>
        <v/>
      </c>
      <c r="AJ9" s="161" t="str">
        <f t="shared" si="17"/>
        <v/>
      </c>
      <c r="AK9" s="161" t="str">
        <f t="shared" si="18"/>
        <v/>
      </c>
    </row>
    <row r="10" spans="1:38" x14ac:dyDescent="0.2">
      <c r="A10" s="332"/>
      <c r="B10" s="131" t="str">
        <f>'Indoor HortLighting_Inputs'!C43</f>
        <v>Other</v>
      </c>
      <c r="C10" s="153">
        <f>'Indoor HortLighting_Inputs'!D43</f>
        <v>0</v>
      </c>
      <c r="D10" s="154" t="str">
        <f>IFERROR(VLOOKUP('Indoor HortLighting_Inputs'!E43,'MiscLook-Up'!$G$6:$I$8,2)*C10,"")</f>
        <v/>
      </c>
      <c r="E10" s="155" t="str">
        <f>IFERROR((C10*(VLOOKUP('Indoor HortLighting_Inputs'!E43,'MiscLook-Up'!$G$6:$I$8,3)))/1000,"")</f>
        <v/>
      </c>
      <c r="F10" s="155" t="str">
        <f t="shared" si="4"/>
        <v/>
      </c>
      <c r="G10" s="156">
        <v>1.6</v>
      </c>
      <c r="H10" s="156">
        <f t="shared" si="5"/>
        <v>0</v>
      </c>
      <c r="I10" s="157">
        <v>1</v>
      </c>
      <c r="J10" s="153">
        <f>IF('Indoor HortLighting_Inputs'!$D$32="Yes", 'Indoor HortLighting_Inputs'!$D$33, 1)</f>
        <v>1</v>
      </c>
      <c r="K10" s="158">
        <f>IF('Indoor HortLighting_Inputs'!F43="",5200,(365-'Indoor HortLighting_Inputs'!H43)*'Indoor HortLighting_Inputs'!F43)</f>
        <v>5200</v>
      </c>
      <c r="L10" s="158">
        <f t="shared" si="0"/>
        <v>5200</v>
      </c>
      <c r="M10" s="158">
        <f>IF('Indoor HortLighting_Inputs'!$D$30="Other",0.238,0.594)</f>
        <v>0.59399999999999997</v>
      </c>
      <c r="N10" s="158">
        <v>0.59399999999999997</v>
      </c>
      <c r="O10" s="158">
        <f t="shared" si="6"/>
        <v>0.59399999999999997</v>
      </c>
      <c r="P10" s="158">
        <f>IF('Indoor HortLighting_Inputs'!$D$30="Other",0.238,0.594)</f>
        <v>0.59399999999999997</v>
      </c>
      <c r="Q10" s="158">
        <v>0.59399999999999997</v>
      </c>
      <c r="R10" s="158">
        <f t="shared" ref="R10" si="19">Q10*J10</f>
        <v>0.59399999999999997</v>
      </c>
      <c r="S10" s="159">
        <f>IF(SUM('MiscLook-Up'!A38:A39)&lt;&gt;0,'MiscLook-Up'!B38,Calc!N10)</f>
        <v>0.59399999999999997</v>
      </c>
      <c r="T10" s="159">
        <f t="shared" si="1"/>
        <v>0.59399999999999997</v>
      </c>
      <c r="U10" s="159">
        <f t="shared" si="2"/>
        <v>0.59399999999999997</v>
      </c>
      <c r="V10" s="159">
        <f>IF(SUM('MiscLook-Up'!A39:A40)&lt;&gt;0,'MiscLook-Up'!C39,Calc!N10)</f>
        <v>0.59399999999999997</v>
      </c>
      <c r="W10" s="159">
        <f t="shared" si="8"/>
        <v>0.59399999999999997</v>
      </c>
      <c r="X10" s="159">
        <f t="shared" si="3"/>
        <v>0.59399999999999997</v>
      </c>
      <c r="Y10" s="153">
        <f>IF('Indoor HortLighting_Inputs'!$D$34="Yes",0.141,0)</f>
        <v>0</v>
      </c>
      <c r="Z10" s="153">
        <f>IF('Indoor HortLighting_Inputs'!$D$34="Yes",0.201,0)</f>
        <v>0</v>
      </c>
      <c r="AA10" s="160">
        <v>0</v>
      </c>
      <c r="AB10" s="161" t="str">
        <f t="shared" ref="AB10" si="20">IFERROR((F10*K10*(1+Y10)),"")</f>
        <v/>
      </c>
      <c r="AC10" s="161" t="str">
        <f t="shared" ref="AC10" si="21">IFERROR((E10*L10*(1+Y10)),"")</f>
        <v/>
      </c>
      <c r="AD10" s="161" t="str">
        <f t="shared" si="11"/>
        <v/>
      </c>
      <c r="AE10" s="161" t="str">
        <f t="shared" si="12"/>
        <v/>
      </c>
      <c r="AF10" s="161" t="str">
        <f t="shared" si="13"/>
        <v/>
      </c>
      <c r="AG10" s="161" t="str">
        <f t="shared" si="14"/>
        <v/>
      </c>
      <c r="AH10" s="161" t="str">
        <f t="shared" si="15"/>
        <v/>
      </c>
      <c r="AI10" s="161" t="str">
        <f t="shared" si="16"/>
        <v/>
      </c>
      <c r="AJ10" s="161" t="str">
        <f t="shared" si="17"/>
        <v/>
      </c>
      <c r="AK10" s="161" t="str">
        <f t="shared" si="18"/>
        <v/>
      </c>
    </row>
    <row r="11" spans="1:38" ht="15" x14ac:dyDescent="0.2">
      <c r="A11" s="332"/>
      <c r="B11" s="146" t="s">
        <v>151</v>
      </c>
      <c r="C11" s="163">
        <f>SUM(C5:C10)</f>
        <v>0</v>
      </c>
      <c r="D11" s="163">
        <f t="shared" ref="D11:G11" si="22">SUM(D5:D10)</f>
        <v>0</v>
      </c>
      <c r="E11" s="164">
        <f t="shared" si="22"/>
        <v>0</v>
      </c>
      <c r="F11" s="164">
        <f t="shared" si="22"/>
        <v>0</v>
      </c>
      <c r="G11" s="163">
        <f t="shared" si="22"/>
        <v>9.6</v>
      </c>
      <c r="H11" s="163"/>
      <c r="I11" s="165"/>
      <c r="J11" s="153"/>
      <c r="K11" s="153"/>
      <c r="L11" s="166"/>
      <c r="M11" s="166"/>
      <c r="N11" s="166"/>
      <c r="O11" s="166"/>
      <c r="P11" s="166"/>
      <c r="Q11" s="166"/>
      <c r="R11" s="166"/>
      <c r="S11" s="153"/>
      <c r="T11" s="153"/>
      <c r="U11" s="153"/>
      <c r="V11" s="153"/>
      <c r="W11" s="153"/>
      <c r="X11" s="153"/>
      <c r="Y11" s="153"/>
      <c r="Z11" s="153"/>
      <c r="AA11" s="153"/>
      <c r="AB11" s="167">
        <f>SUM(AB5:AB10)</f>
        <v>0</v>
      </c>
      <c r="AC11" s="167">
        <f t="shared" ref="AC11:AK11" si="23">SUM(AC5:AC10)</f>
        <v>0</v>
      </c>
      <c r="AD11" s="167">
        <f t="shared" si="23"/>
        <v>0</v>
      </c>
      <c r="AE11" s="167">
        <f t="shared" si="23"/>
        <v>0</v>
      </c>
      <c r="AF11" s="167">
        <f t="shared" si="23"/>
        <v>0</v>
      </c>
      <c r="AG11" s="167">
        <f t="shared" si="23"/>
        <v>0</v>
      </c>
      <c r="AH11" s="167">
        <f t="shared" si="23"/>
        <v>0</v>
      </c>
      <c r="AI11" s="167">
        <f t="shared" si="23"/>
        <v>0</v>
      </c>
      <c r="AJ11" s="167">
        <f t="shared" si="23"/>
        <v>0</v>
      </c>
      <c r="AK11" s="167">
        <f t="shared" si="23"/>
        <v>0</v>
      </c>
    </row>
    <row r="12" spans="1:38" x14ac:dyDescent="0.2">
      <c r="F12" s="168"/>
      <c r="M12" s="169"/>
      <c r="N12" s="169"/>
      <c r="O12" s="169"/>
      <c r="P12" s="169"/>
      <c r="Q12" s="169"/>
      <c r="R12" s="169"/>
      <c r="Y12" s="170"/>
      <c r="Z12" s="171"/>
      <c r="AA12" s="172"/>
      <c r="AB12" s="170"/>
      <c r="AC12" s="170"/>
      <c r="AD12" s="170"/>
      <c r="AE12" s="170"/>
      <c r="AF12" s="170"/>
      <c r="AG12" s="170"/>
      <c r="AH12" s="170"/>
      <c r="AI12" s="170"/>
      <c r="AJ12" s="170"/>
      <c r="AK12" s="170"/>
    </row>
    <row r="13" spans="1:38" x14ac:dyDescent="0.2">
      <c r="G13" s="168"/>
      <c r="H13" s="168"/>
      <c r="I13" s="168"/>
      <c r="Z13" s="170"/>
      <c r="AA13" s="171"/>
      <c r="AB13" s="172"/>
      <c r="AC13" s="170"/>
      <c r="AD13" s="170"/>
      <c r="AE13" s="170"/>
      <c r="AF13" s="170"/>
      <c r="AG13" s="170"/>
      <c r="AH13" s="170"/>
      <c r="AI13" s="170"/>
      <c r="AJ13" s="170"/>
      <c r="AK13" s="170"/>
      <c r="AL13" s="173"/>
    </row>
    <row r="14" spans="1:38" s="151" customFormat="1" ht="42.75" x14ac:dyDescent="0.2">
      <c r="A14" s="337" t="s">
        <v>152</v>
      </c>
      <c r="B14" s="132" t="s">
        <v>153</v>
      </c>
      <c r="C14" s="132" t="s">
        <v>118</v>
      </c>
      <c r="D14" s="131" t="s">
        <v>119</v>
      </c>
      <c r="E14" s="131" t="s">
        <v>120</v>
      </c>
      <c r="F14" s="131" t="s">
        <v>121</v>
      </c>
      <c r="G14" s="131" t="s">
        <v>122</v>
      </c>
      <c r="H14" s="131" t="s">
        <v>154</v>
      </c>
      <c r="I14" s="131" t="s">
        <v>155</v>
      </c>
      <c r="J14" s="134" t="s">
        <v>125</v>
      </c>
      <c r="K14" s="134" t="s">
        <v>126</v>
      </c>
      <c r="L14" s="134" t="s">
        <v>127</v>
      </c>
      <c r="M14" s="132" t="s">
        <v>128</v>
      </c>
      <c r="N14" s="132" t="s">
        <v>129</v>
      </c>
      <c r="O14" s="132" t="s">
        <v>130</v>
      </c>
      <c r="P14" s="132" t="s">
        <v>131</v>
      </c>
      <c r="Q14" s="132" t="s">
        <v>132</v>
      </c>
      <c r="R14" s="132" t="s">
        <v>133</v>
      </c>
      <c r="S14" s="131" t="s">
        <v>134</v>
      </c>
      <c r="T14" s="131" t="s">
        <v>135</v>
      </c>
      <c r="U14" s="131" t="s">
        <v>136</v>
      </c>
      <c r="V14" s="131" t="s">
        <v>137</v>
      </c>
      <c r="W14" s="131" t="s">
        <v>138</v>
      </c>
      <c r="X14" s="131" t="s">
        <v>139</v>
      </c>
      <c r="Y14" s="132" t="s">
        <v>102</v>
      </c>
      <c r="Z14" s="132" t="s">
        <v>140</v>
      </c>
      <c r="AA14" s="132" t="s">
        <v>141</v>
      </c>
      <c r="AB14" s="132" t="s">
        <v>142</v>
      </c>
      <c r="AC14" s="132" t="s">
        <v>143</v>
      </c>
      <c r="AD14" s="132" t="s">
        <v>144</v>
      </c>
      <c r="AE14" s="131" t="s">
        <v>145</v>
      </c>
      <c r="AF14" s="131" t="s">
        <v>146</v>
      </c>
      <c r="AG14" s="131" t="s">
        <v>147</v>
      </c>
      <c r="AH14" s="131" t="s">
        <v>148</v>
      </c>
      <c r="AI14" s="131" t="s">
        <v>149</v>
      </c>
      <c r="AJ14" s="131" t="s">
        <v>150</v>
      </c>
      <c r="AK14" s="131" t="s">
        <v>115</v>
      </c>
    </row>
    <row r="15" spans="1:38" ht="42.75" x14ac:dyDescent="0.2">
      <c r="A15" s="338"/>
      <c r="B15" s="131" t="str">
        <f>'Greenhouse HortLighting_Inputs'!C38</f>
        <v>Propagation, Seeding, Cloning (Cannabis)</v>
      </c>
      <c r="C15" s="130">
        <f>'Greenhouse HortLighting_Inputs'!D38</f>
        <v>0</v>
      </c>
      <c r="D15" s="155" t="str">
        <f>IFERROR(VLOOKUP('Greenhouse HortLighting_Inputs'!E38,'MiscLook-Up'!$G$12:$I$14,2)*C15,"")</f>
        <v/>
      </c>
      <c r="E15" s="155" t="str">
        <f>IFERROR((C15*(VLOOKUP('Greenhouse HortLighting_Inputs'!E38,'MiscLook-Up'!$G$12:$I$14,3)))/1000,"")</f>
        <v/>
      </c>
      <c r="F15" s="155" t="str">
        <f t="shared" ref="F15:F20" si="24">IFERROR(D15/(G15*1000),"")</f>
        <v/>
      </c>
      <c r="G15" s="156">
        <v>1.6</v>
      </c>
      <c r="H15" s="156">
        <f t="shared" ref="H15:H20" si="25">1-J15</f>
        <v>0</v>
      </c>
      <c r="I15" s="157">
        <v>1</v>
      </c>
      <c r="J15" s="166">
        <f>IF('Greenhouse HortLighting_Inputs'!$D$32="Yes",'Greenhouse HortLighting_Inputs'!$D$33, 1)</f>
        <v>1</v>
      </c>
      <c r="K15" s="166">
        <f>IF('Greenhouse HortLighting_Inputs'!F38="",2000,(365-'Greenhouse HortLighting_Inputs'!H38)*'Greenhouse HortLighting_Inputs'!F38)</f>
        <v>2000</v>
      </c>
      <c r="L15" s="166">
        <f>K15*J15</f>
        <v>2000</v>
      </c>
      <c r="M15" s="166">
        <f>IF('Greenhouse HortLighting_Inputs'!$D$30="Other",0.238,0.594)</f>
        <v>0.59399999999999997</v>
      </c>
      <c r="N15" s="166">
        <v>0.23799999999999999</v>
      </c>
      <c r="O15" s="158">
        <f t="shared" ref="O15:O20" si="26">N15*$J15</f>
        <v>0.23799999999999999</v>
      </c>
      <c r="P15" s="153">
        <f>IF('Greenhouse HortLighting_Inputs'!$D$30="Other",0.238,0.594)</f>
        <v>0.59399999999999997</v>
      </c>
      <c r="Q15" s="153">
        <v>0.23799999999999999</v>
      </c>
      <c r="R15" s="158">
        <f>Q15*$J15</f>
        <v>0.23799999999999999</v>
      </c>
      <c r="S15" s="174">
        <f>IF(SUM('MiscLook-Up'!A44:A45)&lt;&gt;0,'MiscLook-Up'!B44,Calc!N15)</f>
        <v>0.23799999999999999</v>
      </c>
      <c r="T15" s="174">
        <f t="shared" ref="T15:T20" si="27">S15</f>
        <v>0.23799999999999999</v>
      </c>
      <c r="U15" s="175">
        <f t="shared" ref="U15:U20" si="28">T15*$J15</f>
        <v>0.23799999999999999</v>
      </c>
      <c r="V15" s="175">
        <f>IF(SUM('MiscLook-Up'!A44:A45)&lt;&gt;0,'MiscLook-Up'!C44,Calc!N15)</f>
        <v>0.23799999999999999</v>
      </c>
      <c r="W15" s="175">
        <f>V15</f>
        <v>0.23799999999999999</v>
      </c>
      <c r="X15" s="175">
        <f t="shared" ref="X15:X20" si="29">W15*$J15</f>
        <v>0.23799999999999999</v>
      </c>
      <c r="Y15" s="166">
        <f>IF('Greenhouse HortLighting_Inputs'!$D$34="Yes",0.141,0)</f>
        <v>0</v>
      </c>
      <c r="Z15" s="166">
        <f>IF('Greenhouse HortLighting_Inputs'!$D$34="Yes",0.201,0)</f>
        <v>0</v>
      </c>
      <c r="AA15" s="130">
        <v>0</v>
      </c>
      <c r="AB15" s="176" t="str">
        <f t="shared" ref="AB15:AB20" si="30">IFERROR(((D15/(G15*1000))*K15*(1+Y15)),"")</f>
        <v/>
      </c>
      <c r="AC15" s="176" t="str">
        <f t="shared" ref="AC15:AC20" si="31">IFERROR((E15*L15*(1+Y15)),"")</f>
        <v/>
      </c>
      <c r="AD15" s="161" t="str">
        <f>IFERROR(AB15-AC15,"")</f>
        <v/>
      </c>
      <c r="AE15" s="161" t="str">
        <f>IFERROR((D15/(G15*1000)*S15*(1+Z15)),"")</f>
        <v/>
      </c>
      <c r="AF15" s="161" t="str">
        <f t="shared" ref="AF15:AF20" si="32">IFERROR(E15*U15*(1+Z15),"")</f>
        <v/>
      </c>
      <c r="AG15" s="161" t="str">
        <f>IFERROR((D15/(G15*1000)*V15*(1+AA15)),"")</f>
        <v/>
      </c>
      <c r="AH15" s="161" t="str">
        <f>IFERROR(E15*X15*(1+AA15),"")</f>
        <v/>
      </c>
      <c r="AI15" s="161" t="str">
        <f>IFERROR((D15/(G15*1000)*M15-E15*O15)*(1+Z15),"")</f>
        <v/>
      </c>
      <c r="AJ15" s="161" t="str">
        <f>IFERROR((D15/(G15*1000)*P15-E15*R15)*(1+AA15),"")</f>
        <v/>
      </c>
      <c r="AK15" s="161" t="str">
        <f>IFERROR(AVERAGE(AI15:AJ15),"")</f>
        <v/>
      </c>
    </row>
    <row r="16" spans="1:38" ht="28.5" x14ac:dyDescent="0.2">
      <c r="A16" s="338"/>
      <c r="B16" s="131" t="str">
        <f>'Greenhouse HortLighting_Inputs'!C39</f>
        <v>Vegetative (Cannabis)</v>
      </c>
      <c r="C16" s="130">
        <f>'Greenhouse HortLighting_Inputs'!D39</f>
        <v>0</v>
      </c>
      <c r="D16" s="155" t="str">
        <f>IFERROR(VLOOKUP('Greenhouse HortLighting_Inputs'!E39,'MiscLook-Up'!$G$12:$I$14,2)*C16,"")</f>
        <v/>
      </c>
      <c r="E16" s="155" t="str">
        <f>IFERROR((C16*(VLOOKUP('Greenhouse HortLighting_Inputs'!E39,'MiscLook-Up'!$G$12:$I$14,3)))/1000,"")</f>
        <v/>
      </c>
      <c r="F16" s="155" t="str">
        <f t="shared" si="24"/>
        <v/>
      </c>
      <c r="G16" s="156">
        <v>1.6</v>
      </c>
      <c r="H16" s="156">
        <f t="shared" si="25"/>
        <v>0</v>
      </c>
      <c r="I16" s="157">
        <v>1</v>
      </c>
      <c r="J16" s="166">
        <f>IF('Greenhouse HortLighting_Inputs'!$D$32="Yes",'Greenhouse HortLighting_Inputs'!$D$33, 1)</f>
        <v>1</v>
      </c>
      <c r="K16" s="166">
        <f>IF('Greenhouse HortLighting_Inputs'!F39="",2000,(365-'Greenhouse HortLighting_Inputs'!H39)*'Greenhouse HortLighting_Inputs'!F39)</f>
        <v>2000</v>
      </c>
      <c r="L16" s="166">
        <f t="shared" ref="L16:L20" si="33">K16*J16</f>
        <v>2000</v>
      </c>
      <c r="M16" s="166">
        <f>IF('Greenhouse HortLighting_Inputs'!$D$30="Other",0.238,0.594)</f>
        <v>0.59399999999999997</v>
      </c>
      <c r="N16" s="166">
        <v>0.23799999999999999</v>
      </c>
      <c r="O16" s="158">
        <f t="shared" si="26"/>
        <v>0.23799999999999999</v>
      </c>
      <c r="P16" s="153">
        <f>IF('Greenhouse HortLighting_Inputs'!$D$30="Other",0.238,0.594)</f>
        <v>0.59399999999999997</v>
      </c>
      <c r="Q16" s="153">
        <v>0.23799999999999999</v>
      </c>
      <c r="R16" s="158">
        <f t="shared" ref="R16:R20" si="34">Q16*$J16</f>
        <v>0.23799999999999999</v>
      </c>
      <c r="S16" s="175">
        <f>IF(SUM('MiscLook-Up'!A48:A49)&lt;&gt;0,'MiscLook-Up'!B48,Calc!N16)</f>
        <v>0.23799999999999999</v>
      </c>
      <c r="T16" s="175">
        <f t="shared" si="27"/>
        <v>0.23799999999999999</v>
      </c>
      <c r="U16" s="175">
        <f t="shared" si="28"/>
        <v>0.23799999999999999</v>
      </c>
      <c r="V16" s="175">
        <f>IF(SUM('MiscLook-Up'!A48:A49)&lt;&gt;0,'MiscLook-Up'!C48,Calc!N16)</f>
        <v>0.23799999999999999</v>
      </c>
      <c r="W16" s="175">
        <f t="shared" ref="W16:W20" si="35">V16</f>
        <v>0.23799999999999999</v>
      </c>
      <c r="X16" s="175">
        <f t="shared" si="29"/>
        <v>0.23799999999999999</v>
      </c>
      <c r="Y16" s="166">
        <f>IF('Greenhouse HortLighting_Inputs'!$D$34="Yes",0.141,0)</f>
        <v>0</v>
      </c>
      <c r="Z16" s="166">
        <f>IF('Greenhouse HortLighting_Inputs'!$D$34="Yes",0.201,0)</f>
        <v>0</v>
      </c>
      <c r="AA16" s="130">
        <v>0</v>
      </c>
      <c r="AB16" s="176" t="str">
        <f t="shared" si="30"/>
        <v/>
      </c>
      <c r="AC16" s="176" t="str">
        <f t="shared" si="31"/>
        <v/>
      </c>
      <c r="AD16" s="161" t="str">
        <f t="shared" ref="AD16:AD20" si="36">IFERROR(AB16-AC16,"")</f>
        <v/>
      </c>
      <c r="AE16" s="161" t="str">
        <f t="shared" ref="AE16:AE20" si="37">IFERROR((D16/(G16*1000)*S16*(1+Z16)),"")</f>
        <v/>
      </c>
      <c r="AF16" s="161" t="str">
        <f t="shared" si="32"/>
        <v/>
      </c>
      <c r="AG16" s="161" t="str">
        <f t="shared" ref="AG16:AG20" si="38">IFERROR((D16/(G16*1000)*V16*(1+AA16)),"")</f>
        <v/>
      </c>
      <c r="AH16" s="161" t="str">
        <f t="shared" ref="AH16:AH20" si="39">IFERROR(E16*X16*(1+AA16),"")</f>
        <v/>
      </c>
      <c r="AI16" s="161" t="str">
        <f t="shared" ref="AI16:AI20" si="40">IFERROR((D16/(G16*1000)*M16-E16*O16)*(1+Z16),"")</f>
        <v/>
      </c>
      <c r="AJ16" s="161" t="str">
        <f t="shared" ref="AJ16:AJ20" si="41">IFERROR((D16/(G16*1000)*P16-E16*R16)*(1+AA16),"")</f>
        <v/>
      </c>
      <c r="AK16" s="161" t="str">
        <f t="shared" ref="AK16:AK20" si="42">IFERROR(AVERAGE(AI16:AJ16),"")</f>
        <v/>
      </c>
    </row>
    <row r="17" spans="1:38" ht="28.5" customHeight="1" x14ac:dyDescent="0.2">
      <c r="A17" s="338"/>
      <c r="B17" s="131" t="str">
        <f>'Greenhouse HortLighting_Inputs'!C40</f>
        <v>Stock Plants / Mothers (Cannabis)</v>
      </c>
      <c r="C17" s="130">
        <f>'Greenhouse HortLighting_Inputs'!D40</f>
        <v>0</v>
      </c>
      <c r="D17" s="155" t="str">
        <f>IFERROR(VLOOKUP('Greenhouse HortLighting_Inputs'!E40,'MiscLook-Up'!$G$12:$I$14,2)*C17,"")</f>
        <v/>
      </c>
      <c r="E17" s="155" t="str">
        <f>IFERROR((C17*(VLOOKUP('Greenhouse HortLighting_Inputs'!E40,'MiscLook-Up'!$G$12:$I$14,3)))/1000,"")</f>
        <v/>
      </c>
      <c r="F17" s="155" t="str">
        <f t="shared" si="24"/>
        <v/>
      </c>
      <c r="G17" s="156">
        <v>1.6</v>
      </c>
      <c r="H17" s="156">
        <f t="shared" si="25"/>
        <v>0</v>
      </c>
      <c r="I17" s="157">
        <v>1</v>
      </c>
      <c r="J17" s="166">
        <f>IF('Greenhouse HortLighting_Inputs'!$D$32="Yes",'Greenhouse HortLighting_Inputs'!$D$33, 1)</f>
        <v>1</v>
      </c>
      <c r="K17" s="166">
        <f>IF('Greenhouse HortLighting_Inputs'!F40="",2000,(365-'Greenhouse HortLighting_Inputs'!H40)*'Greenhouse HortLighting_Inputs'!F40)</f>
        <v>2000</v>
      </c>
      <c r="L17" s="166">
        <f t="shared" si="33"/>
        <v>2000</v>
      </c>
      <c r="M17" s="166">
        <f>IF('Greenhouse HortLighting_Inputs'!$D$30="Other",0.238,0.594)</f>
        <v>0.59399999999999997</v>
      </c>
      <c r="N17" s="166">
        <v>0.23799999999999999</v>
      </c>
      <c r="O17" s="158">
        <f t="shared" si="26"/>
        <v>0.23799999999999999</v>
      </c>
      <c r="P17" s="153">
        <f>IF('Greenhouse HortLighting_Inputs'!$D$30="Other",0.238,0.594)</f>
        <v>0.59399999999999997</v>
      </c>
      <c r="Q17" s="153">
        <v>0.23799999999999999</v>
      </c>
      <c r="R17" s="158">
        <f t="shared" si="34"/>
        <v>0.23799999999999999</v>
      </c>
      <c r="S17" s="175">
        <f>IF(SUM('MiscLook-Up'!A52:A53)&lt;&gt;0,'MiscLook-Up'!B52,Calc!N17)</f>
        <v>0.23799999999999999</v>
      </c>
      <c r="T17" s="175">
        <f t="shared" si="27"/>
        <v>0.23799999999999999</v>
      </c>
      <c r="U17" s="175">
        <f t="shared" si="28"/>
        <v>0.23799999999999999</v>
      </c>
      <c r="V17" s="175">
        <f>IF(SUM('MiscLook-Up'!A52:A53)&lt;&gt;0,'MiscLook-Up'!C52,Calc!N17)</f>
        <v>0.23799999999999999</v>
      </c>
      <c r="W17" s="175">
        <f t="shared" si="35"/>
        <v>0.23799999999999999</v>
      </c>
      <c r="X17" s="175">
        <f t="shared" si="29"/>
        <v>0.23799999999999999</v>
      </c>
      <c r="Y17" s="166">
        <f>IF('Greenhouse HortLighting_Inputs'!$D$34="Yes",0.141,0)</f>
        <v>0</v>
      </c>
      <c r="Z17" s="166">
        <f>IF('Greenhouse HortLighting_Inputs'!$D$34="Yes",0.201,0)</f>
        <v>0</v>
      </c>
      <c r="AA17" s="130">
        <v>0</v>
      </c>
      <c r="AB17" s="176" t="str">
        <f t="shared" si="30"/>
        <v/>
      </c>
      <c r="AC17" s="176" t="str">
        <f t="shared" si="31"/>
        <v/>
      </c>
      <c r="AD17" s="161" t="str">
        <f t="shared" si="36"/>
        <v/>
      </c>
      <c r="AE17" s="161" t="str">
        <f t="shared" si="37"/>
        <v/>
      </c>
      <c r="AF17" s="161" t="str">
        <f t="shared" si="32"/>
        <v/>
      </c>
      <c r="AG17" s="161" t="str">
        <f t="shared" si="38"/>
        <v/>
      </c>
      <c r="AH17" s="161" t="str">
        <f t="shared" si="39"/>
        <v/>
      </c>
      <c r="AI17" s="161" t="str">
        <f t="shared" si="40"/>
        <v/>
      </c>
      <c r="AJ17" s="161" t="str">
        <f t="shared" si="41"/>
        <v/>
      </c>
      <c r="AK17" s="161" t="str">
        <f t="shared" si="42"/>
        <v/>
      </c>
    </row>
    <row r="18" spans="1:38" x14ac:dyDescent="0.2">
      <c r="A18" s="338"/>
      <c r="B18" s="131" t="str">
        <f>'Greenhouse HortLighting_Inputs'!C41</f>
        <v>Flowering (Cannabis)</v>
      </c>
      <c r="C18" s="130">
        <f>'Greenhouse HortLighting_Inputs'!D41</f>
        <v>0</v>
      </c>
      <c r="D18" s="155" t="str">
        <f>IFERROR(VLOOKUP('Greenhouse HortLighting_Inputs'!E41,'MiscLook-Up'!$G$12:$I$14,2)*C18,"")</f>
        <v/>
      </c>
      <c r="E18" s="155" t="str">
        <f>IFERROR((C18*(VLOOKUP('Greenhouse HortLighting_Inputs'!E41,'MiscLook-Up'!$G$12:$I$14,3)))/1000,"")</f>
        <v/>
      </c>
      <c r="F18" s="155" t="str">
        <f t="shared" si="24"/>
        <v/>
      </c>
      <c r="G18" s="156">
        <v>1.6</v>
      </c>
      <c r="H18" s="156">
        <f t="shared" si="25"/>
        <v>0</v>
      </c>
      <c r="I18" s="157">
        <v>1</v>
      </c>
      <c r="J18" s="166">
        <f>IF('Greenhouse HortLighting_Inputs'!$D$32="Yes",'Greenhouse HortLighting_Inputs'!$D$33, 1)</f>
        <v>1</v>
      </c>
      <c r="K18" s="166">
        <f>IF('Greenhouse HortLighting_Inputs'!F41="",2000,(365-'Greenhouse HortLighting_Inputs'!H41)*'Greenhouse HortLighting_Inputs'!F41)</f>
        <v>2000</v>
      </c>
      <c r="L18" s="166">
        <f t="shared" si="33"/>
        <v>2000</v>
      </c>
      <c r="M18" s="166">
        <f>IF('Greenhouse HortLighting_Inputs'!$D$30="Other",0.238,0.594)</f>
        <v>0.59399999999999997</v>
      </c>
      <c r="N18" s="166">
        <v>0.23799999999999999</v>
      </c>
      <c r="O18" s="158">
        <f t="shared" si="26"/>
        <v>0.23799999999999999</v>
      </c>
      <c r="P18" s="153">
        <f>IF('Greenhouse HortLighting_Inputs'!$D$30="Other",0.238,0.594)</f>
        <v>0.59399999999999997</v>
      </c>
      <c r="Q18" s="153">
        <v>0.23799999999999999</v>
      </c>
      <c r="R18" s="158">
        <f t="shared" si="34"/>
        <v>0.23799999999999999</v>
      </c>
      <c r="S18" s="175">
        <f>IF(SUM('MiscLook-Up'!A56:A58)&lt;&gt;0,'MiscLook-Up'!B56,Calc!N18)</f>
        <v>0.23799999999999999</v>
      </c>
      <c r="T18" s="175">
        <f t="shared" si="27"/>
        <v>0.23799999999999999</v>
      </c>
      <c r="U18" s="175">
        <f t="shared" si="28"/>
        <v>0.23799999999999999</v>
      </c>
      <c r="V18" s="175">
        <f>IF(SUM('MiscLook-Up'!A56:A58)&lt;&gt;0,'MiscLook-Up'!C56,Calc!N18)</f>
        <v>0.23799999999999999</v>
      </c>
      <c r="W18" s="175">
        <f t="shared" si="35"/>
        <v>0.23799999999999999</v>
      </c>
      <c r="X18" s="175">
        <f t="shared" si="29"/>
        <v>0.23799999999999999</v>
      </c>
      <c r="Y18" s="166">
        <f>IF('Greenhouse HortLighting_Inputs'!$D$34="Yes",0.141,0)</f>
        <v>0</v>
      </c>
      <c r="Z18" s="166">
        <f>IF('Greenhouse HortLighting_Inputs'!$D$34="Yes",0.201,0)</f>
        <v>0</v>
      </c>
      <c r="AA18" s="130">
        <v>0</v>
      </c>
      <c r="AB18" s="176" t="str">
        <f t="shared" si="30"/>
        <v/>
      </c>
      <c r="AC18" s="176" t="str">
        <f t="shared" si="31"/>
        <v/>
      </c>
      <c r="AD18" s="161" t="str">
        <f t="shared" si="36"/>
        <v/>
      </c>
      <c r="AE18" s="161" t="str">
        <f t="shared" si="37"/>
        <v/>
      </c>
      <c r="AF18" s="161" t="str">
        <f t="shared" si="32"/>
        <v/>
      </c>
      <c r="AG18" s="161" t="str">
        <f t="shared" si="38"/>
        <v/>
      </c>
      <c r="AH18" s="161" t="str">
        <f t="shared" si="39"/>
        <v/>
      </c>
      <c r="AI18" s="161" t="str">
        <f t="shared" si="40"/>
        <v/>
      </c>
      <c r="AJ18" s="161" t="str">
        <f t="shared" si="41"/>
        <v/>
      </c>
      <c r="AK18" s="161" t="str">
        <f t="shared" si="42"/>
        <v/>
      </c>
    </row>
    <row r="19" spans="1:38" ht="14.25" customHeight="1" x14ac:dyDescent="0.2">
      <c r="A19" s="338"/>
      <c r="B19" s="131" t="str">
        <f>'Greenhouse HortLighting_Inputs'!C42</f>
        <v>Leafy Greens</v>
      </c>
      <c r="C19" s="130">
        <f>'Greenhouse HortLighting_Inputs'!D42</f>
        <v>0</v>
      </c>
      <c r="D19" s="155" t="str">
        <f>IFERROR(VLOOKUP('Greenhouse HortLighting_Inputs'!E42,'MiscLook-Up'!$G$12:$I$14,2)*C19,"")</f>
        <v/>
      </c>
      <c r="E19" s="155" t="str">
        <f>IFERROR((C19*(VLOOKUP('Greenhouse HortLighting_Inputs'!E42,'MiscLook-Up'!$G$12:$I$14,3)))/1000,"")</f>
        <v/>
      </c>
      <c r="F19" s="155" t="str">
        <f t="shared" si="24"/>
        <v/>
      </c>
      <c r="G19" s="156">
        <v>1.6</v>
      </c>
      <c r="H19" s="156">
        <f t="shared" si="25"/>
        <v>0</v>
      </c>
      <c r="I19" s="157">
        <v>1</v>
      </c>
      <c r="J19" s="166">
        <f>IF('Greenhouse HortLighting_Inputs'!$D$32="Yes",'Greenhouse HortLighting_Inputs'!$D$33, 1)</f>
        <v>1</v>
      </c>
      <c r="K19" s="166">
        <f>IF('Greenhouse HortLighting_Inputs'!F42="",2000,(365-'Greenhouse HortLighting_Inputs'!H42)*'Greenhouse HortLighting_Inputs'!F42)</f>
        <v>2000</v>
      </c>
      <c r="L19" s="166">
        <f t="shared" si="33"/>
        <v>2000</v>
      </c>
      <c r="M19" s="166">
        <f>IF('Greenhouse HortLighting_Inputs'!$D$30="Other",0.238,0.594)</f>
        <v>0.59399999999999997</v>
      </c>
      <c r="N19" s="166">
        <v>0.23799999999999999</v>
      </c>
      <c r="O19" s="158">
        <f t="shared" si="26"/>
        <v>0.23799999999999999</v>
      </c>
      <c r="P19" s="153">
        <f>IF('Greenhouse HortLighting_Inputs'!$D$30="Other",0.238,0.594)</f>
        <v>0.59399999999999997</v>
      </c>
      <c r="Q19" s="153">
        <v>0.23799999999999999</v>
      </c>
      <c r="R19" s="158">
        <f t="shared" si="34"/>
        <v>0.23799999999999999</v>
      </c>
      <c r="S19" s="175">
        <f>IF(SUM('MiscLook-Up'!A60:A61)&lt;&gt;0,'MiscLook-Up'!B60,Calc!N19)</f>
        <v>0.23799999999999999</v>
      </c>
      <c r="T19" s="175">
        <f t="shared" si="27"/>
        <v>0.23799999999999999</v>
      </c>
      <c r="U19" s="175">
        <f t="shared" si="28"/>
        <v>0.23799999999999999</v>
      </c>
      <c r="V19" s="175">
        <f>IF(SUM('MiscLook-Up'!A60:A61)&lt;&gt;0,'MiscLook-Up'!C56,Calc!N19)</f>
        <v>0.23799999999999999</v>
      </c>
      <c r="W19" s="175">
        <f t="shared" si="35"/>
        <v>0.23799999999999999</v>
      </c>
      <c r="X19" s="175">
        <f t="shared" si="29"/>
        <v>0.23799999999999999</v>
      </c>
      <c r="Y19" s="166">
        <f>IF('Greenhouse HortLighting_Inputs'!$D$34="Yes",0.141,0)</f>
        <v>0</v>
      </c>
      <c r="Z19" s="166">
        <f>IF('Greenhouse HortLighting_Inputs'!$D$34="Yes",0.201,0)</f>
        <v>0</v>
      </c>
      <c r="AA19" s="130">
        <v>0</v>
      </c>
      <c r="AB19" s="176" t="str">
        <f t="shared" si="30"/>
        <v/>
      </c>
      <c r="AC19" s="166" t="str">
        <f t="shared" si="31"/>
        <v/>
      </c>
      <c r="AD19" s="161" t="str">
        <f t="shared" si="36"/>
        <v/>
      </c>
      <c r="AE19" s="161" t="str">
        <f t="shared" si="37"/>
        <v/>
      </c>
      <c r="AF19" s="161" t="str">
        <f t="shared" si="32"/>
        <v/>
      </c>
      <c r="AG19" s="161" t="str">
        <f t="shared" si="38"/>
        <v/>
      </c>
      <c r="AH19" s="161" t="str">
        <f t="shared" si="39"/>
        <v/>
      </c>
      <c r="AI19" s="161" t="str">
        <f t="shared" si="40"/>
        <v/>
      </c>
      <c r="AJ19" s="161" t="str">
        <f t="shared" si="41"/>
        <v/>
      </c>
      <c r="AK19" s="161" t="str">
        <f t="shared" si="42"/>
        <v/>
      </c>
    </row>
    <row r="20" spans="1:38" ht="14.25" customHeight="1" x14ac:dyDescent="0.2">
      <c r="A20" s="338"/>
      <c r="B20" s="131" t="str">
        <f>'Greenhouse HortLighting_Inputs'!C43</f>
        <v>Other</v>
      </c>
      <c r="C20" s="130">
        <f>'Greenhouse HortLighting_Inputs'!D43</f>
        <v>0</v>
      </c>
      <c r="D20" s="155" t="str">
        <f>IFERROR(VLOOKUP('Greenhouse HortLighting_Inputs'!E43,'MiscLook-Up'!$G$12:$I$14,2)*C20,"")</f>
        <v/>
      </c>
      <c r="E20" s="155" t="str">
        <f>IFERROR((C20*(VLOOKUP('Greenhouse HortLighting_Inputs'!E43,'MiscLook-Up'!$G$12:$I$14,3)))/1000,"")</f>
        <v/>
      </c>
      <c r="F20" s="155" t="str">
        <f t="shared" si="24"/>
        <v/>
      </c>
      <c r="G20" s="156">
        <v>1.6</v>
      </c>
      <c r="H20" s="156">
        <f t="shared" si="25"/>
        <v>0</v>
      </c>
      <c r="I20" s="157">
        <v>1</v>
      </c>
      <c r="J20" s="166">
        <f>IF('Greenhouse HortLighting_Inputs'!$D$32="Yes",'Greenhouse HortLighting_Inputs'!$D$33, 1)</f>
        <v>1</v>
      </c>
      <c r="K20" s="166">
        <f>IF('Greenhouse HortLighting_Inputs'!F43="",2000,(365-'Greenhouse HortLighting_Inputs'!H43)*'Greenhouse HortLighting_Inputs'!F43)</f>
        <v>2000</v>
      </c>
      <c r="L20" s="166">
        <f t="shared" si="33"/>
        <v>2000</v>
      </c>
      <c r="M20" s="166">
        <f>IF('Greenhouse HortLighting_Inputs'!$D$30="Other",0.238,0.594)</f>
        <v>0.59399999999999997</v>
      </c>
      <c r="N20" s="166">
        <v>0.23799999999999999</v>
      </c>
      <c r="O20" s="158">
        <f t="shared" si="26"/>
        <v>0.23799999999999999</v>
      </c>
      <c r="P20" s="153">
        <f>IF('Greenhouse HortLighting_Inputs'!$D$30="Other",0.238,0.594)</f>
        <v>0.59399999999999997</v>
      </c>
      <c r="Q20" s="153">
        <v>0.23799999999999999</v>
      </c>
      <c r="R20" s="158">
        <f t="shared" si="34"/>
        <v>0.23799999999999999</v>
      </c>
      <c r="S20" s="175">
        <f>IF(SUM('MiscLook-Up'!A65:A66)&lt;&gt;0,'MiscLook-Up'!B64,Calc!N20)</f>
        <v>0.23799999999999999</v>
      </c>
      <c r="T20" s="175">
        <f t="shared" si="27"/>
        <v>0.23799999999999999</v>
      </c>
      <c r="U20" s="175">
        <f t="shared" si="28"/>
        <v>0.23799999999999999</v>
      </c>
      <c r="V20" s="175">
        <f>IF(SUM('MiscLook-Up'!A65:A66)&lt;&gt;0,'MiscLook-Up'!C65,Calc!N20)</f>
        <v>0.23799999999999999</v>
      </c>
      <c r="W20" s="175">
        <f t="shared" si="35"/>
        <v>0.23799999999999999</v>
      </c>
      <c r="X20" s="175">
        <f t="shared" si="29"/>
        <v>0.23799999999999999</v>
      </c>
      <c r="Y20" s="166">
        <f>IF('Greenhouse HortLighting_Inputs'!$D$34="Yes",0.141,0)</f>
        <v>0</v>
      </c>
      <c r="Z20" s="166">
        <f>IF('Greenhouse HortLighting_Inputs'!$D$34="Yes",0.201,0)</f>
        <v>0</v>
      </c>
      <c r="AA20" s="130">
        <v>0</v>
      </c>
      <c r="AB20" s="176" t="str">
        <f t="shared" si="30"/>
        <v/>
      </c>
      <c r="AC20" s="176" t="str">
        <f t="shared" si="31"/>
        <v/>
      </c>
      <c r="AD20" s="161" t="str">
        <f t="shared" si="36"/>
        <v/>
      </c>
      <c r="AE20" s="161" t="str">
        <f t="shared" si="37"/>
        <v/>
      </c>
      <c r="AF20" s="161" t="str">
        <f t="shared" si="32"/>
        <v/>
      </c>
      <c r="AG20" s="161" t="str">
        <f t="shared" si="38"/>
        <v/>
      </c>
      <c r="AH20" s="161" t="str">
        <f t="shared" si="39"/>
        <v/>
      </c>
      <c r="AI20" s="161" t="str">
        <f t="shared" si="40"/>
        <v/>
      </c>
      <c r="AJ20" s="161" t="str">
        <f t="shared" si="41"/>
        <v/>
      </c>
      <c r="AK20" s="161" t="str">
        <f t="shared" si="42"/>
        <v/>
      </c>
    </row>
    <row r="21" spans="1:38" ht="14.25" customHeight="1" x14ac:dyDescent="0.2">
      <c r="A21" s="339"/>
      <c r="B21" s="177" t="s">
        <v>151</v>
      </c>
      <c r="C21" s="163">
        <f>SUM(C15:C19)</f>
        <v>0</v>
      </c>
      <c r="D21" s="163">
        <f>SUM(D15:D19)</f>
        <v>0</v>
      </c>
      <c r="E21" s="163">
        <f>SUM(E15:E19)</f>
        <v>0</v>
      </c>
      <c r="F21" s="178">
        <f>SUM(F15:F19)</f>
        <v>0</v>
      </c>
      <c r="G21" s="163"/>
      <c r="H21" s="163"/>
      <c r="I21" s="165"/>
      <c r="J21" s="179"/>
      <c r="K21" s="179"/>
      <c r="L21" s="179"/>
      <c r="M21" s="179"/>
      <c r="N21" s="179"/>
      <c r="O21" s="163"/>
      <c r="P21" s="163"/>
      <c r="Q21" s="163"/>
      <c r="R21" s="163"/>
      <c r="S21" s="163"/>
      <c r="T21" s="163"/>
      <c r="U21" s="163"/>
      <c r="V21" s="163"/>
      <c r="W21" s="163"/>
      <c r="X21" s="163"/>
      <c r="Y21" s="180"/>
      <c r="Z21" s="180"/>
      <c r="AA21" s="180"/>
      <c r="AB21" s="181">
        <f>SUM(AB15:AB20)</f>
        <v>0</v>
      </c>
      <c r="AC21" s="181">
        <f>SUM(AC15:AC20)</f>
        <v>0</v>
      </c>
      <c r="AD21" s="167">
        <f>SUM(AD15:AD20)</f>
        <v>0</v>
      </c>
      <c r="AE21" s="167">
        <f>SUM(AE15:AE20)</f>
        <v>0</v>
      </c>
      <c r="AF21" s="167">
        <f t="shared" ref="AF21:AK21" si="43">SUM(AF15:AF20)</f>
        <v>0</v>
      </c>
      <c r="AG21" s="167">
        <f t="shared" si="43"/>
        <v>0</v>
      </c>
      <c r="AH21" s="167">
        <f t="shared" si="43"/>
        <v>0</v>
      </c>
      <c r="AI21" s="167">
        <f t="shared" si="43"/>
        <v>0</v>
      </c>
      <c r="AJ21" s="167">
        <f t="shared" si="43"/>
        <v>0</v>
      </c>
      <c r="AK21" s="167">
        <f t="shared" si="43"/>
        <v>0</v>
      </c>
    </row>
    <row r="23" spans="1:38" x14ac:dyDescent="0.2">
      <c r="G23" s="168"/>
      <c r="H23" s="168"/>
      <c r="I23" s="168"/>
      <c r="N23" s="169"/>
      <c r="O23" s="169"/>
      <c r="P23" s="169"/>
      <c r="Q23" s="169"/>
      <c r="R23" s="169"/>
      <c r="S23" s="169"/>
      <c r="Z23" s="170"/>
      <c r="AA23" s="170"/>
      <c r="AB23" s="172"/>
      <c r="AC23" s="170"/>
      <c r="AD23" s="170"/>
      <c r="AE23" s="170"/>
      <c r="AF23" s="170"/>
      <c r="AG23" s="170"/>
      <c r="AH23" s="170"/>
      <c r="AI23" s="170"/>
      <c r="AJ23" s="170"/>
      <c r="AK23" s="170"/>
      <c r="AL23" s="173"/>
    </row>
    <row r="24" spans="1:38" x14ac:dyDescent="0.2">
      <c r="F24" s="168"/>
      <c r="M24" s="169"/>
      <c r="N24" s="169"/>
      <c r="O24" s="169"/>
      <c r="P24" s="169"/>
      <c r="Q24" s="169"/>
      <c r="R24" s="169"/>
      <c r="Y24" s="170"/>
      <c r="Z24" s="170"/>
      <c r="AA24" s="172"/>
      <c r="AB24" s="170"/>
      <c r="AC24" s="170"/>
      <c r="AD24" s="170"/>
      <c r="AE24" s="170"/>
      <c r="AF24" s="170"/>
      <c r="AG24" s="170"/>
      <c r="AH24" s="170"/>
      <c r="AI24" s="170"/>
      <c r="AJ24" s="170"/>
      <c r="AK24" s="170"/>
    </row>
    <row r="25" spans="1:38" x14ac:dyDescent="0.2">
      <c r="F25" s="168"/>
      <c r="M25" s="169"/>
      <c r="N25" s="169"/>
      <c r="O25" s="169"/>
      <c r="P25" s="169"/>
      <c r="Q25" s="169"/>
      <c r="R25" s="169"/>
      <c r="Y25" s="170"/>
      <c r="Z25" s="170"/>
      <c r="AA25" s="172"/>
      <c r="AB25" s="170"/>
      <c r="AC25" s="170"/>
      <c r="AD25" s="170"/>
      <c r="AE25" s="170"/>
      <c r="AF25" s="170"/>
      <c r="AG25" s="170"/>
      <c r="AH25" s="170"/>
      <c r="AI25" s="170"/>
      <c r="AJ25" s="170"/>
      <c r="AK25" s="170"/>
    </row>
    <row r="26" spans="1:38" x14ac:dyDescent="0.2">
      <c r="F26" s="168"/>
      <c r="M26" s="169"/>
      <c r="N26" s="169"/>
      <c r="O26" s="169"/>
      <c r="P26" s="169"/>
      <c r="Q26" s="169"/>
      <c r="R26" s="169"/>
      <c r="Y26" s="170"/>
      <c r="Z26" s="170"/>
      <c r="AA26" s="172"/>
      <c r="AB26" s="170"/>
      <c r="AC26" s="170"/>
      <c r="AD26" s="170"/>
      <c r="AE26" s="170"/>
      <c r="AF26" s="170"/>
      <c r="AG26" s="170"/>
      <c r="AH26" s="170"/>
      <c r="AI26" s="170"/>
      <c r="AJ26" s="170"/>
      <c r="AK26" s="170"/>
    </row>
    <row r="27" spans="1:38" ht="84.6" customHeight="1" x14ac:dyDescent="0.2">
      <c r="U27" s="173"/>
      <c r="X27" s="182"/>
      <c r="Y27" s="183"/>
      <c r="Z27" s="173"/>
    </row>
    <row r="28" spans="1:38" ht="84.6" customHeight="1" x14ac:dyDescent="0.2">
      <c r="U28" s="173"/>
      <c r="X28" s="182"/>
      <c r="Y28" s="183"/>
      <c r="Z28" s="173"/>
    </row>
    <row r="29" spans="1:38" ht="84.6" customHeight="1" x14ac:dyDescent="0.2">
      <c r="U29" s="173"/>
      <c r="X29" s="182"/>
      <c r="Y29" s="183"/>
      <c r="Z29" s="173"/>
    </row>
    <row r="30" spans="1:38" ht="84.6" customHeight="1" x14ac:dyDescent="0.2">
      <c r="U30" s="173"/>
      <c r="X30" s="182"/>
      <c r="Y30" s="183"/>
      <c r="Z30" s="173"/>
    </row>
    <row r="31" spans="1:38" ht="84.6" customHeight="1" x14ac:dyDescent="0.2">
      <c r="U31" s="173"/>
      <c r="X31" s="182"/>
      <c r="Y31" s="183"/>
      <c r="Z31" s="173"/>
    </row>
    <row r="32" spans="1:38" ht="84.6" customHeight="1" x14ac:dyDescent="0.2">
      <c r="U32" s="173"/>
      <c r="X32" s="182"/>
      <c r="Y32" s="183"/>
      <c r="Z32" s="173"/>
    </row>
    <row r="33" spans="1:26" ht="84.6" customHeight="1" x14ac:dyDescent="0.2">
      <c r="U33" s="173"/>
      <c r="X33" s="182"/>
      <c r="Y33" s="183"/>
      <c r="Z33" s="173"/>
    </row>
    <row r="34" spans="1:26" ht="84.6" customHeight="1" x14ac:dyDescent="0.2">
      <c r="U34" s="173"/>
      <c r="X34" s="182"/>
      <c r="Y34" s="183"/>
      <c r="Z34" s="173"/>
    </row>
    <row r="35" spans="1:26" ht="84.6" customHeight="1" x14ac:dyDescent="0.2">
      <c r="U35" s="173"/>
      <c r="X35" s="182"/>
      <c r="Y35" s="183"/>
      <c r="Z35" s="173"/>
    </row>
    <row r="36" spans="1:26" ht="84.6" customHeight="1" x14ac:dyDescent="0.2">
      <c r="U36" s="173"/>
      <c r="X36" s="182"/>
      <c r="Y36" s="183"/>
      <c r="Z36" s="173"/>
    </row>
    <row r="37" spans="1:26" ht="84.6" customHeight="1" x14ac:dyDescent="0.2">
      <c r="U37" s="173"/>
      <c r="X37" s="182"/>
      <c r="Y37" s="183"/>
      <c r="Z37" s="173"/>
    </row>
    <row r="38" spans="1:26" ht="84.6" customHeight="1" x14ac:dyDescent="0.2">
      <c r="U38" s="173"/>
      <c r="X38" s="182"/>
      <c r="Y38" s="183"/>
      <c r="Z38" s="173"/>
    </row>
    <row r="39" spans="1:26" ht="84.6" customHeight="1" x14ac:dyDescent="0.2">
      <c r="U39" s="173"/>
      <c r="X39" s="182"/>
      <c r="Y39" s="183"/>
      <c r="Z39" s="173"/>
    </row>
    <row r="40" spans="1:26" ht="84.6" customHeight="1" x14ac:dyDescent="0.2">
      <c r="U40" s="173"/>
      <c r="X40" s="182"/>
      <c r="Y40" s="183"/>
      <c r="Z40" s="173"/>
    </row>
    <row r="41" spans="1:26" ht="84.6" customHeight="1" x14ac:dyDescent="0.2">
      <c r="U41" s="173"/>
      <c r="X41" s="182"/>
      <c r="Y41" s="183"/>
      <c r="Z41" s="173"/>
    </row>
    <row r="42" spans="1:26" ht="84.6" customHeight="1" x14ac:dyDescent="0.2">
      <c r="U42" s="173"/>
      <c r="X42" s="182"/>
      <c r="Y42" s="183"/>
      <c r="Z42" s="173"/>
    </row>
    <row r="43" spans="1:26" ht="84.6" customHeight="1" x14ac:dyDescent="0.2">
      <c r="U43" s="173"/>
      <c r="X43" s="182"/>
      <c r="Y43" s="183"/>
      <c r="Z43" s="173"/>
    </row>
    <row r="44" spans="1:26" ht="84.6" customHeight="1" x14ac:dyDescent="0.2">
      <c r="U44" s="173"/>
      <c r="X44" s="182"/>
      <c r="Y44" s="183"/>
      <c r="Z44" s="173"/>
    </row>
    <row r="45" spans="1:26" x14ac:dyDescent="0.2"/>
    <row r="46" spans="1:26" x14ac:dyDescent="0.2"/>
    <row r="47" spans="1:26" ht="15" x14ac:dyDescent="0.2">
      <c r="A47" s="333" t="s">
        <v>152</v>
      </c>
      <c r="B47" s="184"/>
      <c r="C47" s="135" t="s">
        <v>118</v>
      </c>
      <c r="D47" s="135" t="s">
        <v>119</v>
      </c>
      <c r="E47" s="135" t="s">
        <v>120</v>
      </c>
      <c r="F47" s="135" t="s">
        <v>122</v>
      </c>
      <c r="G47" s="136" t="s">
        <v>125</v>
      </c>
      <c r="H47" s="136"/>
      <c r="I47" s="136"/>
      <c r="J47" s="137" t="s">
        <v>126</v>
      </c>
      <c r="K47" s="136" t="s">
        <v>127</v>
      </c>
      <c r="L47" s="135" t="s">
        <v>156</v>
      </c>
      <c r="M47" s="135" t="s">
        <v>157</v>
      </c>
      <c r="N47" s="135" t="s">
        <v>102</v>
      </c>
      <c r="O47" s="135" t="s">
        <v>140</v>
      </c>
      <c r="P47" s="135" t="s">
        <v>142</v>
      </c>
      <c r="Q47" s="135" t="s">
        <v>143</v>
      </c>
      <c r="R47" s="135" t="s">
        <v>144</v>
      </c>
      <c r="S47" s="135" t="s">
        <v>149</v>
      </c>
      <c r="T47" s="138" t="s">
        <v>150</v>
      </c>
    </row>
    <row r="48" spans="1:26" ht="42.75" x14ac:dyDescent="0.2">
      <c r="A48" s="333"/>
      <c r="B48" s="185" t="s">
        <v>78</v>
      </c>
      <c r="C48" s="186">
        <f>'Greenhouse HortLighting_Inputs'!G38</f>
        <v>0</v>
      </c>
      <c r="D48" s="187">
        <f>IFERROR(VLOOKUP('Greenhouse HortLighting_Inputs'!F38,'MiscLook-Up'!$H$11:$J$15,2)*C48,"")</f>
        <v>0</v>
      </c>
      <c r="E48" s="186">
        <f>(C48*(VLOOKUP('Greenhouse HortLighting_Inputs'!F38,'MiscLook-Up'!$H$11:$J$15, 3)))/1000</f>
        <v>0</v>
      </c>
      <c r="F48" s="186">
        <v>1.6</v>
      </c>
      <c r="G48" s="186">
        <f>IF('Greenhouse HortLighting_Inputs'!$D$32="Yes",#REF!, 1)</f>
        <v>1</v>
      </c>
      <c r="H48" s="186"/>
      <c r="I48" s="186"/>
      <c r="J48" s="186">
        <f>'Greenhouse HortLighting_Inputs'!E38</f>
        <v>0</v>
      </c>
      <c r="K48" s="186">
        <f>J48*G48</f>
        <v>0</v>
      </c>
      <c r="L48" s="186" t="e">
        <f>IF(#REF!="",0.594,#REF!)</f>
        <v>#REF!</v>
      </c>
      <c r="M48" s="186" t="e">
        <f>L48</f>
        <v>#REF!</v>
      </c>
      <c r="N48" s="186">
        <v>0.14099999999999999</v>
      </c>
      <c r="O48" s="186">
        <v>0.20100000000000001</v>
      </c>
      <c r="P48" s="188">
        <f>IFERROR(((D48/(F48*1000))*J48*(1+N48)),"")</f>
        <v>0</v>
      </c>
      <c r="Q48" s="188">
        <f>IFERROR((E48*K48*(1+N48)),"")</f>
        <v>0</v>
      </c>
      <c r="R48" s="188">
        <f>IFERROR(((D48/(F48*1000))*J48*(1+N48)) - (E48*K48*(1+N48)),"")</f>
        <v>0</v>
      </c>
      <c r="S48" s="186" t="str">
        <f>IFERROR(((D48/(F48*1000))*L48*(1+O48)) - (E48*G48*M48*(1+O48)),"")</f>
        <v/>
      </c>
      <c r="T48" s="189" t="e">
        <f>((D48/(F48*1000))*#REF!*(1+#REF!)) - (E48*G48*#REF!*(1+#REF!))</f>
        <v>#REF!</v>
      </c>
    </row>
    <row r="49" spans="1:20" ht="28.5" x14ac:dyDescent="0.2">
      <c r="A49" s="333"/>
      <c r="B49" s="185" t="s">
        <v>79</v>
      </c>
      <c r="C49" s="186">
        <f>'Greenhouse HortLighting_Inputs'!G39</f>
        <v>0</v>
      </c>
      <c r="D49" s="187">
        <f>IFERROR(VLOOKUP('Greenhouse HortLighting_Inputs'!F39,'MiscLook-Up'!$H$11:$J$15,2)*C49,"")</f>
        <v>0</v>
      </c>
      <c r="E49" s="186">
        <f>(C49*(VLOOKUP('Greenhouse HortLighting_Inputs'!F39,'MiscLook-Up'!$H$11:$J$15, 3)))/1000</f>
        <v>0</v>
      </c>
      <c r="F49" s="186">
        <v>1.6</v>
      </c>
      <c r="G49" s="186">
        <f>IF('Greenhouse HortLighting_Inputs'!$D$32="Yes",#REF!, 1)</f>
        <v>1</v>
      </c>
      <c r="H49" s="186"/>
      <c r="I49" s="186"/>
      <c r="J49" s="186">
        <f>'Greenhouse HortLighting_Inputs'!E39</f>
        <v>0</v>
      </c>
      <c r="K49" s="186">
        <f>J49*G49</f>
        <v>0</v>
      </c>
      <c r="L49" s="186" t="e">
        <f>IF(#REF!="",0.594,#REF!)</f>
        <v>#REF!</v>
      </c>
      <c r="M49" s="186" t="e">
        <f>L49</f>
        <v>#REF!</v>
      </c>
      <c r="N49" s="186">
        <v>0.14099999999999999</v>
      </c>
      <c r="O49" s="186">
        <v>0.20100000000000001</v>
      </c>
      <c r="P49" s="188">
        <f>IFERROR(((D49/(F49*1000))*J49*(1+N49)),"")</f>
        <v>0</v>
      </c>
      <c r="Q49" s="188">
        <f>IFERROR((E49*K49*(1+N49)),"")</f>
        <v>0</v>
      </c>
      <c r="R49" s="188">
        <f>IFERROR(((D49/(F49*1000))*J49*(1+N49)) - (E49*K49*(1+N49)),"")</f>
        <v>0</v>
      </c>
      <c r="S49" s="186" t="str">
        <f>IFERROR(((D49/(F49*1000))*L49*(1+O49)) - (E49*G49*M49*(1+O49)),"")</f>
        <v/>
      </c>
      <c r="T49" s="189" t="e">
        <f>((D49/(F49*1000))*#REF!*(1+#REF!)) - (E49*G49*#REF!*(1+#REF!))</f>
        <v>#REF!</v>
      </c>
    </row>
    <row r="50" spans="1:20" ht="28.5" customHeight="1" x14ac:dyDescent="0.2">
      <c r="A50" s="333"/>
      <c r="B50" s="185" t="s">
        <v>80</v>
      </c>
      <c r="C50" s="186">
        <f>'Greenhouse HortLighting_Inputs'!G40</f>
        <v>0</v>
      </c>
      <c r="D50" s="187">
        <f>IFERROR(VLOOKUP('Greenhouse HortLighting_Inputs'!F40,'MiscLook-Up'!$H$11:$J$15,2)*C50,"")</f>
        <v>0</v>
      </c>
      <c r="E50" s="186">
        <f>(C50*(VLOOKUP('Greenhouse HortLighting_Inputs'!F40,'MiscLook-Up'!$H$11:$J$15, 3)))/1000</f>
        <v>0</v>
      </c>
      <c r="F50" s="186">
        <v>1.6</v>
      </c>
      <c r="G50" s="186">
        <f>IF('Greenhouse HortLighting_Inputs'!$D$32="Yes",#REF!, 1)</f>
        <v>1</v>
      </c>
      <c r="H50" s="186"/>
      <c r="I50" s="186"/>
      <c r="J50" s="186">
        <f>'Greenhouse HortLighting_Inputs'!E40</f>
        <v>0</v>
      </c>
      <c r="K50" s="186">
        <f>J50*G50</f>
        <v>0</v>
      </c>
      <c r="L50" s="186" t="e">
        <f>IF(#REF!="",0.594,#REF!)</f>
        <v>#REF!</v>
      </c>
      <c r="M50" s="186" t="e">
        <f>L50</f>
        <v>#REF!</v>
      </c>
      <c r="N50" s="186">
        <v>0.14099999999999999</v>
      </c>
      <c r="O50" s="186">
        <v>0.20100000000000001</v>
      </c>
      <c r="P50" s="188">
        <f>IFERROR(((D50/(F50*1000))*J50*(1+N50)),"")</f>
        <v>0</v>
      </c>
      <c r="Q50" s="188">
        <f>IFERROR((E50*K50*(1+N50)),"")</f>
        <v>0</v>
      </c>
      <c r="R50" s="188">
        <f>IFERROR(((D50/(F50*1000))*J50*(1+N50)) - (E50*K50*(1+N50)),"")</f>
        <v>0</v>
      </c>
      <c r="S50" s="186" t="str">
        <f>IFERROR(((D50/(F50*1000))*L50*(1+O50)) - (E50*G50*M50*(1+O50)),"")</f>
        <v/>
      </c>
      <c r="T50" s="189" t="e">
        <f>((D50/(F50*1000))*#REF!*(1+#REF!)) - (E50*G50*#REF!*(1+#REF!))</f>
        <v>#REF!</v>
      </c>
    </row>
    <row r="51" spans="1:20" x14ac:dyDescent="0.2">
      <c r="A51" s="333"/>
      <c r="B51" s="185" t="s">
        <v>81</v>
      </c>
      <c r="C51" s="186">
        <f>'Greenhouse HortLighting_Inputs'!G41</f>
        <v>0</v>
      </c>
      <c r="D51" s="187">
        <f>IFERROR(VLOOKUP('Greenhouse HortLighting_Inputs'!F41,'MiscLook-Up'!$H$11:$J$15,2)*C51,"")</f>
        <v>0</v>
      </c>
      <c r="E51" s="186">
        <f>(C51*(VLOOKUP('Greenhouse HortLighting_Inputs'!F41,'MiscLook-Up'!$H$11:$J$15, 3)))/1000</f>
        <v>0</v>
      </c>
      <c r="F51" s="186">
        <v>1.6</v>
      </c>
      <c r="G51" s="186">
        <f>IF('Greenhouse HortLighting_Inputs'!$D$32="Yes",#REF!, 1)</f>
        <v>1</v>
      </c>
      <c r="H51" s="186"/>
      <c r="I51" s="186"/>
      <c r="J51" s="186">
        <f>'Greenhouse HortLighting_Inputs'!E41</f>
        <v>0</v>
      </c>
      <c r="K51" s="186">
        <f>J51*G51</f>
        <v>0</v>
      </c>
      <c r="L51" s="186" t="e">
        <f>IF(#REF!="",0.594,#REF!)</f>
        <v>#REF!</v>
      </c>
      <c r="M51" s="186" t="e">
        <f>L51</f>
        <v>#REF!</v>
      </c>
      <c r="N51" s="186">
        <v>0.14099999999999999</v>
      </c>
      <c r="O51" s="186">
        <v>0.20100000000000001</v>
      </c>
      <c r="P51" s="188">
        <f>IFERROR(((D51/(F51*1000))*J51*(1+N51)),"")</f>
        <v>0</v>
      </c>
      <c r="Q51" s="188">
        <f>IFERROR((E51*K51*(1+N51)),"")</f>
        <v>0</v>
      </c>
      <c r="R51" s="188">
        <f>IFERROR(((D51/(F51*1000))*J51*(1+N51)) - (E51*K51*(1+N51)),"")</f>
        <v>0</v>
      </c>
      <c r="S51" s="186" t="str">
        <f>IFERROR(((D51/(F51*1000))*L51*(1+O51)) - (E51*G51*M51*(1+O51)),"")</f>
        <v/>
      </c>
      <c r="T51" s="189" t="e">
        <f>((D51/(F51*1000))*#REF!*(1+#REF!)) - (E51*G51*#REF!*(1+#REF!))</f>
        <v>#REF!</v>
      </c>
    </row>
    <row r="52" spans="1:20" ht="14.25" customHeight="1" x14ac:dyDescent="0.2">
      <c r="A52" s="333"/>
      <c r="B52" s="185" t="s">
        <v>158</v>
      </c>
      <c r="C52" s="186">
        <f>'Greenhouse HortLighting_Inputs'!G42</f>
        <v>0</v>
      </c>
      <c r="D52" s="187" t="str">
        <f>IFERROR(VLOOKUP('Greenhouse HortLighting_Inputs'!F42,'MiscLook-Up'!$G$6:$I$8,2)*C52,"")</f>
        <v/>
      </c>
      <c r="E52" s="186" t="e">
        <f>(C52*(VLOOKUP('Greenhouse HortLighting_Inputs'!F42,'MiscLook-Up'!$G$6:$I$8, 3)))/1000</f>
        <v>#N/A</v>
      </c>
      <c r="F52" s="186">
        <v>1.6</v>
      </c>
      <c r="G52" s="186">
        <f>IF('Greenhouse HortLighting_Inputs'!$D$32="Yes",#REF!, 1)</f>
        <v>1</v>
      </c>
      <c r="H52" s="186"/>
      <c r="I52" s="186"/>
      <c r="J52" s="186">
        <f>'Greenhouse HortLighting_Inputs'!E42</f>
        <v>0</v>
      </c>
      <c r="K52" s="186">
        <f>J52*G52</f>
        <v>0</v>
      </c>
      <c r="L52" s="186" t="e">
        <f>IF(#REF!="",0.594,#REF!)</f>
        <v>#REF!</v>
      </c>
      <c r="M52" s="186" t="e">
        <f>L52</f>
        <v>#REF!</v>
      </c>
      <c r="N52" s="186">
        <v>0.14099999999999999</v>
      </c>
      <c r="O52" s="186">
        <v>0.20100000000000001</v>
      </c>
      <c r="P52" s="188" t="str">
        <f>IFERROR(((D52/(F52*1000))*J52*(1+N52)),"")</f>
        <v/>
      </c>
      <c r="Q52" s="186" t="str">
        <f>IFERROR((E52*K52*(1+N52)),"")</f>
        <v/>
      </c>
      <c r="R52" s="186" t="str">
        <f>IFERROR(((D52/(F52*1000))*J52*(1+N52)) - (E52*K52*(1+N52)),"")</f>
        <v/>
      </c>
      <c r="S52" s="186" t="str">
        <f>IFERROR(((D52/(F52*1000))*L52*(1+O52)) - (E52*G52*M52*(1+O52)),"")</f>
        <v/>
      </c>
      <c r="T52" s="189" t="e">
        <f>((D52/(F52*1000))*#REF!*(1+#REF!)) - (E52*G52*#REF!*(1+#REF!))</f>
        <v>#VALUE!</v>
      </c>
    </row>
    <row r="53" spans="1:20" ht="14.25" customHeight="1" x14ac:dyDescent="0.2">
      <c r="A53" s="333"/>
      <c r="B53" s="185" t="s">
        <v>151</v>
      </c>
      <c r="C53" s="334" t="str">
        <f>IFERROR(VLOOKUP('Indoor HortLighting_Inputs'!D53,'MiscLook-Up'!$G$6:$I$8,2)*#REF!,"")</f>
        <v/>
      </c>
      <c r="D53" s="335"/>
      <c r="E53" s="335"/>
      <c r="F53" s="335"/>
      <c r="G53" s="335"/>
      <c r="H53" s="335"/>
      <c r="I53" s="335"/>
      <c r="J53" s="335"/>
      <c r="K53" s="335"/>
      <c r="L53" s="335"/>
      <c r="M53" s="335"/>
      <c r="N53" s="335"/>
      <c r="O53" s="336"/>
      <c r="P53" s="188" t="str">
        <f>IF('Greenhouse HortLighting_Inputs'!$D$30="Cannabis", SUM(P48:P51), P52)</f>
        <v/>
      </c>
      <c r="Q53" s="188" t="str">
        <f>IF('Greenhouse HortLighting_Inputs'!$D$30="Cannabis", SUM(Q48:Q51), Q52)</f>
        <v/>
      </c>
      <c r="R53" s="188" t="str">
        <f>IF('Greenhouse HortLighting_Inputs'!$D$30="Cannabis", SUM(R48:R51), R52)</f>
        <v/>
      </c>
      <c r="S53" s="188" t="str">
        <f>IF('Greenhouse HortLighting_Inputs'!$D$30="Cannabis", SUM(S48:S51), S52)</f>
        <v/>
      </c>
      <c r="T53" s="189"/>
    </row>
    <row r="62" spans="1:20" ht="76.5" customHeight="1" x14ac:dyDescent="0.2"/>
  </sheetData>
  <mergeCells count="5">
    <mergeCell ref="A4:A11"/>
    <mergeCell ref="A47:A53"/>
    <mergeCell ref="C53:O53"/>
    <mergeCell ref="A14:A21"/>
    <mergeCell ref="S3:X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C1A8-0F7E-4DDF-8D4A-73E79F6AFE77}">
  <sheetPr codeName="Sheet8"/>
  <dimension ref="A2:V69"/>
  <sheetViews>
    <sheetView workbookViewId="0">
      <selection activeCell="D78" sqref="D78"/>
    </sheetView>
  </sheetViews>
  <sheetFormatPr defaultRowHeight="14.25" customHeight="1" x14ac:dyDescent="0.2"/>
  <cols>
    <col min="1" max="1" width="14.5" customWidth="1"/>
    <col min="2" max="2" width="18.5" style="41" customWidth="1"/>
    <col min="3" max="3" width="16.625" customWidth="1"/>
    <col min="4" max="4" width="12.875" bestFit="1" customWidth="1"/>
    <col min="7" max="7" width="11.875" bestFit="1" customWidth="1"/>
    <col min="8" max="8" width="18.125" customWidth="1"/>
    <col min="9" max="9" width="16.375" customWidth="1"/>
    <col min="10" max="10" width="10.875" bestFit="1" customWidth="1"/>
    <col min="12" max="12" width="11.125" bestFit="1" customWidth="1"/>
    <col min="13" max="13" width="12" bestFit="1" customWidth="1"/>
    <col min="14" max="16" width="13.75" bestFit="1" customWidth="1"/>
    <col min="17" max="17" width="17.625" bestFit="1" customWidth="1"/>
    <col min="18" max="18" width="15.75" bestFit="1" customWidth="1"/>
    <col min="21" max="21" width="66.875" bestFit="1" customWidth="1"/>
  </cols>
  <sheetData>
    <row r="2" spans="1:22" ht="15" x14ac:dyDescent="0.25">
      <c r="A2" s="332" t="s">
        <v>159</v>
      </c>
      <c r="B2" s="52"/>
      <c r="C2" s="56" t="s">
        <v>118</v>
      </c>
      <c r="D2" s="56" t="s">
        <v>119</v>
      </c>
      <c r="E2" s="56" t="s">
        <v>120</v>
      </c>
      <c r="F2" s="56" t="s">
        <v>122</v>
      </c>
      <c r="G2" s="59" t="s">
        <v>125</v>
      </c>
      <c r="H2" s="60" t="s">
        <v>126</v>
      </c>
      <c r="I2" s="59" t="s">
        <v>127</v>
      </c>
      <c r="J2" s="56" t="s">
        <v>156</v>
      </c>
      <c r="K2" s="56" t="s">
        <v>157</v>
      </c>
      <c r="L2" s="56" t="s">
        <v>102</v>
      </c>
      <c r="M2" s="56" t="s">
        <v>140</v>
      </c>
      <c r="N2" s="57" t="s">
        <v>142</v>
      </c>
      <c r="O2" s="57" t="s">
        <v>143</v>
      </c>
      <c r="P2" s="56" t="s">
        <v>144</v>
      </c>
      <c r="Q2" s="56" t="s">
        <v>149</v>
      </c>
      <c r="R2" s="61" t="s">
        <v>150</v>
      </c>
    </row>
    <row r="3" spans="1:22" ht="42.75" x14ac:dyDescent="0.2">
      <c r="A3" s="332"/>
      <c r="B3" s="53" t="s">
        <v>78</v>
      </c>
      <c r="C3" s="54">
        <f>'Indoor HortLighting_Inputs'!D38</f>
        <v>0</v>
      </c>
      <c r="D3" s="55" t="str">
        <f>IFERROR(VLOOKUP('Greenhouse HortLighting_Inputs'!F38,'MiscLook-Up'!$G$6:$I$8,2)*C3,"")</f>
        <v/>
      </c>
      <c r="E3" s="54" t="e">
        <f>(C3*(VLOOKUP('Indoor HortLighting_Inputs'!E38,'MiscLook-Up'!$G$6:$I$8, 3)))/1000</f>
        <v>#N/A</v>
      </c>
      <c r="F3" s="54">
        <v>1.6</v>
      </c>
      <c r="G3" s="54">
        <f>IF('Indoor HortLighting_Inputs'!$D$32="Yes",#REF!, 1)</f>
        <v>1</v>
      </c>
      <c r="H3" s="54" t="e">
        <f>ABS(('Indoor HortLighting_Inputs'!#REF!)-('Indoor HortLighting_Inputs'!#REF!))*(365-'Indoor HortLighting_Inputs'!H38)</f>
        <v>#REF!</v>
      </c>
      <c r="I3" s="54" t="e">
        <f>H3*G3</f>
        <v>#REF!</v>
      </c>
      <c r="J3" s="54" t="e">
        <f>IF('Calc-Indoor'!B66="",0.594,'Calc-Indoor'!B66)</f>
        <v>#REF!</v>
      </c>
      <c r="K3" s="54" t="e">
        <f>J3</f>
        <v>#REF!</v>
      </c>
      <c r="L3" s="54">
        <v>0.14099999999999999</v>
      </c>
      <c r="M3" s="54">
        <v>0.20100000000000001</v>
      </c>
      <c r="N3" s="58" t="str">
        <f>IFERROR(((D3/(F3*1000))*H3*(1+L3)),"")</f>
        <v/>
      </c>
      <c r="O3" s="58" t="str">
        <f>IFERROR((E3*I3*(1+L3)),"")</f>
        <v/>
      </c>
      <c r="P3" s="58" t="str">
        <f>IFERROR(((D3/(F3*1000))*H3*(1+L3)) - (E3*I3*(1+L3)),"")</f>
        <v/>
      </c>
      <c r="Q3" s="54" t="str">
        <f>IFERROR(((D3/(F3*1000))*J3*(1+M3)) - (E3*G3*K3*(1+M3)),"")</f>
        <v/>
      </c>
      <c r="R3" s="62" t="e">
        <f>((D3/(F3*1000))*#REF!*(1+#REF!)) - (E3*G3*#REF!*(1+#REF!))</f>
        <v>#VALUE!</v>
      </c>
      <c r="U3" s="41"/>
      <c r="V3" s="41"/>
    </row>
    <row r="4" spans="1:22" ht="28.5" x14ac:dyDescent="0.2">
      <c r="A4" s="332"/>
      <c r="B4" s="53" t="s">
        <v>79</v>
      </c>
      <c r="C4" s="54">
        <f>'Indoor HortLighting_Inputs'!D39</f>
        <v>0</v>
      </c>
      <c r="D4" s="55" t="str">
        <f>IFERROR(VLOOKUP('Indoor HortLighting_Inputs'!E39,'MiscLook-Up'!$G$6:$I$8,2)*C4,"")</f>
        <v/>
      </c>
      <c r="E4" s="54" t="e">
        <f>(C4*(VLOOKUP('Indoor HortLighting_Inputs'!E39,'MiscLook-Up'!$G$6:$I$8, 3)))/1000</f>
        <v>#N/A</v>
      </c>
      <c r="F4" s="54">
        <v>1.6</v>
      </c>
      <c r="G4" s="54">
        <f>IF('Indoor HortLighting_Inputs'!$D$32="Yes",#REF!, 1)</f>
        <v>1</v>
      </c>
      <c r="H4" s="54" t="e">
        <f>ABS(('Indoor HortLighting_Inputs'!#REF!)-('Indoor HortLighting_Inputs'!#REF!))*(365-'Indoor HortLighting_Inputs'!H39)</f>
        <v>#REF!</v>
      </c>
      <c r="I4" s="54" t="e">
        <f t="shared" ref="I4:I7" si="0">H4*G4</f>
        <v>#REF!</v>
      </c>
      <c r="J4" s="54" t="e">
        <f>IF('Calc-Indoor'!C66="",0.594,'Calc-Indoor'!C66)</f>
        <v>#REF!</v>
      </c>
      <c r="K4" s="54" t="e">
        <f t="shared" ref="K4:K7" si="1">J4</f>
        <v>#REF!</v>
      </c>
      <c r="L4" s="54">
        <v>0.14099999999999999</v>
      </c>
      <c r="M4" s="54">
        <v>0.20100000000000001</v>
      </c>
      <c r="N4" s="58" t="str">
        <f t="shared" ref="N4:N7" si="2">IFERROR(((D4/(F4*1000))*H4*(1+L4)),"")</f>
        <v/>
      </c>
      <c r="O4" s="58" t="str">
        <f t="shared" ref="O4:O7" si="3">IFERROR((E4*I4*(1+L4)),"")</f>
        <v/>
      </c>
      <c r="P4" s="58" t="str">
        <f>IFERROR(((D4/(F4*1000))*H4*(1+L4)) - (E4*I4*(1+L4)),"")</f>
        <v/>
      </c>
      <c r="Q4" s="54" t="str">
        <f t="shared" ref="Q4:Q7" si="4">IFERROR(((D4/(F4*1000))*J4*(1+M4)) - (E4*G4*K4*(1+M4)),"")</f>
        <v/>
      </c>
      <c r="R4" s="62" t="e">
        <f>((D4/(F4*1000))*#REF!*(1+#REF!)) - (E4*G4*#REF!*(1+#REF!))</f>
        <v>#VALUE!</v>
      </c>
    </row>
    <row r="5" spans="1:22" ht="28.5" x14ac:dyDescent="0.2">
      <c r="A5" s="332"/>
      <c r="B5" s="53" t="s">
        <v>80</v>
      </c>
      <c r="C5" s="54">
        <f>'Indoor HortLighting_Inputs'!D40</f>
        <v>0</v>
      </c>
      <c r="D5" s="55" t="str">
        <f>IFERROR(VLOOKUP('Indoor HortLighting_Inputs'!E40,'MiscLook-Up'!$G$6:$I$8,2)*C5,"")</f>
        <v/>
      </c>
      <c r="E5" s="54" t="e">
        <f>(C5*(VLOOKUP('Indoor HortLighting_Inputs'!E40,'MiscLook-Up'!$G$6:$I$8, 3)))/1000</f>
        <v>#N/A</v>
      </c>
      <c r="F5" s="54">
        <v>1.6</v>
      </c>
      <c r="G5" s="54">
        <f>IF('Indoor HortLighting_Inputs'!$D$32="Yes",#REF!, 1)</f>
        <v>1</v>
      </c>
      <c r="H5" s="54" t="e">
        <f>ABS(('Indoor HortLighting_Inputs'!#REF!)-('Indoor HortLighting_Inputs'!#REF!))*(365-'Indoor HortLighting_Inputs'!H40)</f>
        <v>#REF!</v>
      </c>
      <c r="I5" s="54" t="e">
        <f t="shared" si="0"/>
        <v>#REF!</v>
      </c>
      <c r="J5" s="54" t="e">
        <f>IF('Calc-Indoor'!D66="",0.594,'Calc-Indoor'!D66)</f>
        <v>#REF!</v>
      </c>
      <c r="K5" s="54" t="e">
        <f t="shared" si="1"/>
        <v>#REF!</v>
      </c>
      <c r="L5" s="54">
        <v>0.14099999999999999</v>
      </c>
      <c r="M5" s="54">
        <v>0.20100000000000001</v>
      </c>
      <c r="N5" s="58" t="str">
        <f t="shared" si="2"/>
        <v/>
      </c>
      <c r="O5" s="58" t="str">
        <f t="shared" si="3"/>
        <v/>
      </c>
      <c r="P5" s="58" t="str">
        <f>IFERROR(((D5/(F5*1000))*H5*(1+L5)) - (E5*I5*(1+L5)),"")</f>
        <v/>
      </c>
      <c r="Q5" s="54" t="str">
        <f t="shared" si="4"/>
        <v/>
      </c>
      <c r="R5" s="62" t="e">
        <f>((D5/(F5*1000))*#REF!*(1+#REF!)) - (E5*G5*#REF!*(1+#REF!))</f>
        <v>#VALUE!</v>
      </c>
    </row>
    <row r="6" spans="1:22" x14ac:dyDescent="0.2">
      <c r="A6" s="332"/>
      <c r="B6" s="53" t="s">
        <v>81</v>
      </c>
      <c r="C6" s="54">
        <f>'Indoor HortLighting_Inputs'!D41</f>
        <v>0</v>
      </c>
      <c r="D6" s="55" t="str">
        <f>IFERROR(VLOOKUP('Indoor HortLighting_Inputs'!E41,'MiscLook-Up'!$G$6:$I$8,2)*C6,"")</f>
        <v/>
      </c>
      <c r="E6" s="54" t="e">
        <f>(C6*(VLOOKUP('Indoor HortLighting_Inputs'!E41,'MiscLook-Up'!$G$6:$I$8, 3)))/1000</f>
        <v>#N/A</v>
      </c>
      <c r="F6" s="54">
        <v>1.6</v>
      </c>
      <c r="G6" s="54">
        <f>IF('Indoor HortLighting_Inputs'!$D$32="Yes",#REF!, 1)</f>
        <v>1</v>
      </c>
      <c r="H6" s="54" t="e">
        <f>ABS(('Indoor HortLighting_Inputs'!#REF!)-('Indoor HortLighting_Inputs'!#REF!))*(365-'Indoor HortLighting_Inputs'!H41)</f>
        <v>#REF!</v>
      </c>
      <c r="I6" s="54" t="e">
        <f t="shared" si="0"/>
        <v>#REF!</v>
      </c>
      <c r="J6" s="54" t="e">
        <f>IF('Calc-Indoor'!E66="",0.594,'Calc-Indoor'!E66)</f>
        <v>#REF!</v>
      </c>
      <c r="K6" s="54" t="e">
        <f t="shared" si="1"/>
        <v>#REF!</v>
      </c>
      <c r="L6" s="54">
        <v>0.14099999999999999</v>
      </c>
      <c r="M6" s="54">
        <v>0.20100000000000001</v>
      </c>
      <c r="N6" s="58" t="str">
        <f t="shared" si="2"/>
        <v/>
      </c>
      <c r="O6" s="58" t="str">
        <f t="shared" si="3"/>
        <v/>
      </c>
      <c r="P6" s="58" t="str">
        <f>IFERROR(((D6/(F6*1000))*H6*(1+L6)) - (E6*I6*(1+L6)),"")</f>
        <v/>
      </c>
      <c r="Q6" s="54" t="str">
        <f t="shared" si="4"/>
        <v/>
      </c>
      <c r="R6" s="62" t="e">
        <f>((D6/(F6*1000))*#REF!*(1+#REF!)) - (E6*G6*#REF!*(1+#REF!))</f>
        <v>#VALUE!</v>
      </c>
    </row>
    <row r="7" spans="1:22" x14ac:dyDescent="0.2">
      <c r="A7" s="332"/>
      <c r="B7" s="53" t="s">
        <v>158</v>
      </c>
      <c r="C7" s="54">
        <f>'Indoor HortLighting_Inputs'!D42</f>
        <v>0</v>
      </c>
      <c r="D7" s="54" t="str">
        <f>IFERROR(VLOOKUP('Indoor HortLighting_Inputs'!E42,'MiscLook-Up'!$G$6:$I$8,2)*C7,"")</f>
        <v/>
      </c>
      <c r="E7" s="54" t="e">
        <f>(C7*(VLOOKUP('Indoor HortLighting_Inputs'!E42,'MiscLook-Up'!$G$6:$I$8, 3)))/1000</f>
        <v>#N/A</v>
      </c>
      <c r="F7" s="54">
        <v>1.6</v>
      </c>
      <c r="G7" s="54">
        <f>IF('Indoor HortLighting_Inputs'!$D$32="Yes",#REF!, 1)</f>
        <v>1</v>
      </c>
      <c r="H7" s="54" t="e">
        <f>ABS(('Indoor HortLighting_Inputs'!#REF!)-('Indoor HortLighting_Inputs'!#REF!))*(365-'Indoor HortLighting_Inputs'!H42)</f>
        <v>#REF!</v>
      </c>
      <c r="I7" s="54" t="e">
        <f t="shared" si="0"/>
        <v>#REF!</v>
      </c>
      <c r="J7" s="54" t="e">
        <f>IF('Calc-Indoor'!E67="",0.594,'Calc-Indoor'!F66)</f>
        <v>#REF!</v>
      </c>
      <c r="K7" s="54" t="e">
        <f t="shared" si="1"/>
        <v>#REF!</v>
      </c>
      <c r="L7" s="54">
        <v>0.14099999999999999</v>
      </c>
      <c r="M7" s="54">
        <v>0.20100000000000001</v>
      </c>
      <c r="N7" s="54" t="str">
        <f t="shared" si="2"/>
        <v/>
      </c>
      <c r="O7" s="54" t="str">
        <f t="shared" si="3"/>
        <v/>
      </c>
      <c r="P7" s="58" t="str">
        <f>IFERROR(((D7/(F7*1000))*H7*(1+L7)) - (E7*I7*(1+L7)),"")</f>
        <v/>
      </c>
      <c r="Q7" s="54" t="str">
        <f t="shared" si="4"/>
        <v/>
      </c>
      <c r="R7" s="62" t="e">
        <f>((D7/(F7*1000))*#REF!*(1+#REF!)) - (E7*G7*#REF!*(1+#REF!))</f>
        <v>#VALUE!</v>
      </c>
    </row>
    <row r="8" spans="1:22" x14ac:dyDescent="0.2">
      <c r="A8" s="332"/>
      <c r="B8" s="53" t="s">
        <v>151</v>
      </c>
      <c r="C8" s="83" t="str">
        <f>IFERROR(VLOOKUP('Indoor HortLighting_Inputs'!F43,'MiscLook-Up'!$G$6:$I$8,2)*#REF!,"")</f>
        <v/>
      </c>
      <c r="D8" s="83"/>
      <c r="E8" s="83"/>
      <c r="F8" s="83"/>
      <c r="G8" s="83"/>
      <c r="H8" s="83"/>
      <c r="I8" s="83"/>
      <c r="J8" s="83"/>
      <c r="K8" s="83"/>
      <c r="L8" s="83"/>
      <c r="M8" s="83"/>
      <c r="N8" s="83"/>
      <c r="O8" s="83"/>
      <c r="P8" s="58" t="str">
        <f>IF('Indoor HortLighting_Inputs'!D30="Cannabis",SUM(P3:P6), P7)</f>
        <v/>
      </c>
      <c r="Q8" s="58" t="str">
        <f>IF('Indoor HortLighting_Inputs'!D30="Cannabis",SUM(Q3:Q6), Q7)</f>
        <v/>
      </c>
      <c r="R8" s="62"/>
    </row>
    <row r="10" spans="1:22" hidden="1" x14ac:dyDescent="0.2"/>
    <row r="11" spans="1:22" hidden="1" x14ac:dyDescent="0.2"/>
    <row r="12" spans="1:22" ht="15" hidden="1" x14ac:dyDescent="0.25">
      <c r="A12" s="332" t="s">
        <v>152</v>
      </c>
      <c r="B12" s="52"/>
      <c r="C12" s="56" t="s">
        <v>118</v>
      </c>
      <c r="D12" s="56" t="s">
        <v>119</v>
      </c>
      <c r="E12" s="56" t="s">
        <v>120</v>
      </c>
      <c r="F12" s="56" t="s">
        <v>122</v>
      </c>
      <c r="G12" s="59" t="s">
        <v>125</v>
      </c>
      <c r="H12" s="60" t="s">
        <v>126</v>
      </c>
      <c r="I12" s="59" t="s">
        <v>127</v>
      </c>
      <c r="J12" s="56" t="s">
        <v>156</v>
      </c>
      <c r="K12" s="56" t="s">
        <v>157</v>
      </c>
      <c r="L12" s="56" t="s">
        <v>102</v>
      </c>
      <c r="M12" s="56" t="s">
        <v>140</v>
      </c>
      <c r="N12" s="57" t="s">
        <v>142</v>
      </c>
      <c r="O12" s="57" t="s">
        <v>143</v>
      </c>
      <c r="P12" s="56" t="s">
        <v>144</v>
      </c>
      <c r="Q12" s="56" t="s">
        <v>149</v>
      </c>
      <c r="R12" s="61" t="s">
        <v>150</v>
      </c>
    </row>
    <row r="13" spans="1:22" ht="42.75" hidden="1" x14ac:dyDescent="0.2">
      <c r="A13" s="332"/>
      <c r="B13" s="53" t="s">
        <v>78</v>
      </c>
      <c r="C13" s="54">
        <f>'Greenhouse HortLighting_Inputs'!G38</f>
        <v>0</v>
      </c>
      <c r="D13" s="55">
        <f>IFERROR(VLOOKUP('Greenhouse HortLighting_Inputs'!F38,'MiscLook-Up'!$H$11:$J$15,2)*C13,"")</f>
        <v>0</v>
      </c>
      <c r="E13" s="54">
        <f>(C13*(VLOOKUP('Greenhouse HortLighting_Inputs'!F38,'MiscLook-Up'!$H$11:$J$15, 3)))/1000</f>
        <v>0</v>
      </c>
      <c r="F13" s="54">
        <v>1.6</v>
      </c>
      <c r="G13" s="54">
        <f>IF('Greenhouse HortLighting_Inputs'!$D$32="Yes",#REF!, 1)</f>
        <v>1</v>
      </c>
      <c r="H13" s="54">
        <f>'Greenhouse HortLighting_Inputs'!E38</f>
        <v>0</v>
      </c>
      <c r="I13" s="54">
        <f>H13*G13</f>
        <v>0</v>
      </c>
      <c r="J13" s="54" t="e">
        <f>IF(I66="",0.594,I66)</f>
        <v>#DIV/0!</v>
      </c>
      <c r="K13" s="54" t="e">
        <f>J13</f>
        <v>#DIV/0!</v>
      </c>
      <c r="L13" s="54">
        <v>0.14099999999999999</v>
      </c>
      <c r="M13" s="54">
        <v>0.20100000000000001</v>
      </c>
      <c r="N13" s="58">
        <f>IFERROR(((D13/(F13*1000))*H13*(1+L13)),"")</f>
        <v>0</v>
      </c>
      <c r="O13" s="58">
        <f>IFERROR((E13*I13*(1+L13)),"")</f>
        <v>0</v>
      </c>
      <c r="P13" s="58">
        <f>IFERROR(((D13/(F13*1000))*H13*(1+L13)) - (E13*I13*(1+L13)),"")</f>
        <v>0</v>
      </c>
      <c r="Q13" s="54" t="str">
        <f>IFERROR(((D13/(F13*1000))*J13*(1+M13)) - (E13*G13*K13*(1+M13)),"")</f>
        <v/>
      </c>
      <c r="R13" s="62" t="e">
        <f>((D13/(F13*1000))*#REF!*(1+#REF!)) - (E13*G13*#REF!*(1+#REF!))</f>
        <v>#REF!</v>
      </c>
    </row>
    <row r="14" spans="1:22" ht="28.5" hidden="1" x14ac:dyDescent="0.2">
      <c r="A14" s="332"/>
      <c r="B14" s="53" t="s">
        <v>79</v>
      </c>
      <c r="C14" s="54">
        <f>'Greenhouse HortLighting_Inputs'!G39</f>
        <v>0</v>
      </c>
      <c r="D14" s="55">
        <f>IFERROR(VLOOKUP('Greenhouse HortLighting_Inputs'!F39,'MiscLook-Up'!$H$11:$J$15,2)*C14,"")</f>
        <v>0</v>
      </c>
      <c r="E14" s="54">
        <f>(C14*(VLOOKUP('Greenhouse HortLighting_Inputs'!F39,'MiscLook-Up'!$H$11:$J$15, 3)))/1000</f>
        <v>0</v>
      </c>
      <c r="F14" s="54">
        <v>1.6</v>
      </c>
      <c r="G14" s="54">
        <f>IF('Greenhouse HortLighting_Inputs'!$D$32="Yes",#REF!, 1)</f>
        <v>1</v>
      </c>
      <c r="H14" s="54">
        <f>'Greenhouse HortLighting_Inputs'!E39</f>
        <v>0</v>
      </c>
      <c r="I14" s="54">
        <f t="shared" ref="I14:I17" si="5">H14*G14</f>
        <v>0</v>
      </c>
      <c r="J14" s="54" t="e">
        <f>IF(J66="",0.594,J66)</f>
        <v>#DIV/0!</v>
      </c>
      <c r="K14" s="54" t="e">
        <f t="shared" ref="K14:K17" si="6">J14</f>
        <v>#DIV/0!</v>
      </c>
      <c r="L14" s="54">
        <v>0.14099999999999999</v>
      </c>
      <c r="M14" s="54">
        <v>0.20100000000000001</v>
      </c>
      <c r="N14" s="58">
        <f t="shared" ref="N14:N17" si="7">IFERROR(((D14/(F14*1000))*H14*(1+L14)),"")</f>
        <v>0</v>
      </c>
      <c r="O14" s="58">
        <f t="shared" ref="O14:O17" si="8">IFERROR((E14*I14*(1+L14)),"")</f>
        <v>0</v>
      </c>
      <c r="P14" s="58">
        <f>IFERROR(((D14/(F14*1000))*H14*(1+L14)) - (E14*I14*(1+L14)),"")</f>
        <v>0</v>
      </c>
      <c r="Q14" s="54" t="str">
        <f>IFERROR(((D14/(F14*1000))*J14*(1+M14)) - (E14*G14*K14*(1+M14)),"")</f>
        <v/>
      </c>
      <c r="R14" s="62" t="e">
        <f>((D14/(F14*1000))*#REF!*(1+#REF!)) - (E14*G14*#REF!*(1+#REF!))</f>
        <v>#REF!</v>
      </c>
    </row>
    <row r="15" spans="1:22" ht="28.5" hidden="1" customHeight="1" x14ac:dyDescent="0.2">
      <c r="A15" s="332"/>
      <c r="B15" s="53" t="s">
        <v>80</v>
      </c>
      <c r="C15" s="54">
        <f>'Greenhouse HortLighting_Inputs'!G40</f>
        <v>0</v>
      </c>
      <c r="D15" s="55">
        <f>IFERROR(VLOOKUP('Greenhouse HortLighting_Inputs'!F40,'MiscLook-Up'!$H$11:$J$15,2)*C15,"")</f>
        <v>0</v>
      </c>
      <c r="E15" s="54">
        <f>(C15*(VLOOKUP('Greenhouse HortLighting_Inputs'!F40,'MiscLook-Up'!$H$11:$J$15, 3)))/1000</f>
        <v>0</v>
      </c>
      <c r="F15" s="54">
        <v>1.6</v>
      </c>
      <c r="G15" s="54">
        <f>IF('Greenhouse HortLighting_Inputs'!$D$32="Yes",#REF!, 1)</f>
        <v>1</v>
      </c>
      <c r="H15" s="54">
        <f>'Greenhouse HortLighting_Inputs'!E40</f>
        <v>0</v>
      </c>
      <c r="I15" s="54">
        <f t="shared" si="5"/>
        <v>0</v>
      </c>
      <c r="J15" s="54" t="e">
        <f>IF(K66="",0.594,K66)</f>
        <v>#DIV/0!</v>
      </c>
      <c r="K15" s="54" t="e">
        <f t="shared" si="6"/>
        <v>#DIV/0!</v>
      </c>
      <c r="L15" s="54">
        <v>0.14099999999999999</v>
      </c>
      <c r="M15" s="54">
        <v>0.20100000000000001</v>
      </c>
      <c r="N15" s="58">
        <f t="shared" si="7"/>
        <v>0</v>
      </c>
      <c r="O15" s="58">
        <f t="shared" si="8"/>
        <v>0</v>
      </c>
      <c r="P15" s="58">
        <f>IFERROR(((D15/(F15*1000))*H15*(1+L15)) - (E15*I15*(1+L15)),"")</f>
        <v>0</v>
      </c>
      <c r="Q15" s="54" t="str">
        <f>IFERROR(((D15/(F15*1000))*J15*(1+M15)) - (E15*G15*K15*(1+M15)),"")</f>
        <v/>
      </c>
      <c r="R15" s="62" t="e">
        <f>((D15/(F15*1000))*#REF!*(1+#REF!)) - (E15*G15*#REF!*(1+#REF!))</f>
        <v>#REF!</v>
      </c>
    </row>
    <row r="16" spans="1:22" hidden="1" x14ac:dyDescent="0.2">
      <c r="A16" s="332"/>
      <c r="B16" s="53" t="s">
        <v>81</v>
      </c>
      <c r="C16" s="54">
        <f>'Greenhouse HortLighting_Inputs'!G41</f>
        <v>0</v>
      </c>
      <c r="D16" s="55">
        <f>IFERROR(VLOOKUP('Greenhouse HortLighting_Inputs'!F41,'MiscLook-Up'!$H$11:$J$15,2)*C16,"")</f>
        <v>0</v>
      </c>
      <c r="E16" s="54">
        <f>(C16*(VLOOKUP('Greenhouse HortLighting_Inputs'!F41,'MiscLook-Up'!$H$11:$J$15, 3)))/1000</f>
        <v>0</v>
      </c>
      <c r="F16" s="54">
        <v>1.6</v>
      </c>
      <c r="G16" s="54">
        <f>IF('Greenhouse HortLighting_Inputs'!$D$32="Yes",#REF!, 1)</f>
        <v>1</v>
      </c>
      <c r="H16" s="54">
        <f>'Greenhouse HortLighting_Inputs'!E41</f>
        <v>0</v>
      </c>
      <c r="I16" s="54">
        <f t="shared" si="5"/>
        <v>0</v>
      </c>
      <c r="J16" s="54" t="e">
        <f>IF(L66="",0.594,L66)</f>
        <v>#DIV/0!</v>
      </c>
      <c r="K16" s="54" t="e">
        <f t="shared" si="6"/>
        <v>#DIV/0!</v>
      </c>
      <c r="L16" s="54">
        <v>0.14099999999999999</v>
      </c>
      <c r="M16" s="54">
        <v>0.20100000000000001</v>
      </c>
      <c r="N16" s="58">
        <f t="shared" si="7"/>
        <v>0</v>
      </c>
      <c r="O16" s="58">
        <f t="shared" si="8"/>
        <v>0</v>
      </c>
      <c r="P16" s="58">
        <f>IFERROR(((D16/(F16*1000))*H16*(1+L16)) - (E16*I16*(1+L16)),"")</f>
        <v>0</v>
      </c>
      <c r="Q16" s="54" t="str">
        <f>IFERROR(((D16/(F16*1000))*J16*(1+M16)) - (E16*G16*K16*(1+M16)),"")</f>
        <v/>
      </c>
      <c r="R16" s="62" t="e">
        <f>((D16/(F16*1000))*#REF!*(1+#REF!)) - (E16*G16*#REF!*(1+#REF!))</f>
        <v>#REF!</v>
      </c>
    </row>
    <row r="17" spans="1:18" ht="14.25" hidden="1" customHeight="1" x14ac:dyDescent="0.2">
      <c r="A17" s="332"/>
      <c r="B17" s="53" t="s">
        <v>158</v>
      </c>
      <c r="C17" s="54">
        <f>'Greenhouse HortLighting_Inputs'!G42</f>
        <v>0</v>
      </c>
      <c r="D17" s="79" t="str">
        <f>IFERROR(VLOOKUP('Greenhouse HortLighting_Inputs'!F42,'MiscLook-Up'!$G$6:$I$8,2)*C17,"")</f>
        <v/>
      </c>
      <c r="E17" s="54" t="e">
        <f>(C17*(VLOOKUP('Greenhouse HortLighting_Inputs'!F42,'MiscLook-Up'!$G$6:$I$8, 3)))/1000</f>
        <v>#N/A</v>
      </c>
      <c r="F17" s="54">
        <v>1.6</v>
      </c>
      <c r="G17" s="54">
        <f>IF('Greenhouse HortLighting_Inputs'!$D$32="Yes",#REF!, 1)</f>
        <v>1</v>
      </c>
      <c r="H17" s="54">
        <f>'Greenhouse HortLighting_Inputs'!E42</f>
        <v>0</v>
      </c>
      <c r="I17" s="54">
        <f t="shared" si="5"/>
        <v>0</v>
      </c>
      <c r="J17" s="54" t="e">
        <f>IF(M66="",0.594,M66)</f>
        <v>#DIV/0!</v>
      </c>
      <c r="K17" s="54" t="e">
        <f t="shared" si="6"/>
        <v>#DIV/0!</v>
      </c>
      <c r="L17" s="54">
        <v>0.14099999999999999</v>
      </c>
      <c r="M17" s="54">
        <v>0.20100000000000001</v>
      </c>
      <c r="N17" s="58" t="str">
        <f t="shared" si="7"/>
        <v/>
      </c>
      <c r="O17" s="54" t="str">
        <f t="shared" si="8"/>
        <v/>
      </c>
      <c r="P17" s="54" t="str">
        <f>IFERROR(((D17/(F17*1000))*H17*(1+L17)) - (E17*I17*(1+L17)),"")</f>
        <v/>
      </c>
      <c r="Q17" s="54" t="str">
        <f>IFERROR(((D17/(F17*1000))*J17*(1+M17)) - (E17*G17*K17*(1+M17)),"")</f>
        <v/>
      </c>
      <c r="R17" s="62" t="e">
        <f>((D17/(F17*1000))*#REF!*(1+#REF!)) - (E17*G17*#REF!*(1+#REF!))</f>
        <v>#VALUE!</v>
      </c>
    </row>
    <row r="18" spans="1:18" ht="14.25" hidden="1" customHeight="1" x14ac:dyDescent="0.2">
      <c r="A18" s="332"/>
      <c r="B18" s="53" t="s">
        <v>151</v>
      </c>
      <c r="C18" s="341" t="str">
        <f>IFERROR(VLOOKUP('Indoor HortLighting_Inputs'!D53,'MiscLook-Up'!$G$6:$I$8,2)*#REF!,"")</f>
        <v/>
      </c>
      <c r="D18" s="342"/>
      <c r="E18" s="342"/>
      <c r="F18" s="342"/>
      <c r="G18" s="342"/>
      <c r="H18" s="342"/>
      <c r="I18" s="342"/>
      <c r="J18" s="342"/>
      <c r="K18" s="342"/>
      <c r="L18" s="342"/>
      <c r="M18" s="343"/>
      <c r="N18" s="58" t="str">
        <f>IF('Greenhouse HortLighting_Inputs'!$D$30="Cannabis", SUM(N13:N16), N17)</f>
        <v/>
      </c>
      <c r="O18" s="58" t="str">
        <f>IF('Greenhouse HortLighting_Inputs'!$D$30="Cannabis", SUM(O13:O16), O17)</f>
        <v/>
      </c>
      <c r="P18" s="58" t="str">
        <f>IF('Greenhouse HortLighting_Inputs'!$D$30="Cannabis", SUM(P13:P16), P17)</f>
        <v/>
      </c>
      <c r="Q18" s="58" t="str">
        <f>IF('Greenhouse HortLighting_Inputs'!$D$30="Cannabis", SUM(Q13:Q16), Q17)</f>
        <v/>
      </c>
      <c r="R18" s="62"/>
    </row>
    <row r="19" spans="1:18" ht="14.25" hidden="1" customHeight="1" x14ac:dyDescent="0.2"/>
    <row r="20" spans="1:18" ht="14.25" hidden="1" customHeight="1" x14ac:dyDescent="0.2"/>
    <row r="21" spans="1:18" ht="14.25" hidden="1" customHeight="1" thickBot="1" x14ac:dyDescent="0.25"/>
    <row r="22" spans="1:18" ht="14.25" hidden="1" customHeight="1" x14ac:dyDescent="0.2">
      <c r="A22" s="63" t="s">
        <v>88</v>
      </c>
      <c r="B22" s="81"/>
      <c r="C22" s="74"/>
      <c r="D22" s="74"/>
      <c r="E22" s="74"/>
      <c r="F22" s="64"/>
      <c r="H22" s="63" t="s">
        <v>89</v>
      </c>
      <c r="I22" s="74"/>
      <c r="J22" s="74"/>
      <c r="K22" s="74"/>
      <c r="L22" s="74"/>
      <c r="M22" s="64"/>
    </row>
    <row r="23" spans="1:18" ht="14.25" hidden="1" customHeight="1" thickBot="1" x14ac:dyDescent="0.25">
      <c r="A23" s="82" t="s">
        <v>160</v>
      </c>
      <c r="B23"/>
      <c r="F23" s="65"/>
      <c r="H23" s="82"/>
      <c r="M23" s="65"/>
    </row>
    <row r="24" spans="1:18" ht="14.25" hidden="1" customHeight="1" thickBot="1" x14ac:dyDescent="0.25">
      <c r="A24" s="63"/>
      <c r="B24" s="42" t="s">
        <v>78</v>
      </c>
      <c r="C24" s="43" t="s">
        <v>79</v>
      </c>
      <c r="D24" s="43" t="s">
        <v>80</v>
      </c>
      <c r="E24" s="43" t="s">
        <v>81</v>
      </c>
      <c r="F24" s="44" t="s">
        <v>158</v>
      </c>
      <c r="H24" s="82"/>
      <c r="M24" s="65"/>
    </row>
    <row r="25" spans="1:18" ht="14.25" hidden="1" customHeight="1" x14ac:dyDescent="0.2">
      <c r="A25" s="67" t="s">
        <v>161</v>
      </c>
      <c r="B25"/>
      <c r="F25" s="65"/>
      <c r="H25" s="82"/>
      <c r="M25" s="65"/>
    </row>
    <row r="26" spans="1:18" ht="14.25" hidden="1" customHeight="1" x14ac:dyDescent="0.2">
      <c r="A26" s="68" t="s">
        <v>162</v>
      </c>
      <c r="B26"/>
      <c r="F26" s="65"/>
      <c r="H26" s="82"/>
      <c r="M26" s="65"/>
    </row>
    <row r="27" spans="1:18" ht="14.25" hidden="1" customHeight="1" x14ac:dyDescent="0.2">
      <c r="A27" s="68" t="s">
        <v>163</v>
      </c>
      <c r="B27"/>
      <c r="F27" s="65"/>
      <c r="H27" s="82"/>
      <c r="M27" s="65"/>
    </row>
    <row r="28" spans="1:18" ht="14.25" hidden="1" customHeight="1" x14ac:dyDescent="0.2">
      <c r="A28" s="68" t="s">
        <v>164</v>
      </c>
      <c r="B28"/>
      <c r="F28" s="65"/>
      <c r="H28" s="82"/>
      <c r="M28" s="65"/>
      <c r="Q28" t="s">
        <v>165</v>
      </c>
    </row>
    <row r="29" spans="1:18" ht="14.25" hidden="1" customHeight="1" x14ac:dyDescent="0.2">
      <c r="A29" s="68" t="s">
        <v>166</v>
      </c>
      <c r="B29"/>
      <c r="F29" s="65"/>
      <c r="H29" s="82"/>
      <c r="M29" s="65"/>
      <c r="Q29" t="s">
        <v>167</v>
      </c>
    </row>
    <row r="30" spans="1:18" ht="14.25" hidden="1" customHeight="1" x14ac:dyDescent="0.2">
      <c r="A30" s="68" t="s">
        <v>168</v>
      </c>
      <c r="B30"/>
      <c r="F30" s="65"/>
      <c r="H30" s="82"/>
      <c r="M30" s="65"/>
    </row>
    <row r="31" spans="1:18" ht="14.25" hidden="1" customHeight="1" x14ac:dyDescent="0.2">
      <c r="A31" s="68" t="s">
        <v>169</v>
      </c>
      <c r="B31"/>
      <c r="F31" s="65"/>
      <c r="H31" s="82"/>
      <c r="M31" s="65"/>
    </row>
    <row r="32" spans="1:18" ht="14.25" hidden="1" customHeight="1" x14ac:dyDescent="0.2">
      <c r="A32" s="68" t="s">
        <v>170</v>
      </c>
      <c r="B32"/>
      <c r="F32" s="65"/>
      <c r="H32" s="82"/>
      <c r="M32" s="65"/>
    </row>
    <row r="33" spans="1:13" ht="14.25" hidden="1" customHeight="1" x14ac:dyDescent="0.2">
      <c r="A33" s="68" t="s">
        <v>171</v>
      </c>
      <c r="B33"/>
      <c r="F33" s="65"/>
      <c r="H33" s="82"/>
      <c r="M33" s="65"/>
    </row>
    <row r="34" spans="1:13" ht="14.25" hidden="1" customHeight="1" thickBot="1" x14ac:dyDescent="0.25">
      <c r="A34" s="69" t="s">
        <v>172</v>
      </c>
      <c r="B34" s="77"/>
      <c r="C34" s="77"/>
      <c r="D34" s="77"/>
      <c r="E34" s="77"/>
      <c r="F34" s="66"/>
      <c r="H34" s="82"/>
      <c r="M34" s="65"/>
    </row>
    <row r="35" spans="1:13" ht="14.25" hidden="1" customHeight="1" x14ac:dyDescent="0.2">
      <c r="A35" s="82"/>
      <c r="B35"/>
      <c r="F35" s="65"/>
      <c r="H35" s="82"/>
      <c r="M35" s="65"/>
    </row>
    <row r="36" spans="1:13" ht="14.25" hidden="1" customHeight="1" thickBot="1" x14ac:dyDescent="0.25">
      <c r="A36" s="82" t="s">
        <v>173</v>
      </c>
      <c r="B36"/>
      <c r="F36" s="65"/>
      <c r="H36" s="82"/>
      <c r="M36" s="65"/>
    </row>
    <row r="37" spans="1:13" ht="14.25" hidden="1" customHeight="1" thickBot="1" x14ac:dyDescent="0.25">
      <c r="A37" s="42" t="s">
        <v>174</v>
      </c>
      <c r="B37" s="42" t="s">
        <v>78</v>
      </c>
      <c r="C37" s="43" t="s">
        <v>79</v>
      </c>
      <c r="D37" s="43" t="s">
        <v>80</v>
      </c>
      <c r="E37" s="43" t="s">
        <v>81</v>
      </c>
      <c r="F37" s="44" t="s">
        <v>158</v>
      </c>
      <c r="H37" s="42" t="s">
        <v>174</v>
      </c>
      <c r="I37" s="42" t="s">
        <v>78</v>
      </c>
      <c r="J37" s="43" t="s">
        <v>79</v>
      </c>
      <c r="K37" s="43" t="s">
        <v>80</v>
      </c>
      <c r="L37" s="43" t="s">
        <v>81</v>
      </c>
      <c r="M37" s="44" t="s">
        <v>158</v>
      </c>
    </row>
    <row r="38" spans="1:13" ht="14.25" hidden="1" customHeight="1" x14ac:dyDescent="0.2">
      <c r="A38" s="70">
        <v>1</v>
      </c>
      <c r="B38" t="e">
        <f>IF(AND('Indoor HortLighting_Inputs'!#REF!&lt;'Indoor HortLighting_Inputs'!#REF!, A38&gt;='Indoor HortLighting_Inputs'!#REF!, A38&lt;'Indoor HortLighting_Inputs'!#REF!),1,"")</f>
        <v>#REF!</v>
      </c>
      <c r="C38" t="e">
        <f>IF(AND('Indoor HortLighting_Inputs'!#REF!&lt;'Indoor HortLighting_Inputs'!#REF!, A38&gt;='Indoor HortLighting_Inputs'!#REF!, A38&lt;'Indoor HortLighting_Inputs'!#REF!),1,"")</f>
        <v>#REF!</v>
      </c>
      <c r="D38" t="e">
        <f>IF(AND('Indoor HortLighting_Inputs'!#REF!&lt;'Indoor HortLighting_Inputs'!#REF!, A38&gt;='Indoor HortLighting_Inputs'!#REF!, A38&lt;'Indoor HortLighting_Inputs'!#REF!),1,"")</f>
        <v>#REF!</v>
      </c>
      <c r="E38" t="e">
        <f>IF(AND('Indoor HortLighting_Inputs'!#REF!&lt;'Indoor HortLighting_Inputs'!#REF!, A38&gt;='Indoor HortLighting_Inputs'!#REF!, A38&lt;'Indoor HortLighting_Inputs'!#REF!),1,"")</f>
        <v>#REF!</v>
      </c>
      <c r="F38" s="65" t="e">
        <f>IF(AND('Indoor HortLighting_Inputs'!#REF!&lt;'Indoor HortLighting_Inputs'!#REF!, A38&gt;='Indoor HortLighting_Inputs'!#REF!, A38&lt;'Indoor HortLighting_Inputs'!#REF!),1,"")</f>
        <v>#REF!</v>
      </c>
      <c r="H38" s="82"/>
      <c r="M38" s="65"/>
    </row>
    <row r="39" spans="1:13" ht="14.25" hidden="1" customHeight="1" x14ac:dyDescent="0.2">
      <c r="A39" s="71">
        <v>2</v>
      </c>
      <c r="B39" t="e">
        <f>IF(AND('Indoor HortLighting_Inputs'!#REF!&lt;'Indoor HortLighting_Inputs'!#REF!, A39&gt;='Indoor HortLighting_Inputs'!#REF!, A39&lt;'Indoor HortLighting_Inputs'!#REF!),1,"")</f>
        <v>#REF!</v>
      </c>
      <c r="C39" t="e">
        <f>IF(AND('Indoor HortLighting_Inputs'!#REF!&lt;'Indoor HortLighting_Inputs'!#REF!, A39&gt;='Indoor HortLighting_Inputs'!#REF!, A39&lt;'Indoor HortLighting_Inputs'!#REF!),1,"")</f>
        <v>#REF!</v>
      </c>
      <c r="D39" t="e">
        <f>IF(AND('Indoor HortLighting_Inputs'!#REF!&lt;'Indoor HortLighting_Inputs'!#REF!, A39&gt;='Indoor HortLighting_Inputs'!#REF!, A39&lt;'Indoor HortLighting_Inputs'!#REF!),1,"")</f>
        <v>#REF!</v>
      </c>
      <c r="E39" t="e">
        <f>IF(AND('Indoor HortLighting_Inputs'!#REF!&lt;'Indoor HortLighting_Inputs'!#REF!, A39&gt;='Indoor HortLighting_Inputs'!#REF!, A39&lt;'Indoor HortLighting_Inputs'!#REF!),1,"")</f>
        <v>#REF!</v>
      </c>
      <c r="F39" s="65" t="e">
        <f>IF(AND('Indoor HortLighting_Inputs'!#REF!&lt;'Indoor HortLighting_Inputs'!#REF!, A39&gt;='Indoor HortLighting_Inputs'!#REF!, A39&lt;'Indoor HortLighting_Inputs'!#REF!),1,"")</f>
        <v>#REF!</v>
      </c>
      <c r="H39" s="82"/>
      <c r="M39" s="65"/>
    </row>
    <row r="40" spans="1:13" ht="14.25" hidden="1" customHeight="1" x14ac:dyDescent="0.2">
      <c r="A40" s="71">
        <v>3</v>
      </c>
      <c r="B40" t="e">
        <f>IF(AND('Indoor HortLighting_Inputs'!#REF!&lt;'Indoor HortLighting_Inputs'!#REF!, A40&gt;='Indoor HortLighting_Inputs'!#REF!, A40&lt;'Indoor HortLighting_Inputs'!#REF!),1,"")</f>
        <v>#REF!</v>
      </c>
      <c r="C40" t="e">
        <f>IF(AND('Indoor HortLighting_Inputs'!#REF!&lt;'Indoor HortLighting_Inputs'!#REF!, A40&gt;='Indoor HortLighting_Inputs'!#REF!, A40&lt;'Indoor HortLighting_Inputs'!#REF!),1,"")</f>
        <v>#REF!</v>
      </c>
      <c r="D40" t="e">
        <f>IF(AND('Indoor HortLighting_Inputs'!#REF!&lt;'Indoor HortLighting_Inputs'!#REF!, A40&gt;='Indoor HortLighting_Inputs'!#REF!, A40&lt;'Indoor HortLighting_Inputs'!#REF!),1,"")</f>
        <v>#REF!</v>
      </c>
      <c r="E40" t="e">
        <f>IF(AND('Indoor HortLighting_Inputs'!#REF!&lt;'Indoor HortLighting_Inputs'!#REF!, A40&gt;='Indoor HortLighting_Inputs'!#REF!, A40&lt;'Indoor HortLighting_Inputs'!#REF!),1,"")</f>
        <v>#REF!</v>
      </c>
      <c r="F40" s="65" t="e">
        <f>IF(AND('Indoor HortLighting_Inputs'!#REF!&lt;'Indoor HortLighting_Inputs'!#REF!, A40&gt;='Indoor HortLighting_Inputs'!#REF!, A40&lt;'Indoor HortLighting_Inputs'!#REF!),1,"")</f>
        <v>#REF!</v>
      </c>
      <c r="H40" s="82"/>
      <c r="M40" s="65"/>
    </row>
    <row r="41" spans="1:13" ht="14.25" hidden="1" customHeight="1" x14ac:dyDescent="0.2">
      <c r="A41" s="72">
        <v>4</v>
      </c>
      <c r="B41" t="e">
        <f>IF(AND('Indoor HortLighting_Inputs'!#REF!&lt;'Indoor HortLighting_Inputs'!#REF!, A41&gt;='Indoor HortLighting_Inputs'!#REF!, A41&lt;'Indoor HortLighting_Inputs'!#REF!),1,"")</f>
        <v>#REF!</v>
      </c>
      <c r="C41" t="e">
        <f>IF(AND('Indoor HortLighting_Inputs'!#REF!&lt;'Indoor HortLighting_Inputs'!#REF!, A41&gt;='Indoor HortLighting_Inputs'!#REF!, A41&lt;'Indoor HortLighting_Inputs'!#REF!),1,"")</f>
        <v>#REF!</v>
      </c>
      <c r="D41" t="e">
        <f>IF(AND('Indoor HortLighting_Inputs'!#REF!&lt;'Indoor HortLighting_Inputs'!#REF!, A41&gt;='Indoor HortLighting_Inputs'!#REF!, A41&lt;'Indoor HortLighting_Inputs'!#REF!),1,"")</f>
        <v>#REF!</v>
      </c>
      <c r="E41" t="e">
        <f>IF(AND('Indoor HortLighting_Inputs'!#REF!&lt;'Indoor HortLighting_Inputs'!#REF!, A41&gt;='Indoor HortLighting_Inputs'!#REF!, A41&lt;'Indoor HortLighting_Inputs'!#REF!),1,"")</f>
        <v>#REF!</v>
      </c>
      <c r="F41" s="65" t="e">
        <f>IF(AND('Indoor HortLighting_Inputs'!#REF!&lt;'Indoor HortLighting_Inputs'!#REF!, A41&gt;='Indoor HortLighting_Inputs'!#REF!, A41&lt;'Indoor HortLighting_Inputs'!#REF!),1,"")</f>
        <v>#REF!</v>
      </c>
      <c r="H41" s="82"/>
      <c r="M41" s="65"/>
    </row>
    <row r="42" spans="1:13" ht="14.25" hidden="1" customHeight="1" x14ac:dyDescent="0.2">
      <c r="A42" s="71">
        <v>5</v>
      </c>
      <c r="B42" t="e">
        <f>IF(AND('Indoor HortLighting_Inputs'!#REF!&lt;'Indoor HortLighting_Inputs'!#REF!, A42&gt;='Indoor HortLighting_Inputs'!#REF!, A42&lt;'Indoor HortLighting_Inputs'!#REF!),1,"")</f>
        <v>#REF!</v>
      </c>
      <c r="C42" t="e">
        <f>IF(AND('Indoor HortLighting_Inputs'!#REF!&lt;'Indoor HortLighting_Inputs'!#REF!, A42&gt;='Indoor HortLighting_Inputs'!#REF!, A42&lt;'Indoor HortLighting_Inputs'!#REF!),1,"")</f>
        <v>#REF!</v>
      </c>
      <c r="D42" t="e">
        <f>IF(AND('Indoor HortLighting_Inputs'!#REF!&lt;'Indoor HortLighting_Inputs'!#REF!, A42&gt;='Indoor HortLighting_Inputs'!#REF!, A42&lt;'Indoor HortLighting_Inputs'!#REF!),1,"")</f>
        <v>#REF!</v>
      </c>
      <c r="E42" t="e">
        <f>IF(AND('Indoor HortLighting_Inputs'!#REF!&lt;'Indoor HortLighting_Inputs'!#REF!, A42&gt;='Indoor HortLighting_Inputs'!#REF!, A42&lt;'Indoor HortLighting_Inputs'!#REF!),1,"")</f>
        <v>#REF!</v>
      </c>
      <c r="F42" s="65" t="e">
        <f>IF(AND('Indoor HortLighting_Inputs'!#REF!&lt;'Indoor HortLighting_Inputs'!#REF!, A42&gt;='Indoor HortLighting_Inputs'!#REF!, A42&lt;'Indoor HortLighting_Inputs'!#REF!),1,"")</f>
        <v>#REF!</v>
      </c>
      <c r="H42" s="82"/>
      <c r="M42" s="65"/>
    </row>
    <row r="43" spans="1:13" ht="14.25" hidden="1" customHeight="1" x14ac:dyDescent="0.2">
      <c r="A43" s="71">
        <v>6</v>
      </c>
      <c r="B43" t="e">
        <f>IF(AND('Indoor HortLighting_Inputs'!#REF!&lt;'Indoor HortLighting_Inputs'!#REF!, A43&gt;='Indoor HortLighting_Inputs'!#REF!, A43&lt;'Indoor HortLighting_Inputs'!#REF!),1,"")</f>
        <v>#REF!</v>
      </c>
      <c r="C43" t="e">
        <f>IF(AND('Indoor HortLighting_Inputs'!#REF!&lt;'Indoor HortLighting_Inputs'!#REF!, A43&gt;='Indoor HortLighting_Inputs'!#REF!, A43&lt;'Indoor HortLighting_Inputs'!#REF!),1,"")</f>
        <v>#REF!</v>
      </c>
      <c r="D43" t="e">
        <f>IF(AND('Indoor HortLighting_Inputs'!#REF!&lt;'Indoor HortLighting_Inputs'!#REF!, A43&gt;='Indoor HortLighting_Inputs'!#REF!, A43&lt;'Indoor HortLighting_Inputs'!#REF!),1,"")</f>
        <v>#REF!</v>
      </c>
      <c r="E43" t="e">
        <f>IF(AND('Indoor HortLighting_Inputs'!#REF!&lt;'Indoor HortLighting_Inputs'!#REF!, A43&gt;='Indoor HortLighting_Inputs'!#REF!, A43&lt;'Indoor HortLighting_Inputs'!#REF!),1,"")</f>
        <v>#REF!</v>
      </c>
      <c r="F43" s="65" t="e">
        <f>IF(AND('Indoor HortLighting_Inputs'!#REF!&lt;'Indoor HortLighting_Inputs'!#REF!, A43&gt;='Indoor HortLighting_Inputs'!#REF!, A43&lt;'Indoor HortLighting_Inputs'!#REF!),1,"")</f>
        <v>#REF!</v>
      </c>
      <c r="H43" s="82"/>
      <c r="M43" s="65"/>
    </row>
    <row r="44" spans="1:13" ht="14.25" hidden="1" customHeight="1" x14ac:dyDescent="0.2">
      <c r="A44" s="72">
        <v>7</v>
      </c>
      <c r="B44" t="e">
        <f>IF(AND('Indoor HortLighting_Inputs'!#REF!&lt;'Indoor HortLighting_Inputs'!#REF!, A44&gt;='Indoor HortLighting_Inputs'!#REF!, A44&lt;'Indoor HortLighting_Inputs'!#REF!),1,"")</f>
        <v>#REF!</v>
      </c>
      <c r="C44" t="e">
        <f>IF(AND('Indoor HortLighting_Inputs'!#REF!&lt;'Indoor HortLighting_Inputs'!#REF!, A44&gt;='Indoor HortLighting_Inputs'!#REF!, A44&lt;'Indoor HortLighting_Inputs'!#REF!),1,"")</f>
        <v>#REF!</v>
      </c>
      <c r="D44" t="e">
        <f>IF(AND('Indoor HortLighting_Inputs'!#REF!&lt;'Indoor HortLighting_Inputs'!#REF!, A44&gt;='Indoor HortLighting_Inputs'!#REF!, A44&lt;'Indoor HortLighting_Inputs'!#REF!),1,"")</f>
        <v>#REF!</v>
      </c>
      <c r="E44" t="e">
        <f>IF(AND('Indoor HortLighting_Inputs'!#REF!&lt;'Indoor HortLighting_Inputs'!#REF!, A44&gt;='Indoor HortLighting_Inputs'!#REF!, A44&lt;'Indoor HortLighting_Inputs'!#REF!),1,"")</f>
        <v>#REF!</v>
      </c>
      <c r="F44" s="65" t="e">
        <f>IF(AND('Indoor HortLighting_Inputs'!#REF!&lt;'Indoor HortLighting_Inputs'!#REF!, A44&gt;='Indoor HortLighting_Inputs'!#REF!, A44&lt;'Indoor HortLighting_Inputs'!#REF!),1,"")</f>
        <v>#REF!</v>
      </c>
      <c r="H44" s="82"/>
      <c r="M44" s="65"/>
    </row>
    <row r="45" spans="1:13" ht="14.25" hidden="1" customHeight="1" x14ac:dyDescent="0.2">
      <c r="A45" s="71">
        <v>8</v>
      </c>
      <c r="B45" t="e">
        <f>IF(AND('Indoor HortLighting_Inputs'!#REF!&lt;'Indoor HortLighting_Inputs'!#REF!, A45&gt;='Indoor HortLighting_Inputs'!#REF!, A45&lt;'Indoor HortLighting_Inputs'!#REF!),1,"")</f>
        <v>#REF!</v>
      </c>
      <c r="C45" t="e">
        <f>IF(AND('Indoor HortLighting_Inputs'!#REF!&lt;'Indoor HortLighting_Inputs'!#REF!, A45&gt;='Indoor HortLighting_Inputs'!#REF!, A45&lt;'Indoor HortLighting_Inputs'!#REF!),1,"")</f>
        <v>#REF!</v>
      </c>
      <c r="D45" t="e">
        <f>IF(AND('Indoor HortLighting_Inputs'!#REF!&lt;'Indoor HortLighting_Inputs'!#REF!, A45&gt;='Indoor HortLighting_Inputs'!#REF!, A45&lt;'Indoor HortLighting_Inputs'!#REF!),1,"")</f>
        <v>#REF!</v>
      </c>
      <c r="E45" t="e">
        <f>IF(AND('Indoor HortLighting_Inputs'!#REF!&lt;'Indoor HortLighting_Inputs'!#REF!, A45&gt;='Indoor HortLighting_Inputs'!#REF!, A45&lt;'Indoor HortLighting_Inputs'!#REF!),1,"")</f>
        <v>#REF!</v>
      </c>
      <c r="F45" s="65" t="e">
        <f>IF(AND('Indoor HortLighting_Inputs'!#REF!&lt;'Indoor HortLighting_Inputs'!#REF!, A45&gt;='Indoor HortLighting_Inputs'!#REF!, A45&lt;'Indoor HortLighting_Inputs'!#REF!),1,"")</f>
        <v>#REF!</v>
      </c>
      <c r="H45" s="82"/>
      <c r="M45" s="65"/>
    </row>
    <row r="46" spans="1:13" ht="14.25" hidden="1" customHeight="1" x14ac:dyDescent="0.2">
      <c r="A46" s="71">
        <v>9</v>
      </c>
      <c r="B46" t="e">
        <f>IF(AND('Indoor HortLighting_Inputs'!#REF!&lt;'Indoor HortLighting_Inputs'!#REF!, A46&gt;='Indoor HortLighting_Inputs'!#REF!, A46&lt;'Indoor HortLighting_Inputs'!#REF!),1,"")</f>
        <v>#REF!</v>
      </c>
      <c r="C46" t="e">
        <f>IF(AND('Indoor HortLighting_Inputs'!#REF!&lt;'Indoor HortLighting_Inputs'!#REF!, A46&gt;='Indoor HortLighting_Inputs'!#REF!, A46&lt;'Indoor HortLighting_Inputs'!#REF!),1,"")</f>
        <v>#REF!</v>
      </c>
      <c r="D46" t="e">
        <f>IF(AND('Indoor HortLighting_Inputs'!#REF!&lt;'Indoor HortLighting_Inputs'!#REF!, A46&gt;='Indoor HortLighting_Inputs'!#REF!, A46&lt;'Indoor HortLighting_Inputs'!#REF!),1,"")</f>
        <v>#REF!</v>
      </c>
      <c r="E46" t="e">
        <f>IF(AND('Indoor HortLighting_Inputs'!#REF!&lt;'Indoor HortLighting_Inputs'!#REF!, A46&gt;='Indoor HortLighting_Inputs'!#REF!, A46&lt;'Indoor HortLighting_Inputs'!#REF!),1,"")</f>
        <v>#REF!</v>
      </c>
      <c r="F46" s="65" t="e">
        <f>IF(AND('Indoor HortLighting_Inputs'!#REF!&lt;'Indoor HortLighting_Inputs'!#REF!, A46&gt;='Indoor HortLighting_Inputs'!#REF!, A46&lt;'Indoor HortLighting_Inputs'!#REF!),1,"")</f>
        <v>#REF!</v>
      </c>
      <c r="H46" s="82"/>
      <c r="M46" s="65"/>
    </row>
    <row r="47" spans="1:13" ht="14.25" hidden="1" customHeight="1" x14ac:dyDescent="0.2">
      <c r="A47" s="72">
        <v>10</v>
      </c>
      <c r="B47" t="e">
        <f>IF(AND('Indoor HortLighting_Inputs'!#REF!&lt;'Indoor HortLighting_Inputs'!#REF!, A47&gt;='Indoor HortLighting_Inputs'!#REF!, A47&lt;'Indoor HortLighting_Inputs'!#REF!),1,"")</f>
        <v>#REF!</v>
      </c>
      <c r="C47" t="e">
        <f>IF(AND('Indoor HortLighting_Inputs'!#REF!&lt;'Indoor HortLighting_Inputs'!#REF!, A47&gt;='Indoor HortLighting_Inputs'!#REF!, A47&lt;'Indoor HortLighting_Inputs'!#REF!),1,"")</f>
        <v>#REF!</v>
      </c>
      <c r="D47" t="e">
        <f>IF(AND('Indoor HortLighting_Inputs'!#REF!&lt;'Indoor HortLighting_Inputs'!#REF!, A47&gt;='Indoor HortLighting_Inputs'!#REF!, A47&lt;'Indoor HortLighting_Inputs'!#REF!),1,"")</f>
        <v>#REF!</v>
      </c>
      <c r="E47" t="e">
        <f>IF(AND('Indoor HortLighting_Inputs'!#REF!&lt;'Indoor HortLighting_Inputs'!#REF!, A47&gt;='Indoor HortLighting_Inputs'!#REF!, A47&lt;'Indoor HortLighting_Inputs'!#REF!),1,"")</f>
        <v>#REF!</v>
      </c>
      <c r="F47" s="65" t="e">
        <f>IF(AND('Indoor HortLighting_Inputs'!#REF!&lt;'Indoor HortLighting_Inputs'!#REF!, A47&gt;='Indoor HortLighting_Inputs'!#REF!, A47&lt;'Indoor HortLighting_Inputs'!#REF!),1,"")</f>
        <v>#REF!</v>
      </c>
      <c r="H47" s="82"/>
      <c r="M47" s="65"/>
    </row>
    <row r="48" spans="1:13" ht="14.25" hidden="1" customHeight="1" x14ac:dyDescent="0.2">
      <c r="A48" s="71">
        <v>11</v>
      </c>
      <c r="B48" t="e">
        <f>IF(AND('Indoor HortLighting_Inputs'!#REF!&lt;'Indoor HortLighting_Inputs'!#REF!, A48&gt;='Indoor HortLighting_Inputs'!#REF!, A48&lt;'Indoor HortLighting_Inputs'!#REF!),1,"")</f>
        <v>#REF!</v>
      </c>
      <c r="C48" t="e">
        <f>IF(AND('Indoor HortLighting_Inputs'!#REF!&lt;'Indoor HortLighting_Inputs'!#REF!, A48&gt;='Indoor HortLighting_Inputs'!#REF!, A48&lt;'Indoor HortLighting_Inputs'!#REF!),1,"")</f>
        <v>#REF!</v>
      </c>
      <c r="D48" t="e">
        <f>IF(AND('Indoor HortLighting_Inputs'!#REF!&lt;'Indoor HortLighting_Inputs'!#REF!, A48&gt;='Indoor HortLighting_Inputs'!#REF!, A48&lt;'Indoor HortLighting_Inputs'!#REF!),1,"")</f>
        <v>#REF!</v>
      </c>
      <c r="E48" t="e">
        <f>IF(AND('Indoor HortLighting_Inputs'!#REF!&lt;'Indoor HortLighting_Inputs'!#REF!, A48&gt;='Indoor HortLighting_Inputs'!#REF!, A48&lt;'Indoor HortLighting_Inputs'!#REF!),1,"")</f>
        <v>#REF!</v>
      </c>
      <c r="F48" s="65" t="e">
        <f>IF(AND('Indoor HortLighting_Inputs'!#REF!&lt;'Indoor HortLighting_Inputs'!#REF!, A48&gt;='Indoor HortLighting_Inputs'!#REF!, A48&lt;'Indoor HortLighting_Inputs'!#REF!),1,"")</f>
        <v>#REF!</v>
      </c>
      <c r="H48" s="82"/>
      <c r="M48" s="65"/>
    </row>
    <row r="49" spans="1:13" ht="14.25" hidden="1" customHeight="1" x14ac:dyDescent="0.2">
      <c r="A49" s="71">
        <v>12</v>
      </c>
      <c r="B49" t="e">
        <f>IF(AND('Indoor HortLighting_Inputs'!#REF!&lt;'Indoor HortLighting_Inputs'!#REF!, A49&gt;='Indoor HortLighting_Inputs'!#REF!, A49&lt;'Indoor HortLighting_Inputs'!#REF!),1,"")</f>
        <v>#REF!</v>
      </c>
      <c r="C49" t="e">
        <f>IF(AND('Indoor HortLighting_Inputs'!#REF!&lt;'Indoor HortLighting_Inputs'!#REF!, A49&gt;='Indoor HortLighting_Inputs'!#REF!, A49&lt;'Indoor HortLighting_Inputs'!#REF!),1,"")</f>
        <v>#REF!</v>
      </c>
      <c r="D49" t="e">
        <f>IF(AND('Indoor HortLighting_Inputs'!#REF!&lt;'Indoor HortLighting_Inputs'!#REF!, A49&gt;='Indoor HortLighting_Inputs'!#REF!, A49&lt;'Indoor HortLighting_Inputs'!#REF!),1,"")</f>
        <v>#REF!</v>
      </c>
      <c r="E49" t="e">
        <f>IF(AND('Indoor HortLighting_Inputs'!#REF!&lt;'Indoor HortLighting_Inputs'!#REF!, A49&gt;='Indoor HortLighting_Inputs'!#REF!, A49&lt;'Indoor HortLighting_Inputs'!#REF!),1,"")</f>
        <v>#REF!</v>
      </c>
      <c r="F49" s="65" t="e">
        <f>IF(AND('Indoor HortLighting_Inputs'!#REF!&lt;'Indoor HortLighting_Inputs'!#REF!, A49&gt;='Indoor HortLighting_Inputs'!#REF!, A49&lt;'Indoor HortLighting_Inputs'!#REF!),1,"")</f>
        <v>#REF!</v>
      </c>
      <c r="H49" s="82"/>
      <c r="M49" s="65"/>
    </row>
    <row r="50" spans="1:13" ht="14.25" hidden="1" customHeight="1" x14ac:dyDescent="0.2">
      <c r="A50" s="72">
        <v>13</v>
      </c>
      <c r="B50" t="e">
        <f>IF(AND('Indoor HortLighting_Inputs'!#REF!&lt;'Indoor HortLighting_Inputs'!#REF!, A50&gt;='Indoor HortLighting_Inputs'!#REF!, A50&lt;'Indoor HortLighting_Inputs'!#REF!),1,"")</f>
        <v>#REF!</v>
      </c>
      <c r="C50" t="e">
        <f>IF(AND('Indoor HortLighting_Inputs'!#REF!&lt;'Indoor HortLighting_Inputs'!#REF!, A50&gt;='Indoor HortLighting_Inputs'!#REF!, A50&lt;'Indoor HortLighting_Inputs'!#REF!),1,"")</f>
        <v>#REF!</v>
      </c>
      <c r="D50" t="e">
        <f>IF(AND('Indoor HortLighting_Inputs'!#REF!&lt;'Indoor HortLighting_Inputs'!#REF!, A50&gt;='Indoor HortLighting_Inputs'!#REF!, A50&lt;'Indoor HortLighting_Inputs'!#REF!),1,"")</f>
        <v>#REF!</v>
      </c>
      <c r="E50" t="e">
        <f>IF(AND('Indoor HortLighting_Inputs'!#REF!&lt;'Indoor HortLighting_Inputs'!#REF!, A50&gt;='Indoor HortLighting_Inputs'!#REF!, A50&lt;'Indoor HortLighting_Inputs'!#REF!),1,"")</f>
        <v>#REF!</v>
      </c>
      <c r="F50" s="65" t="e">
        <f>IF(AND('Indoor HortLighting_Inputs'!#REF!&lt;'Indoor HortLighting_Inputs'!#REF!, A50&gt;='Indoor HortLighting_Inputs'!#REF!, A50&lt;'Indoor HortLighting_Inputs'!#REF!),1,"")</f>
        <v>#REF!</v>
      </c>
      <c r="H50" s="82"/>
      <c r="M50" s="65"/>
    </row>
    <row r="51" spans="1:13" ht="14.25" hidden="1" customHeight="1" x14ac:dyDescent="0.2">
      <c r="A51" s="71">
        <v>14</v>
      </c>
      <c r="B51" t="e">
        <f>IF(AND('Indoor HortLighting_Inputs'!#REF!&lt;'Indoor HortLighting_Inputs'!#REF!, A51&gt;='Indoor HortLighting_Inputs'!#REF!, A51&lt;'Indoor HortLighting_Inputs'!#REF!),1,"")</f>
        <v>#REF!</v>
      </c>
      <c r="C51" t="e">
        <f>IF(AND('Indoor HortLighting_Inputs'!#REF!&lt;'Indoor HortLighting_Inputs'!#REF!, A51&gt;='Indoor HortLighting_Inputs'!#REF!, A51&lt;'Indoor HortLighting_Inputs'!#REF!),1,"")</f>
        <v>#REF!</v>
      </c>
      <c r="D51" t="e">
        <f>IF(AND('Indoor HortLighting_Inputs'!#REF!&lt;'Indoor HortLighting_Inputs'!#REF!, A51&gt;='Indoor HortLighting_Inputs'!#REF!, A51&lt;'Indoor HortLighting_Inputs'!#REF!),1,"")</f>
        <v>#REF!</v>
      </c>
      <c r="E51" t="e">
        <f>IF(AND('Indoor HortLighting_Inputs'!#REF!&lt;'Indoor HortLighting_Inputs'!#REF!, A51&gt;='Indoor HortLighting_Inputs'!#REF!, A51&lt;'Indoor HortLighting_Inputs'!#REF!),1,"")</f>
        <v>#REF!</v>
      </c>
      <c r="F51" s="65" t="e">
        <f>IF(AND('Indoor HortLighting_Inputs'!#REF!&lt;'Indoor HortLighting_Inputs'!#REF!, A51&gt;='Indoor HortLighting_Inputs'!#REF!, A51&lt;'Indoor HortLighting_Inputs'!#REF!),1,"")</f>
        <v>#REF!</v>
      </c>
      <c r="H51" s="82"/>
      <c r="M51" s="65"/>
    </row>
    <row r="52" spans="1:13" ht="14.25" hidden="1" customHeight="1" x14ac:dyDescent="0.2">
      <c r="A52" s="71">
        <v>15</v>
      </c>
      <c r="B52" t="e">
        <f>IF(AND('Indoor HortLighting_Inputs'!#REF!&lt;'Indoor HortLighting_Inputs'!#REF!, A52&gt;='Indoor HortLighting_Inputs'!#REF!, A52&lt;'Indoor HortLighting_Inputs'!#REF!),1,"")</f>
        <v>#REF!</v>
      </c>
      <c r="C52" t="e">
        <f>IF(AND('Indoor HortLighting_Inputs'!#REF!&lt;'Indoor HortLighting_Inputs'!#REF!, A52&gt;='Indoor HortLighting_Inputs'!#REF!, A52&lt;'Indoor HortLighting_Inputs'!#REF!),1,"")</f>
        <v>#REF!</v>
      </c>
      <c r="D52" t="e">
        <f>IF(AND('Indoor HortLighting_Inputs'!#REF!&lt;'Indoor HortLighting_Inputs'!#REF!, A52&gt;='Indoor HortLighting_Inputs'!#REF!, A52&lt;'Indoor HortLighting_Inputs'!#REF!),1,"")</f>
        <v>#REF!</v>
      </c>
      <c r="E52" t="e">
        <f>IF(AND('Indoor HortLighting_Inputs'!#REF!&lt;'Indoor HortLighting_Inputs'!#REF!, A52&gt;='Indoor HortLighting_Inputs'!#REF!, A52&lt;'Indoor HortLighting_Inputs'!#REF!),1,"")</f>
        <v>#REF!</v>
      </c>
      <c r="F52" s="65" t="e">
        <f>IF(AND('Indoor HortLighting_Inputs'!#REF!&lt;'Indoor HortLighting_Inputs'!#REF!, A52&gt;='Indoor HortLighting_Inputs'!#REF!, A52&lt;'Indoor HortLighting_Inputs'!#REF!),1,"")</f>
        <v>#REF!</v>
      </c>
      <c r="H52" s="82"/>
      <c r="M52" s="65"/>
    </row>
    <row r="53" spans="1:13" ht="14.25" hidden="1" customHeight="1" x14ac:dyDescent="0.2">
      <c r="A53" s="72">
        <v>16</v>
      </c>
      <c r="B53" t="e">
        <f>IF(AND('Indoor HortLighting_Inputs'!#REF!&lt;'Indoor HortLighting_Inputs'!#REF!, A53&gt;='Indoor HortLighting_Inputs'!#REF!, A53&lt;'Indoor HortLighting_Inputs'!#REF!),1,"")</f>
        <v>#REF!</v>
      </c>
      <c r="C53" t="e">
        <f>IF(AND('Indoor HortLighting_Inputs'!#REF!&lt;'Indoor HortLighting_Inputs'!#REF!, A53&gt;='Indoor HortLighting_Inputs'!#REF!, A53&lt;'Indoor HortLighting_Inputs'!#REF!),1,"")</f>
        <v>#REF!</v>
      </c>
      <c r="D53" t="e">
        <f>IF(AND('Indoor HortLighting_Inputs'!#REF!&lt;'Indoor HortLighting_Inputs'!#REF!, A53&gt;='Indoor HortLighting_Inputs'!#REF!, A53&lt;'Indoor HortLighting_Inputs'!#REF!),1,"")</f>
        <v>#REF!</v>
      </c>
      <c r="E53" t="e">
        <f>IF(AND('Indoor HortLighting_Inputs'!#REF!&lt;'Indoor HortLighting_Inputs'!#REF!, A53&gt;='Indoor HortLighting_Inputs'!#REF!, A53&lt;'Indoor HortLighting_Inputs'!#REF!),1,"")</f>
        <v>#REF!</v>
      </c>
      <c r="F53" s="65" t="e">
        <f>IF(AND('Indoor HortLighting_Inputs'!#REF!&lt;'Indoor HortLighting_Inputs'!#REF!, A53&gt;='Indoor HortLighting_Inputs'!#REF!, A53&lt;'Indoor HortLighting_Inputs'!#REF!),1,"")</f>
        <v>#REF!</v>
      </c>
      <c r="H53" s="82"/>
      <c r="M53" s="65"/>
    </row>
    <row r="54" spans="1:13" ht="14.25" hidden="1" customHeight="1" x14ac:dyDescent="0.2">
      <c r="A54" s="71">
        <v>17</v>
      </c>
      <c r="B54" t="e">
        <f>IF(AND('Indoor HortLighting_Inputs'!#REF!&lt;'Indoor HortLighting_Inputs'!#REF!, A54&gt;='Indoor HortLighting_Inputs'!#REF!, A54&lt;'Indoor HortLighting_Inputs'!#REF!),1,"")</f>
        <v>#REF!</v>
      </c>
      <c r="C54" t="e">
        <f>IF(AND('Indoor HortLighting_Inputs'!#REF!&lt;'Indoor HortLighting_Inputs'!#REF!, A54&gt;='Indoor HortLighting_Inputs'!#REF!, A54&lt;'Indoor HortLighting_Inputs'!#REF!),1,"")</f>
        <v>#REF!</v>
      </c>
      <c r="D54" t="e">
        <f>IF(AND('Indoor HortLighting_Inputs'!#REF!&lt;'Indoor HortLighting_Inputs'!#REF!, A54&gt;='Indoor HortLighting_Inputs'!#REF!, A54&lt;'Indoor HortLighting_Inputs'!#REF!),1,"")</f>
        <v>#REF!</v>
      </c>
      <c r="E54" t="e">
        <f>IF(AND('Indoor HortLighting_Inputs'!#REF!&lt;'Indoor HortLighting_Inputs'!#REF!, A54&gt;='Indoor HortLighting_Inputs'!#REF!, A54&lt;'Indoor HortLighting_Inputs'!#REF!),1,"")</f>
        <v>#REF!</v>
      </c>
      <c r="F54" s="65" t="e">
        <f>IF(AND('Indoor HortLighting_Inputs'!#REF!&lt;'Indoor HortLighting_Inputs'!#REF!, A54&gt;='Indoor HortLighting_Inputs'!#REF!, A54&lt;'Indoor HortLighting_Inputs'!#REF!),1,"")</f>
        <v>#REF!</v>
      </c>
      <c r="H54" s="82"/>
      <c r="M54" s="65"/>
    </row>
    <row r="55" spans="1:13" ht="14.25" hidden="1" customHeight="1" x14ac:dyDescent="0.2">
      <c r="A55" s="71">
        <v>18</v>
      </c>
      <c r="B55" t="e">
        <f>IF(AND('Indoor HortLighting_Inputs'!#REF!&lt;'Indoor HortLighting_Inputs'!#REF!, A55&gt;='Indoor HortLighting_Inputs'!#REF!, A55&lt;'Indoor HortLighting_Inputs'!#REF!),1,"")</f>
        <v>#REF!</v>
      </c>
      <c r="C55" t="e">
        <f>IF(AND('Indoor HortLighting_Inputs'!#REF!&lt;'Indoor HortLighting_Inputs'!#REF!, A55&gt;='Indoor HortLighting_Inputs'!#REF!, A55&lt;'Indoor HortLighting_Inputs'!#REF!),1,"")</f>
        <v>#REF!</v>
      </c>
      <c r="D55" t="e">
        <f>IF(AND('Indoor HortLighting_Inputs'!#REF!&lt;'Indoor HortLighting_Inputs'!#REF!, A55&gt;='Indoor HortLighting_Inputs'!#REF!, A55&lt;'Indoor HortLighting_Inputs'!#REF!),1,"")</f>
        <v>#REF!</v>
      </c>
      <c r="E55" t="e">
        <f>IF(AND('Indoor HortLighting_Inputs'!#REF!&lt;'Indoor HortLighting_Inputs'!#REF!, A55&gt;='Indoor HortLighting_Inputs'!#REF!, A55&lt;'Indoor HortLighting_Inputs'!#REF!),1,"")</f>
        <v>#REF!</v>
      </c>
      <c r="F55" s="65" t="e">
        <f>IF(AND('Indoor HortLighting_Inputs'!#REF!&lt;'Indoor HortLighting_Inputs'!#REF!, A55&gt;='Indoor HortLighting_Inputs'!#REF!, A55&lt;'Indoor HortLighting_Inputs'!#REF!),1,"")</f>
        <v>#REF!</v>
      </c>
      <c r="H55" s="82"/>
      <c r="M55" s="65"/>
    </row>
    <row r="56" spans="1:13" ht="14.25" hidden="1" customHeight="1" x14ac:dyDescent="0.2">
      <c r="A56" s="72">
        <v>19</v>
      </c>
      <c r="B56" t="e">
        <f>IF(AND('Indoor HortLighting_Inputs'!#REF!&lt;'Indoor HortLighting_Inputs'!#REF!, A56&gt;='Indoor HortLighting_Inputs'!#REF!, A56&lt;'Indoor HortLighting_Inputs'!#REF!),1,"")</f>
        <v>#REF!</v>
      </c>
      <c r="C56" t="e">
        <f>IF(AND('Indoor HortLighting_Inputs'!#REF!&lt;'Indoor HortLighting_Inputs'!#REF!, A56&gt;='Indoor HortLighting_Inputs'!#REF!, A56&lt;'Indoor HortLighting_Inputs'!#REF!),1,"")</f>
        <v>#REF!</v>
      </c>
      <c r="D56" t="e">
        <f>IF(AND('Indoor HortLighting_Inputs'!#REF!&lt;'Indoor HortLighting_Inputs'!#REF!, A56&gt;='Indoor HortLighting_Inputs'!#REF!, A56&lt;'Indoor HortLighting_Inputs'!#REF!),1,"")</f>
        <v>#REF!</v>
      </c>
      <c r="E56" t="e">
        <f>IF(AND('Indoor HortLighting_Inputs'!#REF!&lt;'Indoor HortLighting_Inputs'!#REF!, A56&gt;='Indoor HortLighting_Inputs'!#REF!, A56&lt;'Indoor HortLighting_Inputs'!#REF!),1,"")</f>
        <v>#REF!</v>
      </c>
      <c r="F56" s="65" t="e">
        <f>IF(AND('Indoor HortLighting_Inputs'!#REF!&lt;'Indoor HortLighting_Inputs'!#REF!, A56&gt;='Indoor HortLighting_Inputs'!#REF!, A56&lt;'Indoor HortLighting_Inputs'!#REF!),1,"")</f>
        <v>#REF!</v>
      </c>
      <c r="H56" s="82"/>
      <c r="M56" s="65"/>
    </row>
    <row r="57" spans="1:13" ht="14.25" hidden="1" customHeight="1" x14ac:dyDescent="0.2">
      <c r="A57" s="71">
        <v>20</v>
      </c>
      <c r="B57" t="e">
        <f>IF(AND('Indoor HortLighting_Inputs'!#REF!&lt;'Indoor HortLighting_Inputs'!#REF!, A57&gt;='Indoor HortLighting_Inputs'!#REF!, A57&lt;'Indoor HortLighting_Inputs'!#REF!),1,"")</f>
        <v>#REF!</v>
      </c>
      <c r="C57" t="e">
        <f>IF(AND('Indoor HortLighting_Inputs'!#REF!&lt;'Indoor HortLighting_Inputs'!#REF!, A57&gt;='Indoor HortLighting_Inputs'!#REF!, A57&lt;'Indoor HortLighting_Inputs'!#REF!),1,"")</f>
        <v>#REF!</v>
      </c>
      <c r="D57" t="e">
        <f>IF(AND('Indoor HortLighting_Inputs'!#REF!&lt;'Indoor HortLighting_Inputs'!#REF!, A57&gt;='Indoor HortLighting_Inputs'!#REF!, A57&lt;'Indoor HortLighting_Inputs'!#REF!),1,"")</f>
        <v>#REF!</v>
      </c>
      <c r="E57" t="e">
        <f>IF(AND('Indoor HortLighting_Inputs'!#REF!&lt;'Indoor HortLighting_Inputs'!#REF!, A57&gt;='Indoor HortLighting_Inputs'!#REF!, A57&lt;'Indoor HortLighting_Inputs'!#REF!),1,"")</f>
        <v>#REF!</v>
      </c>
      <c r="F57" s="65" t="e">
        <f>IF(AND('Indoor HortLighting_Inputs'!#REF!&lt;'Indoor HortLighting_Inputs'!#REF!, A57&gt;='Indoor HortLighting_Inputs'!#REF!, A57&lt;'Indoor HortLighting_Inputs'!#REF!),1,"")</f>
        <v>#REF!</v>
      </c>
      <c r="H57" s="82"/>
      <c r="M57" s="65"/>
    </row>
    <row r="58" spans="1:13" ht="14.25" hidden="1" customHeight="1" x14ac:dyDescent="0.2">
      <c r="A58" s="71">
        <v>21</v>
      </c>
      <c r="B58" t="e">
        <f>IF(AND('Indoor HortLighting_Inputs'!#REF!&lt;'Indoor HortLighting_Inputs'!#REF!, A58&gt;='Indoor HortLighting_Inputs'!#REF!, A58&lt;'Indoor HortLighting_Inputs'!#REF!),1,"")</f>
        <v>#REF!</v>
      </c>
      <c r="C58" t="e">
        <f>IF(AND('Indoor HortLighting_Inputs'!#REF!&lt;'Indoor HortLighting_Inputs'!#REF!, A58&gt;='Indoor HortLighting_Inputs'!#REF!, A58&lt;'Indoor HortLighting_Inputs'!#REF!),1,"")</f>
        <v>#REF!</v>
      </c>
      <c r="D58" t="e">
        <f>IF(AND('Indoor HortLighting_Inputs'!#REF!&lt;'Indoor HortLighting_Inputs'!#REF!, A58&gt;='Indoor HortLighting_Inputs'!#REF!, A58&lt;'Indoor HortLighting_Inputs'!#REF!),1,"")</f>
        <v>#REF!</v>
      </c>
      <c r="E58" t="e">
        <f>IF(AND('Indoor HortLighting_Inputs'!#REF!&lt;'Indoor HortLighting_Inputs'!#REF!, A58&gt;='Indoor HortLighting_Inputs'!#REF!, A58&lt;'Indoor HortLighting_Inputs'!#REF!),1,"")</f>
        <v>#REF!</v>
      </c>
      <c r="F58" s="65" t="e">
        <f>IF(AND('Indoor HortLighting_Inputs'!#REF!&lt;'Indoor HortLighting_Inputs'!#REF!, A58&gt;='Indoor HortLighting_Inputs'!#REF!, A58&lt;'Indoor HortLighting_Inputs'!#REF!),1,"")</f>
        <v>#REF!</v>
      </c>
      <c r="H58" s="82"/>
      <c r="M58" s="65"/>
    </row>
    <row r="59" spans="1:13" ht="14.25" hidden="1" customHeight="1" x14ac:dyDescent="0.2">
      <c r="A59" s="72">
        <v>22</v>
      </c>
      <c r="B59" t="e">
        <f>IF(AND('Indoor HortLighting_Inputs'!#REF!&lt;'Indoor HortLighting_Inputs'!#REF!, A59&gt;='Indoor HortLighting_Inputs'!#REF!, A59&lt;'Indoor HortLighting_Inputs'!#REF!),1,"")</f>
        <v>#REF!</v>
      </c>
      <c r="C59" t="e">
        <f>IF(AND('Indoor HortLighting_Inputs'!#REF!&lt;'Indoor HortLighting_Inputs'!#REF!, A59&gt;='Indoor HortLighting_Inputs'!#REF!, A59&lt;'Indoor HortLighting_Inputs'!#REF!),1,"")</f>
        <v>#REF!</v>
      </c>
      <c r="D59" t="e">
        <f>IF(AND('Indoor HortLighting_Inputs'!#REF!&lt;'Indoor HortLighting_Inputs'!#REF!, A59&gt;='Indoor HortLighting_Inputs'!#REF!, A59&lt;'Indoor HortLighting_Inputs'!#REF!),1,"")</f>
        <v>#REF!</v>
      </c>
      <c r="E59" t="e">
        <f>IF(AND('Indoor HortLighting_Inputs'!#REF!&lt;'Indoor HortLighting_Inputs'!#REF!, A59&gt;='Indoor HortLighting_Inputs'!#REF!, A59&lt;'Indoor HortLighting_Inputs'!#REF!),1,"")</f>
        <v>#REF!</v>
      </c>
      <c r="F59" s="65" t="e">
        <f>IF(AND('Indoor HortLighting_Inputs'!#REF!&lt;'Indoor HortLighting_Inputs'!#REF!, A59&gt;='Indoor HortLighting_Inputs'!#REF!, A59&lt;'Indoor HortLighting_Inputs'!#REF!),1,"")</f>
        <v>#REF!</v>
      </c>
      <c r="H59" s="82"/>
      <c r="M59" s="65"/>
    </row>
    <row r="60" spans="1:13" ht="14.25" hidden="1" customHeight="1" x14ac:dyDescent="0.2">
      <c r="A60" s="71">
        <v>23</v>
      </c>
      <c r="B60" t="e">
        <f>IF(AND('Indoor HortLighting_Inputs'!#REF!&lt;'Indoor HortLighting_Inputs'!#REF!, A60&gt;='Indoor HortLighting_Inputs'!#REF!, A60&lt;'Indoor HortLighting_Inputs'!#REF!),1,"")</f>
        <v>#REF!</v>
      </c>
      <c r="C60" t="e">
        <f>IF(AND('Indoor HortLighting_Inputs'!#REF!&lt;'Indoor HortLighting_Inputs'!#REF!, A60&gt;='Indoor HortLighting_Inputs'!#REF!, A60&lt;'Indoor HortLighting_Inputs'!#REF!),1,"")</f>
        <v>#REF!</v>
      </c>
      <c r="D60" t="e">
        <f>IF(AND('Indoor HortLighting_Inputs'!#REF!&lt;'Indoor HortLighting_Inputs'!#REF!, A60&gt;='Indoor HortLighting_Inputs'!#REF!, A60&lt;'Indoor HortLighting_Inputs'!#REF!),1,"")</f>
        <v>#REF!</v>
      </c>
      <c r="E60" t="e">
        <f>IF(AND('Indoor HortLighting_Inputs'!#REF!&lt;'Indoor HortLighting_Inputs'!#REF!, A60&gt;='Indoor HortLighting_Inputs'!#REF!, A60&lt;'Indoor HortLighting_Inputs'!#REF!),1,"")</f>
        <v>#REF!</v>
      </c>
      <c r="F60" s="65" t="e">
        <f>IF(AND('Indoor HortLighting_Inputs'!#REF!&lt;'Indoor HortLighting_Inputs'!#REF!, A60&gt;='Indoor HortLighting_Inputs'!#REF!, A60&lt;'Indoor HortLighting_Inputs'!#REF!),1,"")</f>
        <v>#REF!</v>
      </c>
      <c r="H60" s="82"/>
      <c r="M60" s="65"/>
    </row>
    <row r="61" spans="1:13" ht="14.25" hidden="1" customHeight="1" thickBot="1" x14ac:dyDescent="0.25">
      <c r="A61" s="73">
        <v>24</v>
      </c>
      <c r="B61" s="77" t="e">
        <f>IF(AND('Indoor HortLighting_Inputs'!#REF!&lt;'Indoor HortLighting_Inputs'!#REF!, A61&gt;='Indoor HortLighting_Inputs'!#REF!, A61&lt;'Indoor HortLighting_Inputs'!#REF!),1,"")</f>
        <v>#REF!</v>
      </c>
      <c r="C61" s="77" t="e">
        <f>IF(AND('Indoor HortLighting_Inputs'!#REF!&lt;'Indoor HortLighting_Inputs'!#REF!, A61&gt;='Indoor HortLighting_Inputs'!#REF!, A61&lt;'Indoor HortLighting_Inputs'!#REF!),1,"")</f>
        <v>#REF!</v>
      </c>
      <c r="D61" s="77" t="e">
        <f>IF(AND('Indoor HortLighting_Inputs'!#REF!&lt;'Indoor HortLighting_Inputs'!#REF!, A61&gt;='Indoor HortLighting_Inputs'!#REF!, A61&lt;'Indoor HortLighting_Inputs'!#REF!),1,"")</f>
        <v>#REF!</v>
      </c>
      <c r="E61" s="77" t="e">
        <f>IF(AND('Indoor HortLighting_Inputs'!#REF!&lt;'Indoor HortLighting_Inputs'!#REF!, A61&gt;='Indoor HortLighting_Inputs'!#REF!, A61&lt;'Indoor HortLighting_Inputs'!#REF!),1,"")</f>
        <v>#REF!</v>
      </c>
      <c r="F61" s="66" t="e">
        <f>IF(AND('Indoor HortLighting_Inputs'!#REF!&lt;'Indoor HortLighting_Inputs'!#REF!, A61&gt;='Indoor HortLighting_Inputs'!#REF!, A61&lt;'Indoor HortLighting_Inputs'!#REF!),1,"")</f>
        <v>#REF!</v>
      </c>
      <c r="H61" s="82"/>
      <c r="M61" s="65"/>
    </row>
    <row r="62" spans="1:13" ht="14.25" hidden="1" customHeight="1" x14ac:dyDescent="0.2">
      <c r="A62" s="82"/>
      <c r="B62"/>
      <c r="F62" s="65"/>
      <c r="H62" s="82"/>
      <c r="M62" s="65"/>
    </row>
    <row r="63" spans="1:13" ht="14.25" hidden="1" customHeight="1" x14ac:dyDescent="0.2">
      <c r="A63" s="344" t="s">
        <v>175</v>
      </c>
      <c r="B63" s="345"/>
      <c r="F63" s="65"/>
      <c r="H63" s="344" t="s">
        <v>176</v>
      </c>
      <c r="I63" s="345"/>
      <c r="J63" s="345"/>
      <c r="M63" s="65"/>
    </row>
    <row r="64" spans="1:13" ht="14.25" hidden="1" customHeight="1" thickBot="1" x14ac:dyDescent="0.25">
      <c r="A64" s="82"/>
      <c r="B64"/>
      <c r="F64" s="65"/>
      <c r="H64" s="82"/>
      <c r="M64" s="65"/>
    </row>
    <row r="65" spans="1:13" ht="14.25" hidden="1" customHeight="1" x14ac:dyDescent="0.2">
      <c r="A65" s="78" t="s">
        <v>177</v>
      </c>
      <c r="B65" s="74" t="e">
        <f>SUM(B51:B54)</f>
        <v>#REF!</v>
      </c>
      <c r="C65" s="74" t="e">
        <f>SUM(C51:C54)</f>
        <v>#REF!</v>
      </c>
      <c r="D65" s="74" t="e">
        <f>SUM(D51:D54)</f>
        <v>#REF!</v>
      </c>
      <c r="E65" s="74" t="e">
        <f>SUM(E51:E54)</f>
        <v>#REF!</v>
      </c>
      <c r="F65" s="64" t="e">
        <f>SUM(F51:F54)</f>
        <v>#REF!</v>
      </c>
      <c r="H65" s="63" t="s">
        <v>178</v>
      </c>
      <c r="I65" s="74">
        <f>Calc!F57</f>
        <v>0</v>
      </c>
      <c r="J65" s="74">
        <f>Calc!F57</f>
        <v>0</v>
      </c>
      <c r="K65" s="74">
        <f>Calc!F57</f>
        <v>0</v>
      </c>
      <c r="L65" s="74">
        <f>Calc!F57</f>
        <v>0</v>
      </c>
      <c r="M65" s="64">
        <f>Calc!F57</f>
        <v>0</v>
      </c>
    </row>
    <row r="66" spans="1:13" ht="14.25" hidden="1" customHeight="1" thickBot="1" x14ac:dyDescent="0.25">
      <c r="A66" s="68" t="s">
        <v>179</v>
      </c>
      <c r="B66" t="e">
        <f>(B65/4)*((365-'Indoor HortLighting_Inputs'!H38)/365)</f>
        <v>#REF!</v>
      </c>
      <c r="C66" t="e">
        <f>(C65/4)*((365-'Indoor HortLighting_Inputs'!H39)/365)</f>
        <v>#REF!</v>
      </c>
      <c r="D66" t="e">
        <f>(D65/4)*((365-'Indoor HortLighting_Inputs'!H40)/365)</f>
        <v>#REF!</v>
      </c>
      <c r="E66" t="e">
        <f>(E65/4)*((365-'Indoor HortLighting_Inputs'!H41)/365)</f>
        <v>#REF!</v>
      </c>
      <c r="F66" s="65" t="e">
        <f>(F65/4)*((365-'Indoor HortLighting_Inputs'!H42)/365)</f>
        <v>#REF!</v>
      </c>
      <c r="H66" s="80" t="s">
        <v>179</v>
      </c>
      <c r="I66" s="77" t="e">
        <f>I65/'Greenhouse HortLighting_Inputs'!$E$38</f>
        <v>#DIV/0!</v>
      </c>
      <c r="J66" s="77" t="e">
        <f>J65/'Greenhouse HortLighting_Inputs'!$E$38</f>
        <v>#DIV/0!</v>
      </c>
      <c r="K66" s="77" t="e">
        <f>K65/'Greenhouse HortLighting_Inputs'!$E$38</f>
        <v>#DIV/0!</v>
      </c>
      <c r="L66" s="77" t="e">
        <f>L65/'Greenhouse HortLighting_Inputs'!$E$38</f>
        <v>#DIV/0!</v>
      </c>
      <c r="M66" s="66" t="e">
        <f>M65/'Greenhouse HortLighting_Inputs'!$E$38</f>
        <v>#DIV/0!</v>
      </c>
    </row>
    <row r="67" spans="1:13" ht="14.25" hidden="1" customHeight="1" thickBot="1" x14ac:dyDescent="0.25">
      <c r="A67" s="69" t="s">
        <v>180</v>
      </c>
      <c r="B67" s="75" t="e">
        <f>SUM(B38:B61)/24-'Indoor HortLighting_Inputs'!$H$38/365</f>
        <v>#REF!</v>
      </c>
      <c r="C67" s="75" t="e">
        <f>SUM(C38:C61)/24-'Indoor HortLighting_Inputs'!$H$38/365</f>
        <v>#REF!</v>
      </c>
      <c r="D67" s="75" t="e">
        <f>SUM(D38:D61)/24-'Indoor HortLighting_Inputs'!$H$38/365</f>
        <v>#REF!</v>
      </c>
      <c r="E67" s="75" t="e">
        <f>SUM(E38:E61)/24-'Indoor HortLighting_Inputs'!$H$38/365</f>
        <v>#REF!</v>
      </c>
      <c r="F67" s="76" t="e">
        <f>SUM(F38:F61)/24-'Indoor HortLighting_Inputs'!$H$38/365</f>
        <v>#REF!</v>
      </c>
      <c r="H67" s="80" t="s">
        <v>181</v>
      </c>
      <c r="I67" s="75">
        <f>'Greenhouse HortLighting_Inputs'!$E$38/8760</f>
        <v>0</v>
      </c>
      <c r="J67" s="75">
        <f>'Greenhouse HortLighting_Inputs'!$E$38/8760</f>
        <v>0</v>
      </c>
      <c r="K67" s="75">
        <f>'Greenhouse HortLighting_Inputs'!$E$38/8760</f>
        <v>0</v>
      </c>
      <c r="L67" s="75">
        <f>'Greenhouse HortLighting_Inputs'!$E$38/8760</f>
        <v>0</v>
      </c>
      <c r="M67" s="75">
        <f>'Greenhouse HortLighting_Inputs'!$E$38/8760</f>
        <v>0</v>
      </c>
    </row>
    <row r="68" spans="1:13" ht="14.25" hidden="1" customHeight="1" x14ac:dyDescent="0.2"/>
    <row r="69" spans="1:13" ht="14.25" hidden="1" customHeight="1" x14ac:dyDescent="0.2"/>
  </sheetData>
  <mergeCells count="5">
    <mergeCell ref="A2:A8"/>
    <mergeCell ref="A12:A18"/>
    <mergeCell ref="C18:M18"/>
    <mergeCell ref="A63:B63"/>
    <mergeCell ref="H63:J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6FB48-DE01-4417-81C3-4E3D4A29A3FC}">
  <sheetPr codeName="Sheet10">
    <tabColor theme="7"/>
  </sheetPr>
  <dimension ref="A1:I66"/>
  <sheetViews>
    <sheetView topLeftCell="A40" workbookViewId="0">
      <selection activeCell="C12" sqref="C12"/>
    </sheetView>
  </sheetViews>
  <sheetFormatPr defaultRowHeight="14.25" x14ac:dyDescent="0.2"/>
  <cols>
    <col min="1" max="1" width="38.625" bestFit="1" customWidth="1"/>
    <col min="2" max="2" width="11.75" bestFit="1" customWidth="1"/>
    <col min="3" max="3" width="44.125" bestFit="1" customWidth="1"/>
    <col min="4" max="4" width="14.5" bestFit="1" customWidth="1"/>
    <col min="5" max="5" width="10.375" bestFit="1" customWidth="1"/>
    <col min="6" max="6" width="6.5" customWidth="1"/>
    <col min="7" max="7" width="18.375" customWidth="1"/>
    <col min="8" max="8" width="15" bestFit="1" customWidth="1"/>
    <col min="9" max="9" width="10.375" bestFit="1" customWidth="1"/>
    <col min="10" max="10" width="7.75" bestFit="1" customWidth="1"/>
    <col min="11" max="11" width="7.625" bestFit="1" customWidth="1"/>
  </cols>
  <sheetData>
    <row r="1" spans="1:9" ht="15" x14ac:dyDescent="0.25">
      <c r="A1" s="117" t="s">
        <v>86</v>
      </c>
    </row>
    <row r="5" spans="1:9" ht="15" x14ac:dyDescent="0.2">
      <c r="A5" s="111" t="s">
        <v>182</v>
      </c>
      <c r="B5" s="111"/>
      <c r="C5" s="111"/>
      <c r="D5" s="111"/>
      <c r="F5" s="116" t="s">
        <v>88</v>
      </c>
      <c r="G5" s="116"/>
      <c r="H5" s="116" t="s">
        <v>183</v>
      </c>
      <c r="I5" s="116" t="s">
        <v>184</v>
      </c>
    </row>
    <row r="6" spans="1:9" x14ac:dyDescent="0.2">
      <c r="A6" s="11"/>
      <c r="B6" s="11"/>
      <c r="C6" s="11"/>
      <c r="D6" s="11"/>
      <c r="F6" s="116"/>
      <c r="G6" s="116" t="s">
        <v>185</v>
      </c>
      <c r="H6" s="116">
        <f>'Indoor HortLighting_Inputs'!D17</f>
        <v>0</v>
      </c>
      <c r="I6" s="116">
        <f>'Indoor HortLighting_Inputs'!D16</f>
        <v>0</v>
      </c>
    </row>
    <row r="7" spans="1:9" x14ac:dyDescent="0.2">
      <c r="A7" s="11" t="s">
        <v>69</v>
      </c>
      <c r="B7" s="11" t="s">
        <v>67</v>
      </c>
      <c r="C7" s="11" t="s">
        <v>185</v>
      </c>
      <c r="D7" s="11" t="s">
        <v>71</v>
      </c>
      <c r="F7" s="116"/>
      <c r="G7" s="116" t="s">
        <v>186</v>
      </c>
      <c r="H7" s="116">
        <f>'Indoor HortLighting_Inputs'!D22</f>
        <v>0</v>
      </c>
      <c r="I7" s="116">
        <f>'Indoor HortLighting_Inputs'!D21</f>
        <v>0</v>
      </c>
    </row>
    <row r="8" spans="1:9" x14ac:dyDescent="0.2">
      <c r="A8" s="11" t="s">
        <v>187</v>
      </c>
      <c r="B8" s="11" t="s">
        <v>82</v>
      </c>
      <c r="C8" s="11" t="s">
        <v>186</v>
      </c>
      <c r="D8" s="11" t="s">
        <v>75</v>
      </c>
      <c r="F8" s="116"/>
      <c r="G8" s="116" t="s">
        <v>188</v>
      </c>
      <c r="H8" s="116">
        <f>'Indoor HortLighting_Inputs'!D27</f>
        <v>0</v>
      </c>
      <c r="I8" s="116">
        <f>'Indoor HortLighting_Inputs'!D26</f>
        <v>0</v>
      </c>
    </row>
    <row r="9" spans="1:9" x14ac:dyDescent="0.2">
      <c r="A9" s="11"/>
      <c r="B9" s="11" t="s">
        <v>83</v>
      </c>
      <c r="C9" s="11" t="s">
        <v>188</v>
      </c>
      <c r="D9" s="11"/>
      <c r="F9" s="116"/>
      <c r="G9" s="116"/>
      <c r="H9" s="116"/>
      <c r="I9" s="116"/>
    </row>
    <row r="10" spans="1:9" x14ac:dyDescent="0.2">
      <c r="A10" s="11"/>
      <c r="B10" s="11"/>
      <c r="C10" s="11"/>
      <c r="D10" s="11"/>
      <c r="F10" s="116"/>
      <c r="G10" s="116"/>
      <c r="H10" s="116"/>
      <c r="I10" s="116"/>
    </row>
    <row r="11" spans="1:9" x14ac:dyDescent="0.2">
      <c r="F11" s="116"/>
      <c r="G11" s="116"/>
      <c r="H11" s="116" t="s">
        <v>183</v>
      </c>
      <c r="I11" s="116" t="s">
        <v>184</v>
      </c>
    </row>
    <row r="12" spans="1:9" x14ac:dyDescent="0.2">
      <c r="F12" s="116" t="s">
        <v>89</v>
      </c>
      <c r="G12" s="116" t="s">
        <v>185</v>
      </c>
      <c r="H12" s="116">
        <f>'Greenhouse HortLighting_Inputs'!D17</f>
        <v>0</v>
      </c>
      <c r="I12" s="116">
        <f>'Greenhouse HortLighting_Inputs'!D16</f>
        <v>0</v>
      </c>
    </row>
    <row r="13" spans="1:9" x14ac:dyDescent="0.2">
      <c r="F13" s="116"/>
      <c r="G13" s="116" t="s">
        <v>186</v>
      </c>
      <c r="H13" s="116">
        <f>'Greenhouse HortLighting_Inputs'!D22</f>
        <v>0</v>
      </c>
      <c r="I13" s="116">
        <f>'Greenhouse HortLighting_Inputs'!D21</f>
        <v>0</v>
      </c>
    </row>
    <row r="14" spans="1:9" x14ac:dyDescent="0.2">
      <c r="F14" s="116"/>
      <c r="G14" s="116" t="s">
        <v>188</v>
      </c>
      <c r="H14" s="116">
        <f>'Greenhouse HortLighting_Inputs'!D27</f>
        <v>0</v>
      </c>
      <c r="I14" s="116">
        <f>'Greenhouse HortLighting_Inputs'!D26</f>
        <v>0</v>
      </c>
    </row>
    <row r="15" spans="1:9" ht="15.6" customHeight="1" x14ac:dyDescent="0.2"/>
    <row r="16" spans="1:9" ht="15" x14ac:dyDescent="0.25">
      <c r="A16" s="112" t="s">
        <v>189</v>
      </c>
      <c r="B16" s="112"/>
      <c r="C16" s="112"/>
      <c r="D16" s="113"/>
      <c r="E16" s="114"/>
      <c r="F16" s="113"/>
      <c r="G16" s="113"/>
      <c r="H16" s="113"/>
    </row>
    <row r="17" spans="1:8" x14ac:dyDescent="0.2">
      <c r="A17" s="113" t="s">
        <v>190</v>
      </c>
      <c r="B17" s="113" t="s">
        <v>191</v>
      </c>
      <c r="C17" s="113" t="s">
        <v>192</v>
      </c>
      <c r="D17" s="113"/>
      <c r="E17" s="113"/>
      <c r="F17" s="113" t="s">
        <v>193</v>
      </c>
      <c r="G17" s="113" t="s">
        <v>194</v>
      </c>
      <c r="H17" s="113"/>
    </row>
    <row r="18" spans="1:8" x14ac:dyDescent="0.2">
      <c r="A18" s="115">
        <f>'Indoor HortLighting_Inputs'!G38</f>
        <v>0</v>
      </c>
      <c r="B18" s="113">
        <f>SUMIFS($F$18:$F$42,$E$18:$E$42,"&gt;="&amp;A18,$E$18:$E$42,"&lt;="&amp;A19)/4*((365-'Indoor HortLighting_Inputs'!H38)/365)</f>
        <v>0</v>
      </c>
      <c r="C18" s="113">
        <f>SUMIFS($G$18:$G$42,$E$18:$E$42,"&gt;="&amp;A18,$E$18:$E$42,"&lt;="&amp;A19)/4*((365-'Indoor HortLighting_Inputs'!H38)/365)</f>
        <v>0</v>
      </c>
      <c r="D18" s="113"/>
      <c r="E18" s="113">
        <v>0</v>
      </c>
      <c r="F18" s="113">
        <v>0</v>
      </c>
      <c r="G18" s="113">
        <v>0</v>
      </c>
      <c r="H18" s="113"/>
    </row>
    <row r="19" spans="1:8" x14ac:dyDescent="0.2">
      <c r="A19" s="115">
        <f>A18+'Indoor HortLighting_Inputs'!F38</f>
        <v>0</v>
      </c>
      <c r="B19" s="113"/>
      <c r="C19" s="113"/>
      <c r="D19" s="113"/>
      <c r="E19" s="113">
        <v>1</v>
      </c>
      <c r="F19" s="113">
        <v>0</v>
      </c>
      <c r="G19" s="113">
        <v>0</v>
      </c>
      <c r="H19" s="113"/>
    </row>
    <row r="20" spans="1:8" x14ac:dyDescent="0.2">
      <c r="A20" s="113"/>
      <c r="B20" s="113"/>
      <c r="C20" s="113"/>
      <c r="D20" s="113"/>
      <c r="E20" s="113">
        <v>2</v>
      </c>
      <c r="F20" s="113">
        <v>0</v>
      </c>
      <c r="G20" s="113">
        <v>0</v>
      </c>
      <c r="H20" s="113"/>
    </row>
    <row r="21" spans="1:8" x14ac:dyDescent="0.2">
      <c r="A21" s="113" t="s">
        <v>195</v>
      </c>
      <c r="B21" s="113"/>
      <c r="C21" s="113"/>
      <c r="D21" s="113"/>
      <c r="E21" s="113">
        <v>3</v>
      </c>
      <c r="F21" s="113">
        <v>0</v>
      </c>
      <c r="G21" s="113">
        <v>0</v>
      </c>
      <c r="H21" s="113"/>
    </row>
    <row r="22" spans="1:8" x14ac:dyDescent="0.2">
      <c r="A22" s="115">
        <f>'Indoor HortLighting_Inputs'!G39</f>
        <v>0</v>
      </c>
      <c r="B22" s="113">
        <f>SUMIFS($F$18:$F$42,$E$18:$E$42,"&gt;="&amp;A22,$E$18:$E$42,"&lt;="&amp;A23)/4*((365-'Indoor HortLighting_Inputs'!H39)/365)</f>
        <v>0</v>
      </c>
      <c r="C22" s="113">
        <f>SUMIFS($G$18:$G$42,$E$18:$E$42,"&gt;="&amp;A22,$E$18:$E$42,"&lt;="&amp;A23)/4*((365-'Indoor HortLighting_Inputs'!H39)/365)</f>
        <v>0</v>
      </c>
      <c r="D22" s="113"/>
      <c r="E22" s="113">
        <v>4</v>
      </c>
      <c r="F22" s="113">
        <v>0</v>
      </c>
      <c r="G22" s="113">
        <v>0</v>
      </c>
      <c r="H22" s="113"/>
    </row>
    <row r="23" spans="1:8" x14ac:dyDescent="0.2">
      <c r="A23" s="115">
        <f>A22+'Indoor HortLighting_Inputs'!F39</f>
        <v>0</v>
      </c>
      <c r="B23" s="113"/>
      <c r="C23" s="113"/>
      <c r="D23" s="113"/>
      <c r="E23" s="113">
        <v>5</v>
      </c>
      <c r="F23" s="113">
        <v>0</v>
      </c>
      <c r="G23" s="113">
        <v>0</v>
      </c>
      <c r="H23" s="113"/>
    </row>
    <row r="24" spans="1:8" x14ac:dyDescent="0.2">
      <c r="A24" s="113"/>
      <c r="B24" s="113"/>
      <c r="C24" s="113"/>
      <c r="D24" s="113"/>
      <c r="E24" s="113">
        <v>6</v>
      </c>
      <c r="F24" s="113">
        <v>0</v>
      </c>
      <c r="G24" s="113">
        <v>0</v>
      </c>
      <c r="H24" s="113"/>
    </row>
    <row r="25" spans="1:8" x14ac:dyDescent="0.2">
      <c r="A25" s="113" t="s">
        <v>196</v>
      </c>
      <c r="B25" s="113"/>
      <c r="C25" s="113"/>
      <c r="D25" s="113"/>
      <c r="E25" s="113">
        <v>7</v>
      </c>
      <c r="F25" s="113">
        <v>0</v>
      </c>
      <c r="G25" s="113">
        <v>1</v>
      </c>
      <c r="H25" s="113"/>
    </row>
    <row r="26" spans="1:8" x14ac:dyDescent="0.2">
      <c r="A26" s="115">
        <f>'Indoor HortLighting_Inputs'!G40</f>
        <v>0</v>
      </c>
      <c r="B26" s="113">
        <f>SUMIFS($F$18:$F$42,$E$18:$E$42,"&gt;="&amp;A26,$E$18:$E$42,"&lt;="&amp;A27)/4*((365-'Indoor HortLighting_Inputs'!H40)/365)</f>
        <v>0</v>
      </c>
      <c r="C26" s="113">
        <f>SUMIFS($G$18:$G$42,$E$18:$E$42,"&gt;="&amp;A26,$E$18:$E$42,"&lt;="&amp;A27)/4*((365-'Indoor HortLighting_Inputs'!H40)/365)</f>
        <v>0</v>
      </c>
      <c r="D26" s="113"/>
      <c r="E26" s="113">
        <v>8</v>
      </c>
      <c r="F26" s="113">
        <v>0</v>
      </c>
      <c r="G26" s="113">
        <v>1</v>
      </c>
      <c r="H26" s="113"/>
    </row>
    <row r="27" spans="1:8" x14ac:dyDescent="0.2">
      <c r="A27" s="115">
        <f>A26+'Indoor HortLighting_Inputs'!F40</f>
        <v>0</v>
      </c>
      <c r="B27" s="113"/>
      <c r="C27" s="113"/>
      <c r="D27" s="113"/>
      <c r="E27" s="113">
        <v>9</v>
      </c>
      <c r="F27" s="113">
        <v>0</v>
      </c>
      <c r="G27" s="113">
        <v>0</v>
      </c>
      <c r="H27" s="113"/>
    </row>
    <row r="28" spans="1:8" x14ac:dyDescent="0.2">
      <c r="A28" s="113"/>
      <c r="B28" s="113"/>
      <c r="C28" s="113"/>
      <c r="D28" s="113"/>
      <c r="E28" s="113">
        <v>10</v>
      </c>
      <c r="F28" s="113">
        <v>0</v>
      </c>
      <c r="G28" s="113">
        <v>0</v>
      </c>
      <c r="H28" s="113"/>
    </row>
    <row r="29" spans="1:8" x14ac:dyDescent="0.2">
      <c r="A29" s="113" t="s">
        <v>197</v>
      </c>
      <c r="B29" s="113"/>
      <c r="C29" s="113"/>
      <c r="D29" s="113"/>
      <c r="E29" s="113">
        <v>11</v>
      </c>
      <c r="F29" s="113">
        <v>0</v>
      </c>
      <c r="G29" s="113">
        <v>0</v>
      </c>
      <c r="H29" s="113"/>
    </row>
    <row r="30" spans="1:8" x14ac:dyDescent="0.2">
      <c r="A30" s="115">
        <f>'Indoor HortLighting_Inputs'!G41</f>
        <v>0</v>
      </c>
      <c r="B30" s="113">
        <f>SUMIFS($F$18:$F$42,$E$18:$E$42,"&gt;="&amp;A30,$E$18:$E$42,"&lt;="&amp;A31)/4*((365-'Indoor HortLighting_Inputs'!H41)/365)</f>
        <v>0</v>
      </c>
      <c r="C30" s="113">
        <f>SUMIFS($G$18:$G$42,$E$18:$E$42,"&gt;="&amp;A30,$E$18:$E$42,"&lt;="&amp;A31)/4*((365-'Indoor HortLighting_Inputs'!H41)/365)</f>
        <v>0</v>
      </c>
      <c r="D30" s="113"/>
      <c r="E30" s="113">
        <v>12</v>
      </c>
      <c r="F30" s="113">
        <v>0</v>
      </c>
      <c r="G30" s="113">
        <v>0</v>
      </c>
      <c r="H30" s="113"/>
    </row>
    <row r="31" spans="1:8" x14ac:dyDescent="0.2">
      <c r="A31" s="115">
        <f>A30+'Indoor HortLighting_Inputs'!F41</f>
        <v>0</v>
      </c>
      <c r="B31" s="113"/>
      <c r="C31" s="113"/>
      <c r="D31" s="113"/>
      <c r="E31" s="113">
        <v>13</v>
      </c>
      <c r="F31" s="113">
        <v>0</v>
      </c>
      <c r="G31" s="113">
        <v>0</v>
      </c>
      <c r="H31" s="113"/>
    </row>
    <row r="32" spans="1:8" x14ac:dyDescent="0.2">
      <c r="A32" s="113"/>
      <c r="B32" s="113"/>
      <c r="C32" s="113"/>
      <c r="D32" s="113"/>
      <c r="E32" s="113">
        <v>14</v>
      </c>
      <c r="F32" s="113">
        <v>1</v>
      </c>
      <c r="G32" s="113">
        <v>0</v>
      </c>
      <c r="H32" s="113"/>
    </row>
    <row r="33" spans="1:8" x14ac:dyDescent="0.2">
      <c r="A33" s="113" t="s">
        <v>198</v>
      </c>
      <c r="B33" s="113"/>
      <c r="C33" s="113"/>
      <c r="D33" s="113"/>
      <c r="E33" s="113">
        <v>15</v>
      </c>
      <c r="F33" s="113">
        <v>1</v>
      </c>
      <c r="G33" s="113">
        <v>0</v>
      </c>
      <c r="H33" s="113"/>
    </row>
    <row r="34" spans="1:8" x14ac:dyDescent="0.2">
      <c r="A34" s="115">
        <f>'Indoor HortLighting_Inputs'!G42</f>
        <v>0</v>
      </c>
      <c r="B34" s="113">
        <f>SUMIFS($F$18:$F$42,$E$18:$E$42,"&gt;="&amp;A34,$E$18:$E$42,"&lt;="&amp;A35)/4*((365-'Indoor HortLighting_Inputs'!H42)/365)</f>
        <v>0</v>
      </c>
      <c r="C34" s="113">
        <f>SUMIFS($G$18:$G$42,$E$18:$E$42,"&gt;="&amp;A34,$E$18:$E$42,"&lt;="&amp;A35)/4*((365-'Indoor HortLighting_Inputs'!H42)/365)</f>
        <v>0</v>
      </c>
      <c r="D34" s="113"/>
      <c r="E34" s="113">
        <v>16</v>
      </c>
      <c r="F34" s="113">
        <v>1</v>
      </c>
      <c r="G34" s="113">
        <v>0</v>
      </c>
      <c r="H34" s="113"/>
    </row>
    <row r="35" spans="1:8" x14ac:dyDescent="0.2">
      <c r="A35" s="115">
        <f>A34+'Indoor HortLighting_Inputs'!F42</f>
        <v>0</v>
      </c>
      <c r="B35" s="113"/>
      <c r="C35" s="113"/>
      <c r="D35" s="113"/>
      <c r="E35" s="113">
        <v>17</v>
      </c>
      <c r="F35" s="113">
        <v>1</v>
      </c>
      <c r="G35" s="113">
        <v>0</v>
      </c>
      <c r="H35" s="113"/>
    </row>
    <row r="36" spans="1:8" x14ac:dyDescent="0.2">
      <c r="A36" s="115"/>
      <c r="B36" s="113"/>
      <c r="C36" s="113"/>
      <c r="D36" s="113"/>
      <c r="E36" s="113"/>
      <c r="F36" s="113"/>
      <c r="G36" s="113"/>
      <c r="H36" s="113"/>
    </row>
    <row r="37" spans="1:8" x14ac:dyDescent="0.2">
      <c r="A37" s="113" t="s">
        <v>199</v>
      </c>
      <c r="B37" s="113"/>
      <c r="C37" s="113"/>
      <c r="D37" s="113"/>
      <c r="E37" s="113">
        <v>18</v>
      </c>
      <c r="F37" s="113">
        <v>0</v>
      </c>
      <c r="G37" s="113">
        <v>1</v>
      </c>
      <c r="H37" s="113"/>
    </row>
    <row r="38" spans="1:8" x14ac:dyDescent="0.2">
      <c r="A38" s="115">
        <f>'Indoor HortLighting_Inputs'!G43</f>
        <v>0</v>
      </c>
      <c r="B38" s="113">
        <f>SUMIFS($F$18:$F$42,$E$18:$E$42,"&gt;="&amp;A38,$E$18:$E$42,"&lt;="&amp;A39)/4*((365-'Indoor HortLighting_Inputs'!H45)/365)</f>
        <v>0</v>
      </c>
      <c r="C38" s="113">
        <f>SUMIFS($G$18:$G$42,$E$18:$E$42,"&gt;="&amp;A38,$E$18:$E$42,"&lt;="&amp;A39)/4*((365-'Indoor HortLighting_Inputs'!H45)/365)</f>
        <v>0</v>
      </c>
      <c r="D38" s="113"/>
      <c r="E38" s="113">
        <v>19</v>
      </c>
      <c r="F38" s="113">
        <v>0</v>
      </c>
      <c r="G38" s="113">
        <v>1</v>
      </c>
      <c r="H38" s="113"/>
    </row>
    <row r="39" spans="1:8" x14ac:dyDescent="0.2">
      <c r="A39" s="115">
        <f>A38+'Indoor HortLighting_Inputs'!F43</f>
        <v>0</v>
      </c>
      <c r="B39" s="113"/>
      <c r="C39" s="113"/>
      <c r="D39" s="113"/>
      <c r="E39" s="113">
        <v>20</v>
      </c>
      <c r="F39" s="113">
        <v>0</v>
      </c>
      <c r="G39" s="113">
        <v>0</v>
      </c>
      <c r="H39" s="113"/>
    </row>
    <row r="40" spans="1:8" x14ac:dyDescent="0.2">
      <c r="A40" s="115"/>
      <c r="B40" s="113"/>
      <c r="C40" s="113"/>
      <c r="D40" s="113"/>
      <c r="E40" s="113">
        <v>21</v>
      </c>
      <c r="F40" s="113">
        <v>0</v>
      </c>
      <c r="G40" s="113">
        <v>0</v>
      </c>
      <c r="H40" s="113"/>
    </row>
    <row r="41" spans="1:8" x14ac:dyDescent="0.2">
      <c r="A41" s="113"/>
      <c r="B41" s="113"/>
      <c r="C41" s="113"/>
      <c r="D41" s="113"/>
      <c r="E41" s="113">
        <v>22</v>
      </c>
      <c r="F41" s="113">
        <v>0</v>
      </c>
      <c r="G41" s="113">
        <v>0</v>
      </c>
      <c r="H41" s="113"/>
    </row>
    <row r="42" spans="1:8" ht="15" x14ac:dyDescent="0.25">
      <c r="A42" s="112" t="s">
        <v>189</v>
      </c>
      <c r="B42" s="112"/>
      <c r="C42" s="112"/>
      <c r="D42" s="113"/>
      <c r="E42" s="113">
        <v>23</v>
      </c>
      <c r="F42" s="113">
        <v>0</v>
      </c>
      <c r="G42" s="113">
        <v>0</v>
      </c>
      <c r="H42" s="113"/>
    </row>
    <row r="43" spans="1:8" x14ac:dyDescent="0.2">
      <c r="A43" s="113" t="s">
        <v>190</v>
      </c>
      <c r="B43" s="113" t="s">
        <v>191</v>
      </c>
      <c r="C43" s="113" t="s">
        <v>192</v>
      </c>
      <c r="D43" s="113"/>
      <c r="E43" s="113"/>
      <c r="F43" s="113"/>
      <c r="G43" s="113"/>
      <c r="H43" s="113"/>
    </row>
    <row r="44" spans="1:8" x14ac:dyDescent="0.2">
      <c r="A44" s="115">
        <f>'Greenhouse HortLighting_Inputs'!G38</f>
        <v>0</v>
      </c>
      <c r="B44" s="113">
        <f>SUMIFS($F$18:$F$42,$E$18:$E$42,"&gt;="&amp;A44,$E$18:$E$42,"&lt;="&amp;A45)/4*((365-'Indoor HortLighting_Inputs'!H59)/365)</f>
        <v>0</v>
      </c>
      <c r="C44" s="113">
        <f>SUMIFS($G$18:$G$42,$E$18:$E$42,"&gt;="&amp;A44,$E$18:$E$42,"&lt;="&amp;A45)/4*((365-'Indoor HortLighting_Inputs'!H59)/365)</f>
        <v>0</v>
      </c>
      <c r="D44" s="113"/>
      <c r="E44" s="113"/>
      <c r="F44" s="113"/>
      <c r="G44" s="113"/>
      <c r="H44" s="113"/>
    </row>
    <row r="45" spans="1:8" x14ac:dyDescent="0.2">
      <c r="A45" s="115">
        <f>A44+'Greenhouse HortLighting_Inputs'!F38</f>
        <v>0</v>
      </c>
      <c r="B45" s="113"/>
      <c r="C45" s="113"/>
      <c r="D45" s="113"/>
      <c r="E45" s="113"/>
      <c r="F45" s="113"/>
      <c r="G45" s="113"/>
      <c r="H45" s="113"/>
    </row>
    <row r="46" spans="1:8" x14ac:dyDescent="0.2">
      <c r="A46" s="113"/>
      <c r="B46" s="113"/>
      <c r="C46" s="113"/>
      <c r="D46" s="113"/>
      <c r="E46" s="113"/>
      <c r="F46" s="113"/>
      <c r="G46" s="113"/>
      <c r="H46" s="113"/>
    </row>
    <row r="47" spans="1:8" x14ac:dyDescent="0.2">
      <c r="A47" s="113" t="s">
        <v>195</v>
      </c>
      <c r="B47" s="113"/>
      <c r="C47" s="113"/>
      <c r="D47" s="113"/>
      <c r="E47" s="113"/>
      <c r="F47" s="113"/>
      <c r="G47" s="113"/>
      <c r="H47" s="113"/>
    </row>
    <row r="48" spans="1:8" x14ac:dyDescent="0.2">
      <c r="A48" s="115">
        <f>'Greenhouse HortLighting_Inputs'!G39</f>
        <v>0</v>
      </c>
      <c r="B48" s="113">
        <f>SUMIFS($F$18:$F$42,$E$18:$E$42,"&gt;="&amp;A48,$E$18:$E$42,"&lt;="&amp;A49)/4*((365-'Indoor HortLighting_Inputs'!H60)/365)</f>
        <v>0</v>
      </c>
      <c r="C48" s="113">
        <f>SUMIFS($G$18:$G$42,$E$18:$E$42,"&gt;="&amp;A48,$E$18:$E$42,"&lt;="&amp;A49)/4*((365-'Indoor HortLighting_Inputs'!H60)/365)</f>
        <v>0</v>
      </c>
      <c r="D48" s="113"/>
      <c r="E48" s="113"/>
      <c r="F48" s="113"/>
      <c r="G48" s="113"/>
      <c r="H48" s="113"/>
    </row>
    <row r="49" spans="1:8" x14ac:dyDescent="0.2">
      <c r="A49" s="115">
        <f>A48+'Greenhouse HortLighting_Inputs'!F39</f>
        <v>0</v>
      </c>
      <c r="B49" s="113"/>
      <c r="C49" s="113"/>
      <c r="D49" s="113"/>
      <c r="E49" s="113"/>
      <c r="F49" s="113"/>
      <c r="G49" s="113"/>
      <c r="H49" s="113"/>
    </row>
    <row r="50" spans="1:8" x14ac:dyDescent="0.2">
      <c r="A50" s="113"/>
      <c r="B50" s="113"/>
      <c r="C50" s="113"/>
      <c r="D50" s="113"/>
      <c r="E50" s="113"/>
      <c r="F50" s="113"/>
      <c r="G50" s="113"/>
      <c r="H50" s="113"/>
    </row>
    <row r="51" spans="1:8" x14ac:dyDescent="0.2">
      <c r="A51" s="113" t="s">
        <v>196</v>
      </c>
      <c r="B51" s="113"/>
      <c r="C51" s="113"/>
      <c r="D51" s="113"/>
      <c r="E51" s="113"/>
      <c r="F51" s="113"/>
      <c r="G51" s="113"/>
      <c r="H51" s="113"/>
    </row>
    <row r="52" spans="1:8" x14ac:dyDescent="0.2">
      <c r="A52" s="115">
        <f>'Greenhouse HortLighting_Inputs'!G40</f>
        <v>0</v>
      </c>
      <c r="B52" s="113">
        <f>SUMIFS($F$18:$F$42,$E$18:$E$42,"&gt;="&amp;A52,$E$18:$E$42,"&lt;="&amp;A53)/4*((365-'Indoor HortLighting_Inputs'!H61)/365)</f>
        <v>0</v>
      </c>
      <c r="C52" s="113">
        <f>SUMIFS($G$18:$G$42,$E$18:$E$42,"&gt;="&amp;A52,$E$18:$E$42,"&lt;="&amp;A53)/4*((365-'Indoor HortLighting_Inputs'!H61)/365)</f>
        <v>0</v>
      </c>
      <c r="D52" s="113"/>
      <c r="E52" s="113"/>
      <c r="F52" s="113"/>
      <c r="G52" s="113"/>
      <c r="H52" s="113"/>
    </row>
    <row r="53" spans="1:8" x14ac:dyDescent="0.2">
      <c r="A53" s="115">
        <f>A52+'Greenhouse HortLighting_Inputs'!F40</f>
        <v>0</v>
      </c>
      <c r="B53" s="113"/>
      <c r="C53" s="113"/>
      <c r="D53" s="113"/>
      <c r="E53" s="113"/>
      <c r="F53" s="113"/>
      <c r="G53" s="113"/>
      <c r="H53" s="113"/>
    </row>
    <row r="54" spans="1:8" x14ac:dyDescent="0.2">
      <c r="A54" s="113"/>
      <c r="B54" s="113"/>
      <c r="C54" s="113"/>
      <c r="D54" s="113"/>
      <c r="E54" s="113"/>
      <c r="F54" s="113"/>
      <c r="G54" s="113"/>
      <c r="H54" s="113"/>
    </row>
    <row r="55" spans="1:8" x14ac:dyDescent="0.2">
      <c r="A55" s="113" t="s">
        <v>197</v>
      </c>
      <c r="B55" s="113"/>
      <c r="C55" s="113"/>
      <c r="D55" s="113"/>
      <c r="E55" s="113"/>
      <c r="F55" s="113"/>
      <c r="G55" s="113"/>
      <c r="H55" s="113"/>
    </row>
    <row r="56" spans="1:8" x14ac:dyDescent="0.2">
      <c r="A56" s="115">
        <f>'Greenhouse HortLighting_Inputs'!G41</f>
        <v>0</v>
      </c>
      <c r="B56" s="113">
        <f>SUMIFS($F$18:$F$42,$E$18:$E$42,"&gt;="&amp;A56,$E$18:$E$42,"&lt;="&amp;A57)/4*((365-'Indoor HortLighting_Inputs'!H62)/365)</f>
        <v>0</v>
      </c>
      <c r="C56" s="113">
        <f>SUMIFS($G$18:$G$42,$E$18:$E$42,"&gt;="&amp;A56,$E$18:$E$42,"&lt;="&amp;A57)/4*((365-'Indoor HortLighting_Inputs'!H62)/365)</f>
        <v>0</v>
      </c>
      <c r="D56" s="113"/>
      <c r="E56" s="113"/>
      <c r="F56" s="113"/>
      <c r="G56" s="113"/>
      <c r="H56" s="113"/>
    </row>
    <row r="57" spans="1:8" x14ac:dyDescent="0.2">
      <c r="A57" s="115">
        <f>A56+'Greenhouse HortLighting_Inputs'!F41</f>
        <v>0</v>
      </c>
      <c r="B57" s="113"/>
      <c r="C57" s="113"/>
      <c r="D57" s="113"/>
      <c r="E57" s="113"/>
      <c r="F57" s="113"/>
      <c r="G57" s="113"/>
      <c r="H57" s="113"/>
    </row>
    <row r="58" spans="1:8" x14ac:dyDescent="0.2">
      <c r="A58" s="113"/>
      <c r="B58" s="113"/>
      <c r="C58" s="113"/>
      <c r="D58" s="113"/>
      <c r="E58" s="113"/>
      <c r="F58" s="113"/>
      <c r="G58" s="113"/>
      <c r="H58" s="113"/>
    </row>
    <row r="59" spans="1:8" x14ac:dyDescent="0.2">
      <c r="A59" s="113" t="s">
        <v>198</v>
      </c>
      <c r="B59" s="113"/>
      <c r="C59" s="113"/>
      <c r="D59" s="113"/>
      <c r="E59" s="113"/>
      <c r="F59" s="113"/>
      <c r="G59" s="113"/>
      <c r="H59" s="113"/>
    </row>
    <row r="60" spans="1:8" x14ac:dyDescent="0.2">
      <c r="A60" s="115">
        <f>'Greenhouse HortLighting_Inputs'!G42</f>
        <v>0</v>
      </c>
      <c r="B60" s="113">
        <f>SUMIFS($F$18:$F$42,$E$18:$E$42,"&gt;="&amp;A60,$E$18:$E$42,"&lt;="&amp;A61)/4*((365-'Indoor HortLighting_Inputs'!H63)/365)</f>
        <v>0</v>
      </c>
      <c r="C60" s="113">
        <f>SUMIFS($G$18:$G$42,$E$18:$E$42,"&gt;="&amp;A60,$E$18:$E$42,"&lt;="&amp;A61)/4*((365-'Indoor HortLighting_Inputs'!H63)/365)</f>
        <v>0</v>
      </c>
      <c r="D60" s="113"/>
      <c r="E60" s="113"/>
      <c r="F60" s="113"/>
      <c r="G60" s="113"/>
      <c r="H60" s="113"/>
    </row>
    <row r="61" spans="1:8" x14ac:dyDescent="0.2">
      <c r="A61" s="115">
        <f>A60+'Greenhouse HortLighting_Inputs'!F42</f>
        <v>0</v>
      </c>
      <c r="B61" s="113"/>
      <c r="C61" s="113"/>
      <c r="D61" s="113"/>
      <c r="E61" s="113"/>
      <c r="F61" s="113"/>
      <c r="G61" s="113"/>
      <c r="H61" s="113"/>
    </row>
    <row r="62" spans="1:8" x14ac:dyDescent="0.2">
      <c r="A62" s="115"/>
      <c r="B62" s="113"/>
      <c r="C62" s="113"/>
      <c r="D62" s="113"/>
      <c r="E62" s="113"/>
      <c r="F62" s="113"/>
      <c r="G62" s="113"/>
      <c r="H62" s="113"/>
    </row>
    <row r="63" spans="1:8" x14ac:dyDescent="0.2">
      <c r="A63" s="113" t="s">
        <v>199</v>
      </c>
      <c r="B63" s="113"/>
      <c r="C63" s="113"/>
      <c r="D63" s="113"/>
      <c r="E63" s="113"/>
      <c r="F63" s="113"/>
      <c r="G63" s="113"/>
      <c r="H63" s="113"/>
    </row>
    <row r="64" spans="1:8" x14ac:dyDescent="0.2">
      <c r="A64" s="115">
        <f>'Greenhouse HortLighting_Inputs'!G43</f>
        <v>0</v>
      </c>
      <c r="B64" s="113">
        <f>SUMIFS($F$18:$F$42,$E$18:$E$42,"&gt;="&amp;A64,$E$18:$E$42,"&lt;="&amp;A65)/4*((365-'Indoor HortLighting_Inputs'!H70)/365)</f>
        <v>0</v>
      </c>
      <c r="C64" s="113">
        <f>SUMIFS($G$18:$G$42,$E$18:$E$42,"&gt;="&amp;A64,$E$18:$E$42,"&lt;="&amp;A65)/4*((365-'Indoor HortLighting_Inputs'!H70)/365)</f>
        <v>0</v>
      </c>
      <c r="D64" s="113"/>
      <c r="E64" s="113"/>
      <c r="F64" s="113"/>
      <c r="G64" s="113"/>
      <c r="H64" s="113"/>
    </row>
    <row r="65" spans="1:8" x14ac:dyDescent="0.2">
      <c r="A65" s="115">
        <f>A64+'Greenhouse HortLighting_Inputs'!F43</f>
        <v>0</v>
      </c>
      <c r="B65" s="113"/>
      <c r="C65" s="113"/>
      <c r="D65" s="113"/>
      <c r="E65" s="113"/>
      <c r="F65" s="113"/>
      <c r="G65" s="113"/>
      <c r="H65" s="113"/>
    </row>
    <row r="66" spans="1:8" x14ac:dyDescent="0.2">
      <c r="A66" s="113"/>
      <c r="B66" s="113"/>
      <c r="C66" s="113"/>
      <c r="D66" s="113"/>
      <c r="E66" s="113"/>
      <c r="F66" s="113"/>
      <c r="G66" s="113"/>
      <c r="H66" s="1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123E-D2C8-4BA8-AE8B-904272ADDFBE}">
  <sheetPr codeName="Sheet11"/>
  <dimension ref="A1:J23"/>
  <sheetViews>
    <sheetView workbookViewId="0">
      <selection activeCell="E4" sqref="E4"/>
    </sheetView>
  </sheetViews>
  <sheetFormatPr defaultColWidth="0" defaultRowHeight="14.25" zeroHeight="1" x14ac:dyDescent="0.2"/>
  <cols>
    <col min="1" max="1" width="8.625" customWidth="1"/>
    <col min="2" max="2" width="13.875" customWidth="1"/>
    <col min="3" max="3" width="35.25" customWidth="1"/>
    <col min="4" max="4" width="65.5" bestFit="1" customWidth="1"/>
    <col min="5" max="5" width="21.625" customWidth="1"/>
    <col min="6" max="6" width="3.625" customWidth="1"/>
    <col min="7" max="7" width="15.625" bestFit="1" customWidth="1"/>
    <col min="8" max="8" width="8.625" customWidth="1"/>
    <col min="9" max="9" width="4.625" customWidth="1"/>
    <col min="10" max="10" width="0" hidden="1" customWidth="1"/>
    <col min="11" max="16384" width="8.625" hidden="1"/>
  </cols>
  <sheetData>
    <row r="1" spans="1:9" ht="20.25" x14ac:dyDescent="0.2">
      <c r="A1" s="346" t="s">
        <v>200</v>
      </c>
      <c r="B1" s="346"/>
      <c r="C1" s="346"/>
      <c r="D1" s="346"/>
      <c r="E1" s="346"/>
      <c r="F1" s="1"/>
      <c r="G1" s="1"/>
      <c r="H1" s="1"/>
      <c r="I1" s="1"/>
    </row>
    <row r="2" spans="1:9" x14ac:dyDescent="0.2">
      <c r="A2" s="87"/>
      <c r="B2" s="87"/>
      <c r="C2" s="87"/>
      <c r="D2" s="7"/>
      <c r="E2" s="87"/>
      <c r="F2" s="1"/>
      <c r="G2" s="1"/>
      <c r="H2" s="1"/>
      <c r="I2" s="1"/>
    </row>
    <row r="3" spans="1:9" ht="15" x14ac:dyDescent="0.25">
      <c r="A3" s="88" t="s">
        <v>201</v>
      </c>
      <c r="B3" s="87"/>
      <c r="C3" s="89" t="s">
        <v>202</v>
      </c>
      <c r="D3" s="90" t="s">
        <v>203</v>
      </c>
      <c r="E3" s="91" t="s">
        <v>204</v>
      </c>
      <c r="F3" s="1"/>
      <c r="G3" s="92" t="s">
        <v>205</v>
      </c>
      <c r="H3" s="92">
        <f>MAX(A:A)</f>
        <v>1</v>
      </c>
      <c r="I3" s="1"/>
    </row>
    <row r="4" spans="1:9" ht="15" x14ac:dyDescent="0.25">
      <c r="A4" s="87"/>
      <c r="B4" s="87"/>
      <c r="C4" s="87"/>
      <c r="D4" s="93" t="s">
        <v>206</v>
      </c>
      <c r="E4" s="89" t="s">
        <v>204</v>
      </c>
      <c r="F4" s="1"/>
      <c r="G4" s="92" t="s">
        <v>207</v>
      </c>
      <c r="H4" s="94">
        <f>MAX(B:B)</f>
        <v>46132</v>
      </c>
      <c r="I4" s="1"/>
    </row>
    <row r="5" spans="1:9" x14ac:dyDescent="0.2">
      <c r="A5" s="87"/>
      <c r="B5" s="87"/>
      <c r="C5" s="87"/>
      <c r="D5" s="7"/>
      <c r="E5" s="87"/>
      <c r="F5" s="1"/>
      <c r="G5" s="1"/>
      <c r="H5" s="1"/>
      <c r="I5" s="1"/>
    </row>
    <row r="6" spans="1:9" ht="15" x14ac:dyDescent="0.25">
      <c r="A6" s="95" t="s">
        <v>208</v>
      </c>
      <c r="B6" s="96" t="s">
        <v>209</v>
      </c>
      <c r="C6" s="96" t="s">
        <v>210</v>
      </c>
      <c r="D6" s="97" t="s">
        <v>211</v>
      </c>
      <c r="E6" s="98" t="s">
        <v>212</v>
      </c>
      <c r="F6" s="99"/>
      <c r="G6" s="99"/>
      <c r="H6" s="99"/>
      <c r="I6" s="99"/>
    </row>
    <row r="7" spans="1:9" ht="28.5" x14ac:dyDescent="0.2">
      <c r="A7" s="100">
        <v>1</v>
      </c>
      <c r="B7" s="101">
        <v>46132</v>
      </c>
      <c r="C7" s="101" t="s">
        <v>213</v>
      </c>
      <c r="D7" s="102" t="s">
        <v>214</v>
      </c>
      <c r="E7" s="103" t="s">
        <v>215</v>
      </c>
      <c r="F7" s="1"/>
      <c r="G7" s="1"/>
      <c r="H7" s="1"/>
      <c r="I7" s="1"/>
    </row>
    <row r="8" spans="1:9" x14ac:dyDescent="0.2">
      <c r="A8" s="100"/>
      <c r="B8" s="101"/>
      <c r="C8" s="104"/>
      <c r="D8" s="102"/>
      <c r="E8" s="103"/>
      <c r="F8" s="1"/>
      <c r="G8" s="1"/>
      <c r="H8" s="1"/>
      <c r="I8" s="1"/>
    </row>
    <row r="9" spans="1:9" x14ac:dyDescent="0.2">
      <c r="A9" s="100"/>
      <c r="B9" s="101"/>
      <c r="C9" s="104"/>
      <c r="D9" s="102"/>
      <c r="E9" s="103"/>
      <c r="F9" s="1"/>
      <c r="G9" s="1"/>
      <c r="H9" s="1"/>
      <c r="I9" s="1"/>
    </row>
    <row r="10" spans="1:9" x14ac:dyDescent="0.2">
      <c r="A10" s="100"/>
      <c r="B10" s="101"/>
      <c r="C10" s="104"/>
      <c r="D10" s="102"/>
      <c r="E10" s="103"/>
      <c r="F10" s="1"/>
      <c r="G10" s="1"/>
      <c r="H10" s="1"/>
      <c r="I10" s="1"/>
    </row>
    <row r="11" spans="1:9" x14ac:dyDescent="0.2">
      <c r="A11" s="105"/>
      <c r="B11" s="101"/>
      <c r="C11" s="104"/>
      <c r="D11" s="102"/>
      <c r="E11" s="103"/>
      <c r="F11" s="1"/>
      <c r="G11" s="1"/>
      <c r="H11" s="1"/>
      <c r="I11" s="1"/>
    </row>
    <row r="12" spans="1:9" x14ac:dyDescent="0.2">
      <c r="A12" s="1"/>
      <c r="B12" s="1"/>
      <c r="C12" s="1"/>
      <c r="D12" s="1"/>
      <c r="E12" s="1"/>
      <c r="F12" s="1"/>
      <c r="G12" s="1"/>
      <c r="H12" s="1"/>
      <c r="I12" s="1"/>
    </row>
    <row r="13" spans="1:9" x14ac:dyDescent="0.2">
      <c r="A13" s="1"/>
      <c r="B13" s="1"/>
      <c r="C13" s="1"/>
      <c r="D13" s="1"/>
      <c r="E13" s="1"/>
      <c r="F13" s="1"/>
      <c r="G13" s="1"/>
      <c r="H13" s="1"/>
      <c r="I13" s="1"/>
    </row>
    <row r="14" spans="1:9" x14ac:dyDescent="0.2">
      <c r="A14" s="1"/>
      <c r="B14" s="1"/>
      <c r="C14" s="1"/>
      <c r="D14" s="1"/>
      <c r="E14" s="1"/>
      <c r="F14" s="1"/>
      <c r="G14" s="1"/>
      <c r="H14" s="1"/>
      <c r="I14" s="1"/>
    </row>
    <row r="15" spans="1:9" x14ac:dyDescent="0.2">
      <c r="A15" s="1"/>
      <c r="B15" s="1"/>
      <c r="C15" s="1"/>
      <c r="D15" s="1"/>
      <c r="E15" s="1"/>
      <c r="F15" s="1"/>
      <c r="G15" s="1"/>
      <c r="H15" s="1"/>
      <c r="I15" s="1"/>
    </row>
    <row r="16" spans="1:9" x14ac:dyDescent="0.2">
      <c r="A16" s="1"/>
      <c r="B16" s="1"/>
      <c r="C16" s="1"/>
      <c r="D16" s="1"/>
      <c r="E16" s="1"/>
      <c r="F16" s="1"/>
      <c r="G16" s="1"/>
      <c r="H16" s="1"/>
      <c r="I16" s="1"/>
    </row>
    <row r="17" spans="1:9" x14ac:dyDescent="0.2">
      <c r="A17" s="1"/>
      <c r="B17" s="1"/>
      <c r="C17" s="1"/>
      <c r="D17" s="1"/>
      <c r="E17" s="1"/>
      <c r="F17" s="1"/>
      <c r="G17" s="1"/>
      <c r="H17" s="1"/>
      <c r="I17" s="1"/>
    </row>
    <row r="18" spans="1:9" x14ac:dyDescent="0.2">
      <c r="A18" s="1"/>
      <c r="B18" s="1"/>
      <c r="C18" s="1"/>
      <c r="D18" s="1"/>
      <c r="E18" s="1"/>
      <c r="F18" s="1"/>
      <c r="G18" s="1"/>
      <c r="H18" s="1"/>
      <c r="I18" s="1"/>
    </row>
    <row r="19" spans="1:9" x14ac:dyDescent="0.2">
      <c r="A19" s="1"/>
      <c r="B19" s="1"/>
      <c r="C19" s="1"/>
      <c r="D19" s="1"/>
      <c r="E19" s="1"/>
      <c r="F19" s="1"/>
      <c r="G19" s="1"/>
      <c r="H19" s="1"/>
      <c r="I19" s="1"/>
    </row>
    <row r="20" spans="1:9" x14ac:dyDescent="0.2">
      <c r="A20" s="1"/>
      <c r="B20" s="1"/>
      <c r="C20" s="1"/>
      <c r="D20" s="1"/>
      <c r="E20" s="1"/>
      <c r="F20" s="1"/>
      <c r="G20" s="1"/>
      <c r="H20" s="1"/>
      <c r="I20" s="1"/>
    </row>
    <row r="21" spans="1:9" x14ac:dyDescent="0.2">
      <c r="A21" s="1"/>
      <c r="B21" s="1"/>
      <c r="C21" s="1"/>
      <c r="D21" s="1"/>
      <c r="E21" s="1"/>
      <c r="F21" s="1"/>
      <c r="G21" s="1"/>
      <c r="H21" s="1"/>
      <c r="I21" s="1"/>
    </row>
    <row r="22" spans="1:9" x14ac:dyDescent="0.2">
      <c r="A22" s="1"/>
      <c r="B22" s="1"/>
      <c r="C22" s="1"/>
      <c r="D22" s="1"/>
      <c r="E22" s="1"/>
      <c r="F22" s="1"/>
      <c r="G22" s="1"/>
      <c r="H22" s="1"/>
      <c r="I22" s="1"/>
    </row>
    <row r="23" spans="1:9" x14ac:dyDescent="0.2">
      <c r="A23" s="1"/>
      <c r="B23" s="1"/>
      <c r="C23" s="1"/>
      <c r="D23" s="1"/>
      <c r="E23" s="1"/>
      <c r="F23" s="1"/>
      <c r="G23" s="1"/>
      <c r="H23" s="1"/>
      <c r="I23" s="1"/>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486212-abdd-488a-bd93-e313ac9ef1c0">
      <Terms xmlns="http://schemas.microsoft.com/office/infopath/2007/PartnerControls"/>
    </lcf76f155ced4ddcb4097134ff3c332f>
    <TaxCatchAll xmlns="10dc75f0-f2a5-4152-8ffa-1cdc8f900c09" xsi:nil="true"/>
    <SharedWithUsers xmlns="10dc75f0-f2a5-4152-8ffa-1cdc8f900c09">
      <UserInfo>
        <DisplayName/>
        <AccountId xsi:nil="true"/>
        <AccountType/>
      </UserInfo>
    </SharedWithUsers>
    <Hyperlink xmlns="3e486212-abdd-488a-bd93-e313ac9ef1c0">
      <Url xsi:nil="true"/>
      <Description xsi:nil="true"/>
    </Hyper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9E763885C5034EA33AFEB44E20B5DD" ma:contentTypeVersion="20" ma:contentTypeDescription="Create a new document." ma:contentTypeScope="" ma:versionID="33c51c4da5d31f0d9e95b93bd1b55d02">
  <xsd:schema xmlns:xsd="http://www.w3.org/2001/XMLSchema" xmlns:xs="http://www.w3.org/2001/XMLSchema" xmlns:p="http://schemas.microsoft.com/office/2006/metadata/properties" xmlns:ns2="3e486212-abdd-488a-bd93-e313ac9ef1c0" xmlns:ns3="10dc75f0-f2a5-4152-8ffa-1cdc8f900c09" targetNamespace="http://schemas.microsoft.com/office/2006/metadata/properties" ma:root="true" ma:fieldsID="a18da08271b907336adb430a4bfbea6e" ns2:_="" ns3:_="">
    <xsd:import namespace="3e486212-abdd-488a-bd93-e313ac9ef1c0"/>
    <xsd:import namespace="10dc75f0-f2a5-4152-8ffa-1cdc8f900c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Hyper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86212-abdd-488a-bd93-e313ac9ef1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Hyperlink" ma:index="26"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dc75f0-f2a5-4152-8ffa-1cdc8f900c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bae20dd-031e-46ce-9fca-4a0bb37af986}" ma:internalName="TaxCatchAll" ma:showField="CatchAllData" ma:web="10dc75f0-f2a5-4152-8ffa-1cdc8f900c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399D27-9BFE-4155-AE52-51AF6A72D0EF}">
  <ds:schemaRefs>
    <ds:schemaRef ds:uri="3e486212-abdd-488a-bd93-e313ac9ef1c0"/>
    <ds:schemaRef ds:uri="http://purl.org/dc/terms/"/>
    <ds:schemaRef ds:uri="http://www.w3.org/XML/1998/namespace"/>
    <ds:schemaRef ds:uri="http://schemas.microsoft.com/office/2006/documentManagement/types"/>
    <ds:schemaRef ds:uri="10dc75f0-f2a5-4152-8ffa-1cdc8f900c09"/>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00B3BCE-C7AB-4CCB-B8FC-4E0C0BDAFD79}">
  <ds:schemaRefs>
    <ds:schemaRef ds:uri="http://schemas.microsoft.com/sharepoint/v3/contenttype/forms"/>
  </ds:schemaRefs>
</ds:datastoreItem>
</file>

<file path=customXml/itemProps3.xml><?xml version="1.0" encoding="utf-8"?>
<ds:datastoreItem xmlns:ds="http://schemas.openxmlformats.org/officeDocument/2006/customXml" ds:itemID="{B3F915F5-463C-4E7D-A16B-D74E1FA93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86212-abdd-488a-bd93-e313ac9ef1c0"/>
    <ds:schemaRef ds:uri="10dc75f0-f2a5-4152-8ffa-1cdc8f900c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Defn+Method</vt:lpstr>
      <vt:lpstr>Utility Admin</vt:lpstr>
      <vt:lpstr>Greenhouse HortLighting_Inputs</vt:lpstr>
      <vt:lpstr>Indoor HortLighting_Inputs</vt:lpstr>
      <vt:lpstr>Data Export</vt:lpstr>
      <vt:lpstr>Calc</vt:lpstr>
      <vt:lpstr>Calc-Indoor</vt:lpstr>
      <vt:lpstr>MiscLook-Up</vt:lpstr>
      <vt:lpstr>Version History</vt:lpstr>
      <vt:lpstr>CR_Utility</vt:lpstr>
      <vt:lpstr>'Greenhouse HortLighting_Inputs'!Print_Area</vt:lpstr>
      <vt:lpstr>'Indoor HortLighting_Inputs'!Print_Area</vt:lpstr>
    </vt:vector>
  </TitlesOfParts>
  <Manager/>
  <Company>CLEAResult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Morency</dc:creator>
  <cp:keywords/>
  <dc:description/>
  <cp:lastModifiedBy>Tom Cosgro</cp:lastModifiedBy>
  <cp:revision/>
  <dcterms:created xsi:type="dcterms:W3CDTF">2014-05-06T17:45:34Z</dcterms:created>
  <dcterms:modified xsi:type="dcterms:W3CDTF">2026-05-19T20:54:44Z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1834660847</vt:i4>
  </property>
  <property fmtid="{D5CDD505-2E9C-101B-9397-08002B2CF9AE}" pid="3" name="_NewReviewCycle">
    <vt:lpwstr/>
  </property>
  <property fmtid="{D5CDD505-2E9C-101B-9397-08002B2CF9AE}" pid="4" name="_EmailSubject">
    <vt:lpwstr>Calculator Templates</vt:lpwstr>
  </property>
  <property fmtid="{D5CDD505-2E9C-101B-9397-08002B2CF9AE}" pid="5" name="_AuthorEmail">
    <vt:lpwstr>mary.clayton@clearesult.com</vt:lpwstr>
  </property>
  <property fmtid="{D5CDD505-2E9C-101B-9397-08002B2CF9AE}" pid="6" name="_AuthorEmailDisplayName">
    <vt:lpwstr>Mary Clayton</vt:lpwstr>
  </property>
  <property fmtid="{D5CDD505-2E9C-101B-9397-08002B2CF9AE}" pid="7" name="_PreviousAdHocReviewCycleID">
    <vt:i4>1818369786</vt:i4>
  </property>
  <property fmtid="{D5CDD505-2E9C-101B-9397-08002B2CF9AE}" pid="8" name="_dlc_DocIdItemGuid">
    <vt:lpwstr>a4cae1f8-bc12-446a-99ab-1e69d7b1254e</vt:lpwstr>
  </property>
  <property fmtid="{D5CDD505-2E9C-101B-9397-08002B2CF9AE}" pid="9" name="ContentTypeId">
    <vt:lpwstr>0x010100039E763885C5034EA33AFEB44E20B5DD</vt:lpwstr>
  </property>
  <property fmtid="{D5CDD505-2E9C-101B-9397-08002B2CF9AE}" pid="10" name="TaxKeyword">
    <vt:lpwstr/>
  </property>
  <property fmtid="{D5CDD505-2E9C-101B-9397-08002B2CF9AE}" pid="11" name="_ReviewingToolsShownOnce">
    <vt:lpwstr/>
  </property>
  <property fmtid="{D5CDD505-2E9C-101B-9397-08002B2CF9AE}" pid="12" name="MediaServiceImageTags">
    <vt:lpwstr/>
  </property>
  <property fmtid="{D5CDD505-2E9C-101B-9397-08002B2CF9AE}" pid="13" name="Order">
    <vt:r8>2126900</vt:r8>
  </property>
  <property fmtid="{D5CDD505-2E9C-101B-9397-08002B2CF9AE}" pid="14" name="xd_Signature">
    <vt:bool>false</vt:bool>
  </property>
  <property fmtid="{D5CDD505-2E9C-101B-9397-08002B2CF9AE}" pid="15" name="xd_ProgID">
    <vt:lpwstr/>
  </property>
  <property fmtid="{D5CDD505-2E9C-101B-9397-08002B2CF9AE}" pid="16" name="TemplateUrl">
    <vt:lpwstr/>
  </property>
  <property fmtid="{D5CDD505-2E9C-101B-9397-08002B2CF9AE}" pid="17" name="ComplianceAssetId">
    <vt:lpwstr/>
  </property>
  <property fmtid="{D5CDD505-2E9C-101B-9397-08002B2CF9AE}" pid="18" name="_ExtendedDescription">
    <vt:lpwstr/>
  </property>
  <property fmtid="{D5CDD505-2E9C-101B-9397-08002B2CF9AE}" pid="19" name="TriggerFlowInfo">
    <vt:lpwstr/>
  </property>
</Properties>
</file>