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https://clearesult5.sharepoint.com/sites/PPLCI/Shared Documents/Marketing/Phase V Marketing Assets/Phase V Engineering Calculators/"/>
    </mc:Choice>
  </mc:AlternateContent>
  <xr:revisionPtr revIDLastSave="138" documentId="13_ncr:1_{72AA0536-DB2B-4788-B971-8580C1EDB6B3}" xr6:coauthVersionLast="47" xr6:coauthVersionMax="47" xr10:uidLastSave="{7006E9E5-EA5B-4127-8C72-95A2F33D625C}"/>
  <workbookProtection workbookAlgorithmName="SHA-512" workbookHashValue="DH8tA+2p+K1O/49UtKLppEWTRNI4vrDFouirNvNzmZurcuJZwD0894ixBKn6wjPo2HkqD3BOEYHpbs4YziSDeA==" workbookSaltValue="wLEgc8P1TOHauasFTziX2A==" workbookSpinCount="100000" lockStructure="1"/>
  <bookViews>
    <workbookView xWindow="28680" yWindow="-120" windowWidth="29040" windowHeight="15720" tabRatio="665" firstSheet="1" activeTab="3" xr2:uid="{00000000-000D-0000-FFFF-FFFF00000000}"/>
  </bookViews>
  <sheets>
    <sheet name="Utility Admin" sheetId="46" state="hidden" r:id="rId1"/>
    <sheet name="Instructions" sheetId="16" r:id="rId2"/>
    <sheet name="Calculations" sheetId="44" state="hidden" r:id="rId3"/>
    <sheet name="Project Summary" sheetId="34" r:id="rId4"/>
    <sheet name="High Efficiency Transformer" sheetId="32" r:id="rId5"/>
    <sheet name="Engine Block Heat Timer" sheetId="33" state="hidden" r:id="rId6"/>
    <sheet name="High Frequency Battery Chargers" sheetId="31" r:id="rId7"/>
    <sheet name="UPS" sheetId="45" state="hidden" r:id="rId8"/>
    <sheet name="Data Export" sheetId="43" state="hidden" r:id="rId9"/>
    <sheet name="Lookup Table" sheetId="5" state="hidden" r:id="rId10"/>
    <sheet name="Methodology" sheetId="21" state="hidden" r:id="rId11"/>
    <sheet name="Version Log" sheetId="29" state="hidden" r:id="rId12"/>
  </sheets>
  <definedNames>
    <definedName name="_xlnm._FilterDatabase" localSheetId="9" hidden="1">'Lookup Table'!$B$69:$I$186</definedName>
    <definedName name="_ftn1" localSheetId="10">Methodology!$B$30</definedName>
    <definedName name="_ftnref1" localSheetId="10">Methodology!$D$26</definedName>
    <definedName name="_Toc14197445" localSheetId="10">Methodology!$B$13</definedName>
    <definedName name="_Toc14197446" localSheetId="9">'Lookup Table'!$D$35</definedName>
    <definedName name="CR_Utility">'Utility Admin'!$E$3</definedName>
    <definedName name="CR_Utility_Alt">'Utility Admin'!$F$3</definedName>
    <definedName name="HVAC_Fan_Control_Type">'Lookup Table'!$K$226:$K$232</definedName>
    <definedName name="HVAC_Fan_Motor_Function">'Lookup Table'!$J$3:$J$4</definedName>
    <definedName name="HVAC_Pump_Control_Type">'Lookup Table'!$K$236:$K$238</definedName>
    <definedName name="HVAC_Pump_Motor_Function">'Lookup Table'!$J$5:$J$7</definedName>
    <definedName name="Logo">IF('Utility Admin'!$E$3="PPL",  'Utility Admin'!$H$7:$L$15,   IF('Utility Admin'!$E$3 = "FirstEnergy",'Utility Admin'!$H$27:$L$35,'Utility Admin'!$H$17:$L$25))</definedName>
    <definedName name="NC_Type" hidden="1">#REF!</definedName>
    <definedName name="_xlnm.Print_Area" localSheetId="5">'Engine Block Heat Timer'!$B$3:$D$22</definedName>
    <definedName name="_xlnm.Print_Area" localSheetId="4">'High Efficiency Transformer'!$B$3:$D$22</definedName>
    <definedName name="_xlnm.Print_Area" localSheetId="6">'High Frequency Battery Chargers'!$B$3:$E$22</definedName>
    <definedName name="_xlnm.Print_Area" localSheetId="3">'Project Summary'!$B$3:$D$24</definedName>
    <definedName name="_xlnm.Print_Area" localSheetId="7">UPS!$B$3:$F$22</definedName>
    <definedName name="PRJ_Type" hidden="1">#REF!</definedName>
    <definedName name="ReportLogo">IF('Utility Admin'!$E$3="PPL", 'Utility Admin'!$O$7:$S$15,   IF('Utility Admin'!$E$3 = "FirstEnergy",'Utility Admin'!$O$27:$S$35,'Utility Admin'!$O$17:$S$25))</definedName>
    <definedName name="yControlTypes" hidden="1">#REF!</definedName>
    <definedName name="yFixture_Code"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c r="F3" i="46"/>
  <c r="D16" i="44"/>
  <c r="C16" i="44"/>
  <c r="E16" i="44"/>
  <c r="J16" i="44"/>
  <c r="F16" i="44"/>
  <c r="K16" i="44"/>
  <c r="L16" i="44"/>
  <c r="H17" i="32"/>
  <c r="M16" i="44"/>
  <c r="I17" i="32"/>
  <c r="N16" i="44"/>
  <c r="J17" i="32"/>
  <c r="L17" i="32"/>
  <c r="I8" i="33"/>
  <c r="G17" i="34"/>
  <c r="C35" i="44"/>
  <c r="D35" i="44"/>
  <c r="G35" i="44"/>
  <c r="H35" i="44"/>
  <c r="I35" i="44"/>
  <c r="R35" i="44"/>
  <c r="G8" i="31"/>
  <c r="L35" i="44"/>
  <c r="Q35" i="44"/>
  <c r="S35" i="44"/>
  <c r="H8" i="31"/>
  <c r="T35" i="44"/>
  <c r="I8" i="31"/>
  <c r="K8" i="31"/>
  <c r="C36" i="44"/>
  <c r="D36" i="44"/>
  <c r="G36" i="44"/>
  <c r="H36" i="44"/>
  <c r="I36" i="44"/>
  <c r="R36" i="44"/>
  <c r="G9" i="31"/>
  <c r="L36" i="44"/>
  <c r="Q36" i="44"/>
  <c r="S36" i="44"/>
  <c r="H9" i="31"/>
  <c r="T36" i="44"/>
  <c r="I9" i="31"/>
  <c r="K9" i="31"/>
  <c r="C37" i="44"/>
  <c r="D37" i="44"/>
  <c r="G37" i="44"/>
  <c r="H37" i="44"/>
  <c r="I37" i="44"/>
  <c r="R37" i="44"/>
  <c r="G10" i="31"/>
  <c r="L37" i="44"/>
  <c r="Q37" i="44"/>
  <c r="S37" i="44"/>
  <c r="H10" i="31"/>
  <c r="T37" i="44"/>
  <c r="I10" i="31"/>
  <c r="K10" i="31"/>
  <c r="C38" i="44"/>
  <c r="D38" i="44"/>
  <c r="G38" i="44"/>
  <c r="H38" i="44"/>
  <c r="I38" i="44"/>
  <c r="R38" i="44"/>
  <c r="G11" i="31"/>
  <c r="L38" i="44"/>
  <c r="Q38" i="44"/>
  <c r="S38" i="44"/>
  <c r="H11" i="31"/>
  <c r="T38" i="44"/>
  <c r="I11" i="31"/>
  <c r="K11" i="31"/>
  <c r="C39" i="44"/>
  <c r="D39" i="44"/>
  <c r="G39" i="44"/>
  <c r="H39" i="44"/>
  <c r="I39" i="44"/>
  <c r="R39" i="44"/>
  <c r="G12" i="31"/>
  <c r="L39" i="44"/>
  <c r="Q39" i="44"/>
  <c r="S39" i="44"/>
  <c r="H12" i="31"/>
  <c r="T39" i="44"/>
  <c r="I12" i="31"/>
  <c r="K12" i="31"/>
  <c r="C40" i="44"/>
  <c r="D40" i="44"/>
  <c r="G40" i="44"/>
  <c r="H40" i="44"/>
  <c r="I40" i="44"/>
  <c r="R40" i="44"/>
  <c r="G13" i="31"/>
  <c r="L40" i="44"/>
  <c r="Q40" i="44"/>
  <c r="S40" i="44"/>
  <c r="H13" i="31"/>
  <c r="T40" i="44"/>
  <c r="I13" i="31"/>
  <c r="K13" i="31"/>
  <c r="C41" i="44"/>
  <c r="D41" i="44"/>
  <c r="G41" i="44"/>
  <c r="H41" i="44"/>
  <c r="I41" i="44"/>
  <c r="R41" i="44"/>
  <c r="G14" i="31"/>
  <c r="L41" i="44"/>
  <c r="Q41" i="44"/>
  <c r="S41" i="44"/>
  <c r="H14" i="31"/>
  <c r="T41" i="44"/>
  <c r="I14" i="31"/>
  <c r="K14" i="31"/>
  <c r="C42" i="44"/>
  <c r="D42" i="44"/>
  <c r="G42" i="44"/>
  <c r="H42" i="44"/>
  <c r="I42" i="44"/>
  <c r="R42" i="44"/>
  <c r="G15" i="31"/>
  <c r="L42" i="44"/>
  <c r="Q42" i="44"/>
  <c r="S42" i="44"/>
  <c r="H15" i="31"/>
  <c r="T42" i="44"/>
  <c r="I15" i="31"/>
  <c r="K15" i="31"/>
  <c r="C43" i="44"/>
  <c r="D43" i="44"/>
  <c r="G43" i="44"/>
  <c r="H43" i="44"/>
  <c r="I43" i="44"/>
  <c r="R43" i="44"/>
  <c r="G16" i="31"/>
  <c r="L43" i="44"/>
  <c r="Q43" i="44"/>
  <c r="S43" i="44"/>
  <c r="H16" i="31"/>
  <c r="T43" i="44"/>
  <c r="I16" i="31"/>
  <c r="K16" i="31"/>
  <c r="C44" i="44"/>
  <c r="D44" i="44"/>
  <c r="G44" i="44"/>
  <c r="H44" i="44"/>
  <c r="I44" i="44"/>
  <c r="R44" i="44"/>
  <c r="G17" i="31"/>
  <c r="L44" i="44"/>
  <c r="Q44" i="44"/>
  <c r="S44" i="44"/>
  <c r="H17" i="31"/>
  <c r="T44" i="44"/>
  <c r="I17" i="31"/>
  <c r="K17" i="31"/>
  <c r="G18" i="34"/>
  <c r="L44" i="5"/>
  <c r="H8" i="45"/>
  <c r="L23" i="5"/>
  <c r="I8" i="45"/>
  <c r="J8" i="45"/>
  <c r="L8" i="45"/>
  <c r="M8" i="45"/>
  <c r="N8" i="45"/>
  <c r="P8" i="45"/>
  <c r="P44" i="5"/>
  <c r="H9" i="45"/>
  <c r="P23" i="5"/>
  <c r="I9" i="45"/>
  <c r="J9" i="45"/>
  <c r="L9" i="45"/>
  <c r="M9" i="45"/>
  <c r="N9" i="45"/>
  <c r="P9" i="45"/>
  <c r="L48" i="5"/>
  <c r="H10" i="45"/>
  <c r="L27" i="5"/>
  <c r="I10" i="45"/>
  <c r="J10" i="45"/>
  <c r="L10" i="45"/>
  <c r="M10" i="45"/>
  <c r="N10" i="45"/>
  <c r="P10" i="45"/>
  <c r="P48" i="5"/>
  <c r="H11" i="45"/>
  <c r="P27" i="5"/>
  <c r="I11" i="45"/>
  <c r="J11" i="45"/>
  <c r="L11" i="45"/>
  <c r="M11" i="45"/>
  <c r="N11" i="45"/>
  <c r="P11" i="45"/>
  <c r="L52" i="5"/>
  <c r="H12" i="45"/>
  <c r="L31" i="5"/>
  <c r="I12" i="45"/>
  <c r="J12" i="45"/>
  <c r="L12" i="45"/>
  <c r="M12" i="45"/>
  <c r="N12" i="45"/>
  <c r="P12" i="45"/>
  <c r="P52" i="5"/>
  <c r="H13" i="45"/>
  <c r="P31" i="5"/>
  <c r="I13" i="45"/>
  <c r="J13" i="45"/>
  <c r="L13" i="45"/>
  <c r="M13" i="45"/>
  <c r="N13" i="45"/>
  <c r="P13" i="45"/>
  <c r="L56" i="5"/>
  <c r="H14" i="45"/>
  <c r="L35" i="5"/>
  <c r="I14" i="45"/>
  <c r="J14" i="45"/>
  <c r="L14" i="45"/>
  <c r="M14" i="45"/>
  <c r="N14" i="45"/>
  <c r="P14" i="45"/>
  <c r="P56" i="5"/>
  <c r="H15" i="45"/>
  <c r="P35" i="5"/>
  <c r="I15" i="45"/>
  <c r="J15" i="45"/>
  <c r="L15" i="45"/>
  <c r="M15" i="45"/>
  <c r="N15" i="45"/>
  <c r="P15" i="45"/>
  <c r="L60" i="5"/>
  <c r="H16" i="45"/>
  <c r="L39" i="5"/>
  <c r="I16" i="45"/>
  <c r="J16" i="45"/>
  <c r="L16" i="45"/>
  <c r="M16" i="45"/>
  <c r="N16" i="45"/>
  <c r="P16" i="45"/>
  <c r="P60" i="5"/>
  <c r="H17" i="45"/>
  <c r="P39" i="5"/>
  <c r="I17" i="45"/>
  <c r="J17" i="45"/>
  <c r="L17" i="45"/>
  <c r="M17" i="45"/>
  <c r="N17" i="45"/>
  <c r="P17" i="45"/>
  <c r="G19" i="34"/>
  <c r="D7" i="44"/>
  <c r="C7" i="44"/>
  <c r="E7" i="44"/>
  <c r="J7" i="44"/>
  <c r="F7" i="44"/>
  <c r="K7" i="44"/>
  <c r="L7" i="44"/>
  <c r="H8" i="32"/>
  <c r="M7" i="44"/>
  <c r="I8" i="32"/>
  <c r="N7" i="44"/>
  <c r="J8" i="32"/>
  <c r="D8" i="44"/>
  <c r="C8" i="44"/>
  <c r="E8" i="44"/>
  <c r="J8" i="44"/>
  <c r="F8" i="44"/>
  <c r="K8" i="44"/>
  <c r="L8" i="44"/>
  <c r="H9" i="32"/>
  <c r="M8" i="44"/>
  <c r="I9" i="32"/>
  <c r="N8" i="44"/>
  <c r="J9" i="32"/>
  <c r="D9" i="44"/>
  <c r="C9" i="44"/>
  <c r="E9" i="44"/>
  <c r="J9" i="44"/>
  <c r="F9" i="44"/>
  <c r="K9" i="44"/>
  <c r="L9" i="44"/>
  <c r="H10" i="32"/>
  <c r="M9" i="44"/>
  <c r="I10" i="32"/>
  <c r="N9" i="44"/>
  <c r="J10" i="32"/>
  <c r="D10" i="44"/>
  <c r="C10" i="44"/>
  <c r="E10" i="44"/>
  <c r="J10" i="44"/>
  <c r="F10" i="44"/>
  <c r="K10" i="44"/>
  <c r="L10" i="44"/>
  <c r="H11" i="32"/>
  <c r="M10" i="44"/>
  <c r="I11" i="32"/>
  <c r="N10" i="44"/>
  <c r="J11" i="32"/>
  <c r="D11" i="44"/>
  <c r="C11" i="44"/>
  <c r="E11" i="44"/>
  <c r="J11" i="44"/>
  <c r="F11" i="44"/>
  <c r="K11" i="44"/>
  <c r="L11" i="44"/>
  <c r="H12" i="32"/>
  <c r="M11" i="44"/>
  <c r="I12" i="32"/>
  <c r="N11" i="44"/>
  <c r="J12" i="32"/>
  <c r="D12" i="44"/>
  <c r="C12" i="44"/>
  <c r="E12" i="44"/>
  <c r="J12" i="44"/>
  <c r="F12" i="44"/>
  <c r="K12" i="44"/>
  <c r="L12" i="44"/>
  <c r="H13" i="32"/>
  <c r="M12" i="44"/>
  <c r="I13" i="32"/>
  <c r="N12" i="44"/>
  <c r="J13" i="32"/>
  <c r="D13" i="44"/>
  <c r="C13" i="44"/>
  <c r="E13" i="44"/>
  <c r="J13" i="44"/>
  <c r="F13" i="44"/>
  <c r="K13" i="44"/>
  <c r="L13" i="44"/>
  <c r="H14" i="32"/>
  <c r="M13" i="44"/>
  <c r="I14" i="32"/>
  <c r="N13" i="44"/>
  <c r="J14" i="32"/>
  <c r="D14" i="44"/>
  <c r="C14" i="44"/>
  <c r="E14" i="44"/>
  <c r="J14" i="44"/>
  <c r="F14" i="44"/>
  <c r="K14" i="44"/>
  <c r="L14" i="44"/>
  <c r="H15" i="32"/>
  <c r="M14" i="44"/>
  <c r="I15" i="32"/>
  <c r="N14" i="44"/>
  <c r="J15" i="32"/>
  <c r="D15" i="44"/>
  <c r="C15" i="44"/>
  <c r="E15" i="44"/>
  <c r="J15" i="44"/>
  <c r="F15" i="44"/>
  <c r="K15" i="44"/>
  <c r="L15" i="44"/>
  <c r="H16" i="32"/>
  <c r="M15" i="44"/>
  <c r="I16" i="32"/>
  <c r="N15" i="44"/>
  <c r="J16" i="32"/>
  <c r="H21" i="44"/>
  <c r="E8" i="33"/>
  <c r="I21" i="44"/>
  <c r="F8" i="33"/>
  <c r="J21" i="44"/>
  <c r="G8" i="33"/>
  <c r="E19" i="34"/>
  <c r="O8" i="45"/>
  <c r="O9" i="45"/>
  <c r="O10" i="45"/>
  <c r="O11" i="45"/>
  <c r="O12" i="45"/>
  <c r="O13" i="45"/>
  <c r="O14" i="45"/>
  <c r="O15" i="45"/>
  <c r="O16" i="45"/>
  <c r="O17" i="45"/>
  <c r="F19" i="34"/>
  <c r="D19" i="34"/>
  <c r="C19" i="34"/>
  <c r="J9" i="31"/>
  <c r="J10" i="31"/>
  <c r="J11" i="31"/>
  <c r="J12" i="31"/>
  <c r="J13" i="31"/>
  <c r="J14" i="31"/>
  <c r="J15" i="31"/>
  <c r="J16" i="31"/>
  <c r="J17" i="31"/>
  <c r="J8" i="31"/>
  <c r="K9" i="32"/>
  <c r="K10" i="32"/>
  <c r="K11" i="32"/>
  <c r="K12" i="32"/>
  <c r="K13" i="32"/>
  <c r="K14" i="32"/>
  <c r="K15" i="32"/>
  <c r="K16" i="32"/>
  <c r="K17" i="32"/>
  <c r="K8" i="32"/>
  <c r="N46" i="5"/>
  <c r="O25" i="5"/>
  <c r="J50" i="5"/>
  <c r="L29" i="5"/>
  <c r="O50" i="5"/>
  <c r="N29" i="5"/>
  <c r="K54" i="5"/>
  <c r="K33" i="5"/>
  <c r="O54" i="5"/>
  <c r="P33" i="5"/>
  <c r="L58" i="5"/>
  <c r="J37" i="5"/>
  <c r="P58" i="5"/>
  <c r="O37" i="5"/>
  <c r="L62" i="5"/>
  <c r="L41" i="5"/>
  <c r="J46" i="5"/>
  <c r="J25" i="5"/>
  <c r="C34" i="43"/>
  <c r="AD34" i="43"/>
  <c r="C35" i="43"/>
  <c r="AD35" i="43"/>
  <c r="C36" i="43"/>
  <c r="AD36" i="43"/>
  <c r="C37" i="43"/>
  <c r="AD37" i="43"/>
  <c r="C38" i="43"/>
  <c r="AD38" i="43"/>
  <c r="C39" i="43"/>
  <c r="AD39" i="43"/>
  <c r="C40" i="43"/>
  <c r="AD40" i="43"/>
  <c r="C41" i="43"/>
  <c r="AD41" i="43"/>
  <c r="C42" i="43"/>
  <c r="AD42" i="43"/>
  <c r="C33" i="43"/>
  <c r="AD33" i="43"/>
  <c r="C23" i="43"/>
  <c r="O58" i="5"/>
  <c r="O62" i="5"/>
  <c r="K62" i="5"/>
  <c r="K58" i="5"/>
  <c r="K50" i="5"/>
  <c r="K46" i="5"/>
  <c r="O46" i="5"/>
  <c r="O23" i="5"/>
  <c r="N23" i="5"/>
  <c r="K23" i="5"/>
  <c r="J23" i="5"/>
  <c r="J44" i="5"/>
  <c r="J45" i="5"/>
  <c r="R42" i="43"/>
  <c r="S42" i="43"/>
  <c r="AC42" i="43" a="1"/>
  <c r="AC42" i="43"/>
  <c r="AC38" i="43" a="1"/>
  <c r="AC38" i="43"/>
  <c r="R38" i="43"/>
  <c r="S38" i="43"/>
  <c r="AC34" i="43" a="1"/>
  <c r="AC34" i="43"/>
  <c r="R34" i="43"/>
  <c r="S34" i="43"/>
  <c r="AC23" i="43"/>
  <c r="AC40" i="43" a="1"/>
  <c r="AC40" i="43"/>
  <c r="R40" i="43"/>
  <c r="S40" i="43"/>
  <c r="R36" i="43"/>
  <c r="AC36" i="43" a="1"/>
  <c r="AC36" i="43"/>
  <c r="S36" i="43"/>
  <c r="AC33" i="43" a="1"/>
  <c r="AC33" i="43"/>
  <c r="R33" i="43"/>
  <c r="S33" i="43"/>
  <c r="S39" i="43"/>
  <c r="AC39" i="43" a="1"/>
  <c r="AC39" i="43"/>
  <c r="R39" i="43"/>
  <c r="S35" i="43"/>
  <c r="AC35" i="43" a="1"/>
  <c r="AC35" i="43"/>
  <c r="R35" i="43"/>
  <c r="S41" i="43"/>
  <c r="AC41" i="43" a="1"/>
  <c r="AC41" i="43"/>
  <c r="R41" i="43"/>
  <c r="S37" i="43"/>
  <c r="AC37" i="43" a="1"/>
  <c r="AC37" i="43"/>
  <c r="R37" i="43"/>
  <c r="B42" i="43"/>
  <c r="G42" i="43"/>
  <c r="N42" i="43"/>
  <c r="M42" i="43"/>
  <c r="D42" i="43"/>
  <c r="E42" i="43"/>
  <c r="F42" i="43"/>
  <c r="L38" i="43"/>
  <c r="G38" i="43"/>
  <c r="N38" i="43"/>
  <c r="J35" i="44"/>
  <c r="K35" i="44"/>
  <c r="J36" i="44"/>
  <c r="K36" i="44"/>
  <c r="J37" i="44"/>
  <c r="K37" i="44"/>
  <c r="J38" i="44"/>
  <c r="K38" i="44"/>
  <c r="J39" i="44"/>
  <c r="K39" i="44"/>
  <c r="J40" i="44"/>
  <c r="K40" i="44"/>
  <c r="J41" i="44"/>
  <c r="K41" i="44"/>
  <c r="J42" i="44"/>
  <c r="K42" i="44"/>
  <c r="J43" i="44"/>
  <c r="K43" i="44"/>
  <c r="J44" i="44"/>
  <c r="K44" i="44"/>
  <c r="C21" i="44"/>
  <c r="E38" i="43"/>
  <c r="D38" i="43"/>
  <c r="M38" i="43"/>
  <c r="F38" i="43"/>
  <c r="H34" i="43"/>
  <c r="G34" i="43"/>
  <c r="E34" i="43"/>
  <c r="F34" i="43"/>
  <c r="M34" i="43"/>
  <c r="D34" i="43"/>
  <c r="N34" i="43"/>
  <c r="K23" i="43"/>
  <c r="N23" i="43"/>
  <c r="I23" i="43"/>
  <c r="V23" i="43"/>
  <c r="L23" i="43"/>
  <c r="M23" i="43"/>
  <c r="J23" i="43"/>
  <c r="G40" i="43"/>
  <c r="N40" i="43"/>
  <c r="E40" i="43"/>
  <c r="D40" i="43"/>
  <c r="M40" i="43"/>
  <c r="F40" i="43"/>
  <c r="G36" i="43"/>
  <c r="E36" i="43"/>
  <c r="D36" i="43"/>
  <c r="M36" i="43"/>
  <c r="N36" i="43"/>
  <c r="F36" i="43"/>
  <c r="B33" i="43"/>
  <c r="M33" i="43"/>
  <c r="F33" i="43"/>
  <c r="E33" i="43"/>
  <c r="D33" i="43"/>
  <c r="G33" i="43"/>
  <c r="N33" i="43"/>
  <c r="L39" i="43"/>
  <c r="N39" i="43"/>
  <c r="G39" i="43"/>
  <c r="M39" i="43"/>
  <c r="F39" i="43"/>
  <c r="E39" i="43"/>
  <c r="D39" i="43"/>
  <c r="B35" i="43"/>
  <c r="M35" i="43"/>
  <c r="N35" i="43"/>
  <c r="G35" i="43"/>
  <c r="E35" i="43"/>
  <c r="D35" i="43"/>
  <c r="F35" i="43"/>
  <c r="N41" i="43"/>
  <c r="G41" i="43"/>
  <c r="F41" i="43"/>
  <c r="E41" i="43"/>
  <c r="D41" i="43"/>
  <c r="M41" i="43"/>
  <c r="N37" i="43"/>
  <c r="G37" i="43"/>
  <c r="F37" i="43"/>
  <c r="E37" i="43"/>
  <c r="D37" i="43"/>
  <c r="M37" i="43"/>
  <c r="H38" i="43"/>
  <c r="B34" i="43"/>
  <c r="H41" i="43"/>
  <c r="J41" i="43"/>
  <c r="H37" i="43"/>
  <c r="J37" i="43"/>
  <c r="B23" i="43"/>
  <c r="I36" i="43"/>
  <c r="J36" i="43"/>
  <c r="H33" i="43"/>
  <c r="J33" i="43"/>
  <c r="H39" i="43"/>
  <c r="J39" i="43"/>
  <c r="H35" i="43"/>
  <c r="J35" i="43"/>
  <c r="B39" i="43"/>
  <c r="H23" i="43"/>
  <c r="L33" i="43"/>
  <c r="L35" i="43"/>
  <c r="I40" i="43"/>
  <c r="J40" i="43"/>
  <c r="I42" i="43"/>
  <c r="J42" i="43"/>
  <c r="I38" i="43"/>
  <c r="J38" i="43"/>
  <c r="L34" i="43"/>
  <c r="J34" i="43"/>
  <c r="B38" i="43"/>
  <c r="H42" i="43"/>
  <c r="L42" i="43"/>
  <c r="I37" i="43"/>
  <c r="B41" i="43"/>
  <c r="B37" i="43"/>
  <c r="H40" i="43"/>
  <c r="H36" i="43"/>
  <c r="I33" i="43"/>
  <c r="I39" i="43"/>
  <c r="I35" i="43"/>
  <c r="L41" i="43"/>
  <c r="L37" i="43"/>
  <c r="I41" i="43"/>
  <c r="G23" i="43"/>
  <c r="B40" i="43"/>
  <c r="B36" i="43"/>
  <c r="I34" i="43"/>
  <c r="L40" i="43"/>
  <c r="L36" i="43"/>
  <c r="N41" i="5"/>
  <c r="N37" i="5"/>
  <c r="N33" i="5"/>
  <c r="N25" i="5"/>
  <c r="O29" i="5"/>
  <c r="O33" i="5"/>
  <c r="O41" i="5"/>
  <c r="K29" i="5"/>
  <c r="K37" i="5"/>
  <c r="K41" i="5"/>
  <c r="J41" i="5"/>
  <c r="J33" i="5"/>
  <c r="J29" i="5"/>
  <c r="K25" i="5"/>
  <c r="L25" i="5"/>
  <c r="L24" i="5"/>
  <c r="L50" i="5"/>
  <c r="L46" i="5"/>
  <c r="P41" i="5"/>
  <c r="P37" i="5"/>
  <c r="P29" i="5"/>
  <c r="L37" i="5"/>
  <c r="L33" i="5"/>
  <c r="L28" i="5"/>
  <c r="P25" i="5"/>
  <c r="K8" i="45"/>
  <c r="K9" i="45"/>
  <c r="K10" i="45"/>
  <c r="K11" i="45"/>
  <c r="K12" i="45"/>
  <c r="K13" i="45"/>
  <c r="K14" i="45"/>
  <c r="K15" i="45"/>
  <c r="K16" i="45"/>
  <c r="K17" i="45"/>
  <c r="C22" i="44"/>
  <c r="C23" i="44"/>
  <c r="C24" i="44"/>
  <c r="C25" i="44"/>
  <c r="C26" i="44"/>
  <c r="P62" i="5"/>
  <c r="N62" i="5"/>
  <c r="P61" i="5"/>
  <c r="O61" i="5"/>
  <c r="N61" i="5"/>
  <c r="O60" i="5"/>
  <c r="N60" i="5"/>
  <c r="P40" i="5"/>
  <c r="O39" i="5"/>
  <c r="N39" i="5"/>
  <c r="J62" i="5"/>
  <c r="L61" i="5"/>
  <c r="K61" i="5"/>
  <c r="J61" i="5"/>
  <c r="K60" i="5"/>
  <c r="J60" i="5"/>
  <c r="L40" i="5"/>
  <c r="K39" i="5"/>
  <c r="J39" i="5"/>
  <c r="N58" i="5"/>
  <c r="P57" i="5"/>
  <c r="O57" i="5"/>
  <c r="N57" i="5"/>
  <c r="O56" i="5"/>
  <c r="N56" i="5"/>
  <c r="P36" i="5"/>
  <c r="O35" i="5"/>
  <c r="N35" i="5"/>
  <c r="J58" i="5"/>
  <c r="L57" i="5"/>
  <c r="K57" i="5"/>
  <c r="J57" i="5"/>
  <c r="K56" i="5"/>
  <c r="J56" i="5"/>
  <c r="L36" i="5"/>
  <c r="K35" i="5"/>
  <c r="J35" i="5"/>
  <c r="P54" i="5"/>
  <c r="N54" i="5"/>
  <c r="P53" i="5"/>
  <c r="O53" i="5"/>
  <c r="N53" i="5"/>
  <c r="O52" i="5"/>
  <c r="N52" i="5"/>
  <c r="P32" i="5"/>
  <c r="O31" i="5"/>
  <c r="N31" i="5"/>
  <c r="J52" i="5"/>
  <c r="L54" i="5"/>
  <c r="J54" i="5"/>
  <c r="L53" i="5"/>
  <c r="K53" i="5"/>
  <c r="J53" i="5"/>
  <c r="K52" i="5"/>
  <c r="L32" i="5"/>
  <c r="K31" i="5"/>
  <c r="J31" i="5"/>
  <c r="P50" i="5"/>
  <c r="N50" i="5"/>
  <c r="P49" i="5"/>
  <c r="O49" i="5"/>
  <c r="N49" i="5"/>
  <c r="O48" i="5"/>
  <c r="N48" i="5"/>
  <c r="P28" i="5"/>
  <c r="O27" i="5"/>
  <c r="N27" i="5"/>
  <c r="L49" i="5"/>
  <c r="K49" i="5"/>
  <c r="J49" i="5"/>
  <c r="K48" i="5"/>
  <c r="J48" i="5"/>
  <c r="K27" i="5"/>
  <c r="J27" i="5"/>
  <c r="P46" i="5"/>
  <c r="P45" i="5"/>
  <c r="O45" i="5"/>
  <c r="N45" i="5"/>
  <c r="O44" i="5"/>
  <c r="N44" i="5"/>
  <c r="P24" i="5"/>
  <c r="L45" i="5"/>
  <c r="K45" i="5"/>
  <c r="K44" i="5"/>
  <c r="H22" i="44"/>
  <c r="H23" i="44"/>
  <c r="H24" i="44"/>
  <c r="H25" i="44"/>
  <c r="H26" i="44"/>
  <c r="H27" i="44"/>
  <c r="H28" i="44"/>
  <c r="H29" i="44"/>
  <c r="H30" i="44"/>
  <c r="I22" i="44"/>
  <c r="H8" i="33"/>
  <c r="M36" i="44"/>
  <c r="M37" i="44"/>
  <c r="M38" i="44"/>
  <c r="M39" i="44"/>
  <c r="M40" i="44"/>
  <c r="M41" i="44"/>
  <c r="M42" i="44"/>
  <c r="M43" i="44"/>
  <c r="M44" i="44"/>
  <c r="M35" i="44"/>
  <c r="J22" i="44"/>
  <c r="J23" i="44"/>
  <c r="J24" i="44"/>
  <c r="J25" i="44"/>
  <c r="J26" i="44"/>
  <c r="J27" i="44"/>
  <c r="J28" i="44"/>
  <c r="J29" i="44"/>
  <c r="J30" i="44"/>
  <c r="I23" i="44"/>
  <c r="I24" i="44"/>
  <c r="I25" i="44"/>
  <c r="I26" i="44"/>
  <c r="I27" i="44"/>
  <c r="I28" i="44"/>
  <c r="I29" i="44"/>
  <c r="I30" i="44"/>
  <c r="K22" i="44"/>
  <c r="K25" i="44"/>
  <c r="K23" i="44"/>
  <c r="K27" i="44"/>
  <c r="K29" i="44"/>
  <c r="K28" i="44"/>
  <c r="D17" i="34"/>
  <c r="K26" i="44"/>
  <c r="K24" i="44"/>
  <c r="E17" i="34"/>
  <c r="K21" i="44"/>
  <c r="K30" i="44"/>
  <c r="F17" i="34"/>
  <c r="H9" i="5"/>
  <c r="I7" i="29" a="1"/>
  <c r="I7" i="29"/>
  <c r="I2" i="34"/>
  <c r="I6" i="29" a="1"/>
  <c r="I6" i="29"/>
  <c r="I1" i="34"/>
  <c r="C24" i="43"/>
  <c r="C25" i="43"/>
  <c r="C26" i="43"/>
  <c r="C27" i="43"/>
  <c r="C28" i="43"/>
  <c r="C29" i="43"/>
  <c r="C30" i="43"/>
  <c r="C31" i="43"/>
  <c r="C32" i="43"/>
  <c r="C14" i="43"/>
  <c r="C15" i="43"/>
  <c r="C16" i="43"/>
  <c r="C17" i="43"/>
  <c r="C18" i="43"/>
  <c r="C19" i="43"/>
  <c r="C20" i="43"/>
  <c r="C21" i="43"/>
  <c r="C22" i="43"/>
  <c r="C13" i="43"/>
  <c r="C12" i="43"/>
  <c r="C4" i="43"/>
  <c r="C5" i="43"/>
  <c r="C6" i="43"/>
  <c r="C7" i="43"/>
  <c r="C8" i="43"/>
  <c r="C9" i="43"/>
  <c r="C10" i="43"/>
  <c r="C11" i="43"/>
  <c r="C3" i="43"/>
  <c r="H8" i="44"/>
  <c r="H9" i="44"/>
  <c r="H10" i="44"/>
  <c r="H11" i="44"/>
  <c r="H12" i="44"/>
  <c r="H13" i="44"/>
  <c r="H14" i="44"/>
  <c r="H15" i="44"/>
  <c r="H16" i="44"/>
  <c r="H7" i="44"/>
  <c r="G9" i="44"/>
  <c r="G10" i="44"/>
  <c r="G11" i="44"/>
  <c r="G12" i="44"/>
  <c r="G13" i="44"/>
  <c r="G14" i="44"/>
  <c r="G15" i="44"/>
  <c r="G16" i="44"/>
  <c r="G8" i="44"/>
  <c r="G7" i="44"/>
  <c r="AC31" i="43"/>
  <c r="AC27" i="43"/>
  <c r="AC30" i="43"/>
  <c r="AC26" i="43"/>
  <c r="AC29" i="43"/>
  <c r="AC25" i="43"/>
  <c r="AC32" i="43"/>
  <c r="AC28" i="43"/>
  <c r="AC24" i="43"/>
  <c r="J27" i="43"/>
  <c r="M27" i="43"/>
  <c r="V27" i="43"/>
  <c r="N27" i="43"/>
  <c r="Z13" i="43"/>
  <c r="AB13" i="43"/>
  <c r="Y13" i="43"/>
  <c r="AA13" i="43"/>
  <c r="AA19" i="43"/>
  <c r="AB19" i="43"/>
  <c r="Y19" i="43"/>
  <c r="Z19" i="43"/>
  <c r="AA15" i="43"/>
  <c r="AB15" i="43"/>
  <c r="Y15" i="43"/>
  <c r="Z15" i="43"/>
  <c r="J30" i="43"/>
  <c r="M30" i="43"/>
  <c r="N30" i="43"/>
  <c r="V30" i="43"/>
  <c r="J26" i="43"/>
  <c r="M26" i="43"/>
  <c r="V26" i="43"/>
  <c r="N26" i="43"/>
  <c r="J31" i="43"/>
  <c r="V31" i="43"/>
  <c r="M31" i="43"/>
  <c r="N31" i="43"/>
  <c r="AA22" i="43"/>
  <c r="Z22" i="43"/>
  <c r="AB22" i="43"/>
  <c r="Y22" i="43"/>
  <c r="AA18" i="43"/>
  <c r="Y18" i="43"/>
  <c r="Z18" i="43"/>
  <c r="AB18" i="43"/>
  <c r="AA14" i="43"/>
  <c r="Y14" i="43"/>
  <c r="Z14" i="43"/>
  <c r="AB14" i="43"/>
  <c r="J29" i="43"/>
  <c r="M29" i="43"/>
  <c r="V29" i="43"/>
  <c r="N29" i="43"/>
  <c r="J25" i="43"/>
  <c r="M25" i="43"/>
  <c r="V25" i="43"/>
  <c r="N25" i="43"/>
  <c r="Z20" i="43"/>
  <c r="AA20" i="43"/>
  <c r="AB20" i="43"/>
  <c r="Y20" i="43"/>
  <c r="AA16" i="43"/>
  <c r="Y16" i="43"/>
  <c r="Z16" i="43"/>
  <c r="AB16" i="43"/>
  <c r="AA21" i="43"/>
  <c r="Y21" i="43"/>
  <c r="AB21" i="43"/>
  <c r="Z21" i="43"/>
  <c r="AA17" i="43"/>
  <c r="AB17" i="43"/>
  <c r="Y17" i="43"/>
  <c r="Z17" i="43"/>
  <c r="J32" i="43"/>
  <c r="V32" i="43"/>
  <c r="M32" i="43"/>
  <c r="N32" i="43"/>
  <c r="J28" i="43"/>
  <c r="V28" i="43"/>
  <c r="N28" i="43"/>
  <c r="M28" i="43"/>
  <c r="J24" i="43"/>
  <c r="V24" i="43"/>
  <c r="N24" i="43"/>
  <c r="M24" i="43"/>
  <c r="J11" i="43"/>
  <c r="X11" i="43"/>
  <c r="U11" i="43"/>
  <c r="S11" i="43"/>
  <c r="Q11" i="43"/>
  <c r="T11" i="43"/>
  <c r="M11" i="43"/>
  <c r="N11" i="43"/>
  <c r="W11" i="43"/>
  <c r="R11" i="43"/>
  <c r="J7" i="43"/>
  <c r="X7" i="43"/>
  <c r="U7" i="43"/>
  <c r="S7" i="43"/>
  <c r="Q7" i="43"/>
  <c r="M7" i="43"/>
  <c r="T7" i="43"/>
  <c r="N7" i="43"/>
  <c r="W7" i="43"/>
  <c r="R7" i="43"/>
  <c r="J12" i="43"/>
  <c r="W12" i="43"/>
  <c r="N12" i="43"/>
  <c r="M12" i="43"/>
  <c r="X12" i="43"/>
  <c r="U12" i="43"/>
  <c r="R12" i="43"/>
  <c r="Q12" i="43"/>
  <c r="S12" i="43"/>
  <c r="T12" i="43"/>
  <c r="J20" i="43"/>
  <c r="E20" i="43"/>
  <c r="M20" i="43"/>
  <c r="D20" i="43"/>
  <c r="N20" i="43"/>
  <c r="E16" i="43"/>
  <c r="M16" i="43"/>
  <c r="D16" i="43"/>
  <c r="N16" i="43"/>
  <c r="J10" i="43"/>
  <c r="N10" i="43"/>
  <c r="S10" i="43"/>
  <c r="T10" i="43"/>
  <c r="R10" i="43"/>
  <c r="W10" i="43"/>
  <c r="X10" i="43"/>
  <c r="U10" i="43"/>
  <c r="Q10" i="43"/>
  <c r="M10" i="43"/>
  <c r="J6" i="43"/>
  <c r="N6" i="43"/>
  <c r="W6" i="43"/>
  <c r="S6" i="43"/>
  <c r="X6" i="43"/>
  <c r="U6" i="43"/>
  <c r="Q6" i="43"/>
  <c r="T6" i="43"/>
  <c r="R6" i="43"/>
  <c r="M6" i="43"/>
  <c r="J13" i="43"/>
  <c r="N13" i="43"/>
  <c r="M13" i="43"/>
  <c r="E13" i="43"/>
  <c r="D13" i="43"/>
  <c r="M19" i="43"/>
  <c r="N19" i="43"/>
  <c r="D19" i="43"/>
  <c r="E19" i="43"/>
  <c r="M15" i="43"/>
  <c r="N15" i="43"/>
  <c r="D15" i="43"/>
  <c r="E15" i="43"/>
  <c r="J9" i="43"/>
  <c r="T9" i="43"/>
  <c r="S9" i="43"/>
  <c r="X9" i="43"/>
  <c r="N9" i="43"/>
  <c r="R9" i="43"/>
  <c r="W9" i="43"/>
  <c r="M9" i="43"/>
  <c r="U9" i="43"/>
  <c r="Q9" i="43"/>
  <c r="J5" i="43"/>
  <c r="T5" i="43"/>
  <c r="S5" i="43"/>
  <c r="U5" i="43"/>
  <c r="Q5" i="43"/>
  <c r="R5" i="43"/>
  <c r="W5" i="43"/>
  <c r="M5" i="43"/>
  <c r="X5" i="43"/>
  <c r="N5" i="43"/>
  <c r="D22" i="43"/>
  <c r="M22" i="43"/>
  <c r="E22" i="43"/>
  <c r="N22" i="43"/>
  <c r="D18" i="43"/>
  <c r="E18" i="43"/>
  <c r="M18" i="43"/>
  <c r="N18" i="43"/>
  <c r="D14" i="43"/>
  <c r="E14" i="43"/>
  <c r="M14" i="43"/>
  <c r="N14" i="43"/>
  <c r="J3" i="43"/>
  <c r="T3" i="43"/>
  <c r="R3" i="43"/>
  <c r="U3" i="43"/>
  <c r="Q3" i="43"/>
  <c r="W3" i="43"/>
  <c r="N3" i="43"/>
  <c r="X3" i="43"/>
  <c r="M3" i="43"/>
  <c r="S3" i="43"/>
  <c r="J8" i="43"/>
  <c r="W8" i="43"/>
  <c r="N8" i="43"/>
  <c r="M8" i="43"/>
  <c r="X8" i="43"/>
  <c r="U8" i="43"/>
  <c r="R8" i="43"/>
  <c r="Q8" i="43"/>
  <c r="S8" i="43"/>
  <c r="T8" i="43"/>
  <c r="J4" i="43"/>
  <c r="W4" i="43"/>
  <c r="N4" i="43"/>
  <c r="T4" i="43"/>
  <c r="M4" i="43"/>
  <c r="X4" i="43"/>
  <c r="U4" i="43"/>
  <c r="R4" i="43"/>
  <c r="Q4" i="43"/>
  <c r="S4" i="43"/>
  <c r="J21" i="43"/>
  <c r="M21" i="43"/>
  <c r="N21" i="43"/>
  <c r="E21" i="43"/>
  <c r="D21" i="43"/>
  <c r="J17" i="43"/>
  <c r="M17" i="43"/>
  <c r="D17" i="43"/>
  <c r="N17" i="43"/>
  <c r="E17" i="43"/>
  <c r="I16" i="43"/>
  <c r="J16" i="43"/>
  <c r="I15" i="43"/>
  <c r="J15" i="43"/>
  <c r="I22" i="43"/>
  <c r="J22" i="43"/>
  <c r="I18" i="43"/>
  <c r="J18" i="43"/>
  <c r="I14" i="43"/>
  <c r="J14" i="43"/>
  <c r="H19" i="43"/>
  <c r="J19" i="43"/>
  <c r="B7" i="43"/>
  <c r="G7" i="43"/>
  <c r="H31" i="43"/>
  <c r="B31" i="43"/>
  <c r="G31" i="43"/>
  <c r="L27" i="43"/>
  <c r="H27" i="43"/>
  <c r="B27" i="43"/>
  <c r="G27" i="43"/>
  <c r="I10" i="43"/>
  <c r="G10" i="43"/>
  <c r="B10" i="43"/>
  <c r="G6" i="43"/>
  <c r="B6" i="43"/>
  <c r="L30" i="43"/>
  <c r="G30" i="43"/>
  <c r="B30" i="43"/>
  <c r="L26" i="43"/>
  <c r="G26" i="43"/>
  <c r="B26" i="43"/>
  <c r="B11" i="43"/>
  <c r="G11" i="43"/>
  <c r="G5" i="43"/>
  <c r="B5" i="43"/>
  <c r="L25" i="43"/>
  <c r="G25" i="43"/>
  <c r="B25" i="43"/>
  <c r="I12" i="43"/>
  <c r="B12" i="43"/>
  <c r="G12" i="43"/>
  <c r="B9" i="43"/>
  <c r="G9" i="43"/>
  <c r="H29" i="43"/>
  <c r="B29" i="43"/>
  <c r="G29" i="43"/>
  <c r="I3" i="43"/>
  <c r="G3" i="43"/>
  <c r="G8" i="43"/>
  <c r="B8" i="43"/>
  <c r="L4" i="43"/>
  <c r="B4" i="43"/>
  <c r="I4" i="43"/>
  <c r="G4" i="43"/>
  <c r="B32" i="43"/>
  <c r="H32" i="43"/>
  <c r="G32" i="43"/>
  <c r="L28" i="43"/>
  <c r="B28" i="43"/>
  <c r="G28" i="43"/>
  <c r="L24" i="43"/>
  <c r="B24" i="43"/>
  <c r="G24" i="43"/>
  <c r="L3" i="43"/>
  <c r="B3" i="43"/>
  <c r="G20" i="43"/>
  <c r="H11" i="43"/>
  <c r="I27" i="43"/>
  <c r="H15" i="43"/>
  <c r="G18" i="43"/>
  <c r="I19" i="43"/>
  <c r="I13" i="43"/>
  <c r="I9" i="43"/>
  <c r="H4" i="43"/>
  <c r="F16" i="43"/>
  <c r="H13" i="43"/>
  <c r="I7" i="43"/>
  <c r="I31" i="43"/>
  <c r="F14" i="43"/>
  <c r="I11" i="43"/>
  <c r="H7" i="43"/>
  <c r="K26" i="43"/>
  <c r="L6" i="43"/>
  <c r="G21" i="43"/>
  <c r="L21" i="43"/>
  <c r="G17" i="43"/>
  <c r="L17" i="43"/>
  <c r="L20" i="43"/>
  <c r="L32" i="43"/>
  <c r="H25" i="43"/>
  <c r="H21" i="43"/>
  <c r="H17" i="43"/>
  <c r="K25" i="43"/>
  <c r="L8" i="43"/>
  <c r="G13" i="43"/>
  <c r="L13" i="43"/>
  <c r="G19" i="43"/>
  <c r="L19" i="43"/>
  <c r="G15" i="43"/>
  <c r="L15" i="43"/>
  <c r="L31" i="43"/>
  <c r="G16" i="43"/>
  <c r="I26" i="43"/>
  <c r="I24" i="43"/>
  <c r="I20" i="43"/>
  <c r="I8" i="43"/>
  <c r="I6" i="43"/>
  <c r="I32" i="43"/>
  <c r="K32" i="43"/>
  <c r="K24" i="43"/>
  <c r="L10" i="43"/>
  <c r="I25" i="43"/>
  <c r="I21" i="43"/>
  <c r="I17" i="43"/>
  <c r="L9" i="43"/>
  <c r="L16" i="43"/>
  <c r="H9" i="43"/>
  <c r="L11" i="43"/>
  <c r="L7" i="43"/>
  <c r="L12" i="43"/>
  <c r="L22" i="43"/>
  <c r="L18" i="43"/>
  <c r="L14" i="43"/>
  <c r="F18" i="43"/>
  <c r="G22" i="43"/>
  <c r="G14" i="43"/>
  <c r="H3" i="43"/>
  <c r="H26" i="43"/>
  <c r="H24" i="43"/>
  <c r="H22" i="43"/>
  <c r="H20" i="43"/>
  <c r="H18" i="43"/>
  <c r="H16" i="43"/>
  <c r="H14" i="43"/>
  <c r="H12" i="43"/>
  <c r="H10" i="43"/>
  <c r="H8" i="43"/>
  <c r="H6" i="43"/>
  <c r="K31" i="43"/>
  <c r="I30" i="43"/>
  <c r="H30" i="43"/>
  <c r="K30" i="43"/>
  <c r="I29" i="43"/>
  <c r="L29" i="43"/>
  <c r="K29" i="43"/>
  <c r="I28" i="43"/>
  <c r="H28" i="43"/>
  <c r="K28" i="43"/>
  <c r="K27" i="43"/>
  <c r="L5" i="43"/>
  <c r="H5" i="43"/>
  <c r="I5" i="43"/>
  <c r="F21" i="43"/>
  <c r="F19" i="43"/>
  <c r="F17" i="43"/>
  <c r="F15" i="43"/>
  <c r="U40" i="44"/>
  <c r="U37" i="44"/>
  <c r="U44" i="44"/>
  <c r="U35" i="44"/>
  <c r="U41" i="44"/>
  <c r="E18" i="34"/>
  <c r="U42" i="44"/>
  <c r="U43" i="44"/>
  <c r="U39" i="44"/>
  <c r="U38" i="44"/>
  <c r="U36" i="44"/>
  <c r="F13" i="43"/>
  <c r="F22" i="43"/>
  <c r="F20" i="43"/>
  <c r="F31" i="43"/>
  <c r="F30" i="43"/>
  <c r="F29" i="43"/>
  <c r="F28" i="43"/>
  <c r="F27" i="43"/>
  <c r="F25" i="43"/>
  <c r="F24" i="43"/>
  <c r="F32" i="43"/>
  <c r="F23" i="43"/>
  <c r="D18" i="34"/>
  <c r="F18" i="34"/>
  <c r="F12" i="43"/>
  <c r="F9" i="43"/>
  <c r="F6" i="43"/>
  <c r="F4" i="43"/>
  <c r="F8" i="43"/>
  <c r="F11" i="43"/>
  <c r="F5" i="43"/>
  <c r="F26" i="43"/>
  <c r="F10" i="43"/>
  <c r="D16" i="34"/>
  <c r="F7" i="43"/>
  <c r="E16" i="34"/>
  <c r="E20" i="34"/>
  <c r="O13" i="44"/>
  <c r="O15" i="44"/>
  <c r="O16" i="44"/>
  <c r="O12" i="44"/>
  <c r="O10" i="44"/>
  <c r="O7" i="44"/>
  <c r="O11" i="44"/>
  <c r="O8" i="44"/>
  <c r="O14" i="44"/>
  <c r="O9" i="44"/>
  <c r="F16" i="34"/>
  <c r="F20" i="34"/>
  <c r="C18" i="34"/>
  <c r="D20" i="34"/>
  <c r="C17" i="34"/>
  <c r="F3" i="43"/>
  <c r="C16" i="34"/>
  <c r="C20" i="34"/>
  <c r="E11" i="43"/>
  <c r="D11" i="43"/>
  <c r="E12" i="43"/>
  <c r="D12" i="43"/>
  <c r="L16" i="32"/>
  <c r="L15" i="32"/>
  <c r="L14" i="32"/>
  <c r="L13" i="32"/>
  <c r="L12" i="32"/>
  <c r="L11" i="32"/>
  <c r="L10" i="32"/>
  <c r="L9" i="32"/>
  <c r="L8" i="32"/>
  <c r="G16" i="34"/>
  <c r="G20" i="34"/>
  <c r="H20" i="34"/>
  <c r="M8" i="32"/>
  <c r="Q8" i="45"/>
  <c r="Q9" i="45"/>
  <c r="Q10" i="45"/>
  <c r="Q11" i="45"/>
  <c r="Q12" i="45"/>
  <c r="Q13" i="45"/>
  <c r="Q14" i="45"/>
  <c r="Q15" i="45"/>
  <c r="Q16" i="45"/>
  <c r="Q17" i="45"/>
  <c r="J8" i="33"/>
  <c r="H17" i="34"/>
  <c r="L14" i="31"/>
  <c r="E29" i="43"/>
  <c r="D29" i="43"/>
  <c r="L17" i="31"/>
  <c r="E32" i="43"/>
  <c r="D32" i="43"/>
  <c r="L15" i="31"/>
  <c r="E30" i="43"/>
  <c r="D30" i="43"/>
  <c r="L13" i="31"/>
  <c r="E28" i="43"/>
  <c r="D28" i="43"/>
  <c r="L16" i="31"/>
  <c r="E31" i="43"/>
  <c r="D31" i="43"/>
  <c r="L9" i="31"/>
  <c r="E24" i="43"/>
  <c r="D24" i="43"/>
  <c r="L11" i="31"/>
  <c r="E26" i="43"/>
  <c r="D26" i="43"/>
  <c r="L12" i="31"/>
  <c r="E27" i="43"/>
  <c r="D27" i="43"/>
  <c r="L10" i="31"/>
  <c r="E25" i="43"/>
  <c r="D25" i="43"/>
  <c r="M14" i="32"/>
  <c r="E9" i="43"/>
  <c r="D9" i="43"/>
  <c r="M9" i="32"/>
  <c r="E4" i="43"/>
  <c r="D4" i="43"/>
  <c r="M10" i="32"/>
  <c r="E5" i="43"/>
  <c r="D5" i="43"/>
  <c r="M15" i="32"/>
  <c r="E10" i="43"/>
  <c r="D10" i="43"/>
  <c r="M11" i="32"/>
  <c r="E6" i="43"/>
  <c r="D6" i="43"/>
  <c r="M12" i="32"/>
  <c r="E7" i="43"/>
  <c r="D7" i="43"/>
  <c r="M16" i="32"/>
  <c r="M13" i="32"/>
  <c r="E8" i="43"/>
  <c r="D8" i="43"/>
  <c r="M17" i="32"/>
  <c r="L8" i="31"/>
  <c r="E23" i="43"/>
  <c r="D23" i="43"/>
  <c r="H18" i="34"/>
  <c r="H19" i="34"/>
  <c r="H16" i="34"/>
  <c r="E3" i="43"/>
  <c r="D3"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tc={4274EB2A-C1BB-4151-B40C-BE85E6808830}</author>
  </authors>
  <commentList>
    <comment ref="E6" authorId="0" shapeId="0" xr:uid="{4274EB2A-C1BB-4151-B40C-BE85E6808830}">
      <text>
        <t xml:space="preserve">[Threaded comment]
Your version of Excel allows you to read this threaded comment; however, any edits to it will get removed if the file is opened in a newer version of Excel. Learn more: https://go.microsoft.com/fwlink/?linkid=870924
Comment:
    Inputs to this calculation /lookup equation were locked when they shouldn’t be. The equation was looking in the wrong areas because they were not locked in place as they were drug down.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<sst xmlns="http://schemas.openxmlformats.org/spreadsheetml/2006/main" count="651" uniqueCount="346">
  <si>
    <r>
      <t>Input Instructions</t>
    </r>
    <r>
      <rPr>
        <b/>
        <sz val="11"/>
        <color indexed="13"/>
        <rFont val="Arial"/>
        <family val="2"/>
      </rPr>
      <t/>
    </r>
  </si>
  <si>
    <t>Yellow cells indicate that user input is required. Cells with a * are required.</t>
  </si>
  <si>
    <t xml:space="preserve">Grey cells are calculated values. </t>
  </si>
  <si>
    <t>Worksheet Summary</t>
  </si>
  <si>
    <t>Methodology</t>
  </si>
  <si>
    <t>Provides methodology for savings estimations</t>
  </si>
  <si>
    <t>Project Summary</t>
  </si>
  <si>
    <t>This provides summary of estimated savings along with some required inputs</t>
  </si>
  <si>
    <t>High Efficiency Transformer</t>
  </si>
  <si>
    <t>This measures is for the installation of a low loss, high efficency transformer. Distribution transformers are used in some multifamily, commercial and industrial applications to step down power from distribution voltage to be used in HVAC or process loads (208V or 480V) or to serve plug loads (120V).</t>
  </si>
  <si>
    <t>Engine Block Heater Timer</t>
  </si>
  <si>
    <t>This protocol documents the energy savings attributed to installation of engine block heater timers in commercial, industrial, and agricultural establishments. The baseline for this measure is an engine block heater in use without a timer.</t>
  </si>
  <si>
    <t>High Frequency Battery Chargers</t>
  </si>
  <si>
    <t xml:space="preserve">This measure applies to industrial high frequency battery chargers, used for industrial equipment such as fork lifts, replacing existing SCR (silicon controlled rectifier) or ferroresonant charging technology. They have a greater efficiency than silicon controlled rectifier (SCR) or ferroresonant chargers. </t>
  </si>
  <si>
    <t>Version Log</t>
  </si>
  <si>
    <t>The Version Log Worksheet tracks updates and changes made to the workbook.</t>
  </si>
  <si>
    <t>Glossary of Inputs</t>
  </si>
  <si>
    <t>Date</t>
  </si>
  <si>
    <t>Date the estimator is completed.</t>
  </si>
  <si>
    <t>Project Name</t>
  </si>
  <si>
    <t>Name of project for reference.</t>
  </si>
  <si>
    <t>Address</t>
  </si>
  <si>
    <t>Physical location of project.</t>
  </si>
  <si>
    <t>Installation Date</t>
  </si>
  <si>
    <t>Date the project is completed.</t>
  </si>
  <si>
    <t>Project Cost*</t>
  </si>
  <si>
    <t>The cost associated with the project. Required for incentive calculation.</t>
  </si>
  <si>
    <t>Location*</t>
  </si>
  <si>
    <t>The nearest city to the project location.</t>
  </si>
  <si>
    <t>Building Type*</t>
  </si>
  <si>
    <t>Glossary of Outputs</t>
  </si>
  <si>
    <t>kWh Savings</t>
  </si>
  <si>
    <t>This is the anticipated kWh savings of the line item or measure.</t>
  </si>
  <si>
    <t>kWh</t>
  </si>
  <si>
    <t>kW savings</t>
  </si>
  <si>
    <t>This is the anticipated peak kW savings of the line item/measure.</t>
  </si>
  <si>
    <t>Incentive</t>
  </si>
  <si>
    <t>This is the estimated incentive based on project cost and kWh savings.</t>
  </si>
  <si>
    <t xml:space="preserve">Run Hours </t>
  </si>
  <si>
    <t>This is the prescriptive hours of use based on location and facility type.</t>
  </si>
  <si>
    <t>Coincidence Factor</t>
  </si>
  <si>
    <t>This is the prescriptive coincidence factor based on the location and facility type.</t>
  </si>
  <si>
    <t>LF</t>
  </si>
  <si>
    <t>This is a Load Factor</t>
  </si>
  <si>
    <t>PF</t>
  </si>
  <si>
    <t>This is a Power Factor</t>
  </si>
  <si>
    <t>KVA</t>
  </si>
  <si>
    <t>This is a unit of measurement of electricity in 1000 Volts x Amps</t>
  </si>
  <si>
    <t>kVA</t>
  </si>
  <si>
    <r>
      <t>EFF</t>
    </r>
    <r>
      <rPr>
        <i/>
        <vertAlign val="subscript"/>
        <sz val="10"/>
        <color theme="5"/>
        <rFont val="Arial"/>
        <family val="2"/>
        <scheme val="minor"/>
      </rPr>
      <t>base</t>
    </r>
  </si>
  <si>
    <r>
      <t>EFF</t>
    </r>
    <r>
      <rPr>
        <i/>
        <vertAlign val="subscript"/>
        <sz val="10"/>
        <color theme="5"/>
        <rFont val="Arial"/>
        <family val="2"/>
        <scheme val="minor"/>
      </rPr>
      <t>ee</t>
    </r>
  </si>
  <si>
    <t>Hours</t>
  </si>
  <si>
    <r>
      <t>Losses</t>
    </r>
    <r>
      <rPr>
        <vertAlign val="subscript"/>
        <sz val="10"/>
        <color theme="5"/>
        <rFont val="Arial"/>
        <family val="2"/>
        <scheme val="minor"/>
      </rPr>
      <t>base</t>
    </r>
  </si>
  <si>
    <r>
      <t>Lossess</t>
    </r>
    <r>
      <rPr>
        <vertAlign val="subscript"/>
        <sz val="10"/>
        <color theme="5"/>
        <rFont val="Arial"/>
        <family val="2"/>
        <scheme val="minor"/>
      </rPr>
      <t>ee</t>
    </r>
  </si>
  <si>
    <t>kW_Summer</t>
  </si>
  <si>
    <t>kW_Winter</t>
  </si>
  <si>
    <t>kW Savings</t>
  </si>
  <si>
    <t>Engine Block Heat Timer</t>
  </si>
  <si>
    <t>Units</t>
  </si>
  <si>
    <t>P</t>
  </si>
  <si>
    <t>Days</t>
  </si>
  <si>
    <t>UF</t>
  </si>
  <si>
    <t>kW</t>
  </si>
  <si>
    <t>Shift Schdule</t>
  </si>
  <si>
    <t>CAP</t>
  </si>
  <si>
    <t>DOD</t>
  </si>
  <si>
    <t>CHG</t>
  </si>
  <si>
    <r>
      <t>CR</t>
    </r>
    <r>
      <rPr>
        <i/>
        <vertAlign val="subscript"/>
        <sz val="10"/>
        <color theme="5"/>
        <rFont val="Arial"/>
        <family val="2"/>
        <scheme val="minor"/>
      </rPr>
      <t>base</t>
    </r>
  </si>
  <si>
    <r>
      <t>PC</t>
    </r>
    <r>
      <rPr>
        <i/>
        <vertAlign val="subscript"/>
        <sz val="10"/>
        <color theme="5"/>
        <rFont val="Arial"/>
        <family val="2"/>
        <scheme val="minor"/>
      </rPr>
      <t>base</t>
    </r>
  </si>
  <si>
    <r>
      <t>CR</t>
    </r>
    <r>
      <rPr>
        <vertAlign val="subscript"/>
        <sz val="10"/>
        <color theme="5"/>
        <rFont val="Arial"/>
        <family val="2"/>
        <scheme val="minor"/>
      </rPr>
      <t>ee</t>
    </r>
  </si>
  <si>
    <r>
      <t>PC</t>
    </r>
    <r>
      <rPr>
        <vertAlign val="subscript"/>
        <sz val="10"/>
        <color theme="5"/>
        <rFont val="Arial"/>
        <family val="2"/>
        <scheme val="minor"/>
      </rPr>
      <t>ee</t>
    </r>
  </si>
  <si>
    <r>
      <t>PF</t>
    </r>
    <r>
      <rPr>
        <vertAlign val="subscript"/>
        <sz val="10"/>
        <color theme="5"/>
        <rFont val="Arial"/>
        <family val="2"/>
        <scheme val="minor"/>
      </rPr>
      <t>base</t>
    </r>
  </si>
  <si>
    <r>
      <t>PF</t>
    </r>
    <r>
      <rPr>
        <vertAlign val="subscript"/>
        <sz val="10"/>
        <color theme="5"/>
        <rFont val="Arial"/>
        <family val="2"/>
        <scheme val="minor"/>
      </rPr>
      <t>ee</t>
    </r>
  </si>
  <si>
    <r>
      <t>Volts</t>
    </r>
    <r>
      <rPr>
        <vertAlign val="subscript"/>
        <sz val="10"/>
        <color theme="5"/>
        <rFont val="Arial"/>
        <family val="2"/>
        <scheme val="minor"/>
      </rPr>
      <t>DC</t>
    </r>
  </si>
  <si>
    <r>
      <t>Amps</t>
    </r>
    <r>
      <rPr>
        <vertAlign val="subscript"/>
        <sz val="10"/>
        <color theme="5"/>
        <rFont val="Arial"/>
        <family val="2"/>
        <scheme val="minor"/>
      </rPr>
      <t>DC</t>
    </r>
  </si>
  <si>
    <t>Conversion W/kW</t>
  </si>
  <si>
    <t>CF</t>
  </si>
  <si>
    <t>Version</t>
  </si>
  <si>
    <t>Last Updated</t>
  </si>
  <si>
    <t>Instructions: Enter the project information in the yellow cells below. Cells with a * are required. See Instructions Worksheet for more information.</t>
  </si>
  <si>
    <t>Rate Code*</t>
  </si>
  <si>
    <t>Measure</t>
  </si>
  <si>
    <t>Summer kW Savings</t>
  </si>
  <si>
    <t>Winter kW Savings</t>
  </si>
  <si>
    <t>kW Average</t>
  </si>
  <si>
    <t>Uncapped Incentive</t>
  </si>
  <si>
    <t>High efficiency transformer</t>
  </si>
  <si>
    <t>Engine block heat timer</t>
  </si>
  <si>
    <t>High frequency battery chargers</t>
  </si>
  <si>
    <t>Uninterruptible Power Supply</t>
  </si>
  <si>
    <t>Total</t>
  </si>
  <si>
    <t>HIDE</t>
  </si>
  <si>
    <t>High Efficiency Transformers</t>
  </si>
  <si>
    <t>Line Item</t>
  </si>
  <si>
    <t>User Inputs</t>
  </si>
  <si>
    <t>Calculations</t>
  </si>
  <si>
    <t>Total Incentive</t>
  </si>
  <si>
    <t>Unit ID</t>
  </si>
  <si>
    <t>Electricity Phase</t>
  </si>
  <si>
    <t>Number of Units*</t>
  </si>
  <si>
    <t>Transformer Efficiency %</t>
  </si>
  <si>
    <t>kW Savings (Summer)</t>
  </si>
  <si>
    <t>kW Savings (Winter)</t>
  </si>
  <si>
    <t>kW Savings (Average)</t>
  </si>
  <si>
    <t>`</t>
  </si>
  <si>
    <t>Operation Facility Schdeule*</t>
  </si>
  <si>
    <t>Equipment Type*</t>
  </si>
  <si>
    <t>Hiden Calculations</t>
  </si>
  <si>
    <t>Capacity (Watts)*</t>
  </si>
  <si>
    <t>Baseline UPS type*</t>
  </si>
  <si>
    <t>Efficient UPS type*</t>
  </si>
  <si>
    <t>Eff base</t>
  </si>
  <si>
    <t>Eff ee</t>
  </si>
  <si>
    <t>EFLH</t>
  </si>
  <si>
    <t>Description_Product_Style__c</t>
  </si>
  <si>
    <t>Quantity__c</t>
  </si>
  <si>
    <t>Incentive_Unit__c</t>
  </si>
  <si>
    <t>Total_Incentive_New__c</t>
  </si>
  <si>
    <t>Annual_Electric_Energy_Savings_kwh__c</t>
  </si>
  <si>
    <t>Average_Demand_Savings_kW__c</t>
  </si>
  <si>
    <t>Building_Type__c</t>
  </si>
  <si>
    <t>Climate_Zone__c</t>
  </si>
  <si>
    <t>Date_Installed__c</t>
  </si>
  <si>
    <t>Operating_Schedule__c</t>
  </si>
  <si>
    <t>Calculator_Version__c</t>
  </si>
  <si>
    <t>Summer_Coincident_Peak_Demand_Savings_kW__c</t>
  </si>
  <si>
    <t>WC_Peak_Demand_Savings_kW__c</t>
  </si>
  <si>
    <t>Child___ETDF_Summer__c</t>
  </si>
  <si>
    <t>Child___ETDF_Winter__c</t>
  </si>
  <si>
    <t>Rated_kVA__c</t>
  </si>
  <si>
    <t>Baseline_Energy_Factor__c</t>
  </si>
  <si>
    <t>Efficient_Energy_Factor__c</t>
  </si>
  <si>
    <t>Factor_1__c</t>
  </si>
  <si>
    <t>Factor_2__c</t>
  </si>
  <si>
    <t>Factor_3__c</t>
  </si>
  <si>
    <t>Factor_4__c</t>
  </si>
  <si>
    <t>Efficiency_Level__c</t>
  </si>
  <si>
    <t>Factor_5__c</t>
  </si>
  <si>
    <t>Average_Daily_Hours_of_Use__c</t>
  </si>
  <si>
    <t>Annual_Operating_Days_per_Year__c</t>
  </si>
  <si>
    <t>Child___Usage_Factor__c</t>
  </si>
  <si>
    <t>Type__c</t>
  </si>
  <si>
    <t>Efficient_Wattage__c</t>
  </si>
  <si>
    <t>Measure Type</t>
  </si>
  <si>
    <t>Measure Code</t>
  </si>
  <si>
    <t>Quantity</t>
  </si>
  <si>
    <t xml:space="preserve">Per Unit Incentive </t>
  </si>
  <si>
    <t>Total PPL Incentive</t>
  </si>
  <si>
    <t>Building Type</t>
  </si>
  <si>
    <t>Location</t>
  </si>
  <si>
    <t>Project Completion Date</t>
  </si>
  <si>
    <t>Operating Schdeule</t>
  </si>
  <si>
    <t>Estimator Version Number</t>
  </si>
  <si>
    <t>kW summer</t>
  </si>
  <si>
    <t>kW winter</t>
  </si>
  <si>
    <t>ETDFsummer</t>
  </si>
  <si>
    <t>ETDFwinter</t>
  </si>
  <si>
    <t>PowerRating</t>
  </si>
  <si>
    <t>EFFbase</t>
  </si>
  <si>
    <t>EFFee</t>
  </si>
  <si>
    <t>LF, load factor of transformer</t>
  </si>
  <si>
    <t>Power Factor for the load served by transformer</t>
  </si>
  <si>
    <t>Capacity of battery</t>
  </si>
  <si>
    <t>Phase</t>
  </si>
  <si>
    <t>Installed Transformer Efficiency</t>
  </si>
  <si>
    <t>P, average power consumption of engine block heater</t>
  </si>
  <si>
    <t>Hours, reduction in number of hours block heater is used per night</t>
  </si>
  <si>
    <t>Number of operating days per year</t>
  </si>
  <si>
    <t>UF, Usage factor</t>
  </si>
  <si>
    <t>Equipment Type</t>
  </si>
  <si>
    <t>Rated Power Output (P)</t>
  </si>
  <si>
    <t>Prescriptive</t>
  </si>
  <si>
    <t>EngineBlockHT</t>
  </si>
  <si>
    <t>Table 1: Location</t>
  </si>
  <si>
    <t>Table 2: Facility Type</t>
  </si>
  <si>
    <t>Table 3: Motor Replace</t>
  </si>
  <si>
    <t>Table 4: Phase</t>
  </si>
  <si>
    <t>Allentown</t>
  </si>
  <si>
    <t>Education - College / University</t>
  </si>
  <si>
    <t>New Construction</t>
  </si>
  <si>
    <t>Single-phase</t>
  </si>
  <si>
    <t>Binghamton</t>
  </si>
  <si>
    <t>Education - Other</t>
  </si>
  <si>
    <t>Replace on Burnout</t>
  </si>
  <si>
    <t>Three-phase</t>
  </si>
  <si>
    <t>Bradford</t>
  </si>
  <si>
    <t>Grocery</t>
  </si>
  <si>
    <t>Early Replacement</t>
  </si>
  <si>
    <t>Erie</t>
  </si>
  <si>
    <t>Health - Hospital</t>
  </si>
  <si>
    <t>Harrisburg</t>
  </si>
  <si>
    <t>Health - Other</t>
  </si>
  <si>
    <t>Downstream</t>
  </si>
  <si>
    <t>PY16 LCI Bonus</t>
  </si>
  <si>
    <t>Philadelphia</t>
  </si>
  <si>
    <t>Industrial Manufacturing</t>
  </si>
  <si>
    <t>Incentive / kWh</t>
  </si>
  <si>
    <t>Incentive Rates</t>
  </si>
  <si>
    <t>Direct Discount</t>
  </si>
  <si>
    <t>Pittsburgh</t>
  </si>
  <si>
    <t>Institutional / Public Service</t>
  </si>
  <si>
    <t>Incentive / kW</t>
  </si>
  <si>
    <t>Incentive Cap:</t>
  </si>
  <si>
    <t>Scranton</t>
  </si>
  <si>
    <t>Lodging</t>
  </si>
  <si>
    <t>kWh Incentive:</t>
  </si>
  <si>
    <t>Williamsburg</t>
  </si>
  <si>
    <t>Multifamily (Common Areas)</t>
  </si>
  <si>
    <t>kW Incentive:</t>
  </si>
  <si>
    <t>Office</t>
  </si>
  <si>
    <t xml:space="preserve">Rate Codes </t>
  </si>
  <si>
    <t>Restaurant</t>
  </si>
  <si>
    <t>Small Business (GS1 &amp; GS3 Rate Codes)</t>
  </si>
  <si>
    <t>Retail</t>
  </si>
  <si>
    <t>Large Business (LP4 &amp; LP5 Rate Codes)</t>
  </si>
  <si>
    <t>Warehouse - Other</t>
  </si>
  <si>
    <t>Warehouse - Refrigerated</t>
  </si>
  <si>
    <t>VFD</t>
  </si>
  <si>
    <t>P &lt; 1500 W</t>
  </si>
  <si>
    <r>
      <t xml:space="preserve">3.1.1 </t>
    </r>
    <r>
      <rPr>
        <sz val="12"/>
        <color theme="7" tint="-0.499984740745262"/>
        <rFont val="Arial"/>
        <family val="2"/>
        <scheme val="minor"/>
      </rPr>
      <t>High Efficiency Transformer</t>
    </r>
  </si>
  <si>
    <t>VI</t>
  </si>
  <si>
    <t>Table 3 206: Baseline Efficiencies for Low-Voltage Dry-Type Distribution Transformers</t>
  </si>
  <si>
    <t>Load Factor</t>
  </si>
  <si>
    <t>Power Factor</t>
  </si>
  <si>
    <t>VFI</t>
  </si>
  <si>
    <t>1500 W &lt; P &lt; 2000 W</t>
  </si>
  <si>
    <t>VFD, VI or VFI</t>
  </si>
  <si>
    <t>Efficiency (%)</t>
  </si>
  <si>
    <t>Eff ee 1</t>
  </si>
  <si>
    <t>P &lt; 350</t>
  </si>
  <si>
    <t>350 &lt; P &lt; 1500</t>
  </si>
  <si>
    <t>1500 &lt; P &lt; 2000</t>
  </si>
  <si>
    <t>---</t>
  </si>
  <si>
    <r>
      <rPr>
        <sz val="14"/>
        <color theme="7" tint="-0.499984740745262"/>
        <rFont val="Arial"/>
        <family val="2"/>
        <scheme val="minor"/>
      </rPr>
      <t xml:space="preserve">3.1.1 </t>
    </r>
    <r>
      <rPr>
        <sz val="12"/>
        <color theme="7" tint="-0.499984740745262"/>
        <rFont val="Arial"/>
        <family val="2"/>
        <scheme val="minor"/>
      </rPr>
      <t>Engine Block Heat Timer</t>
    </r>
  </si>
  <si>
    <t>Table 3 207: Terms, Values, and References for Engine Block Heater Timer</t>
  </si>
  <si>
    <t>Term</t>
  </si>
  <si>
    <t>Unit</t>
  </si>
  <si>
    <t>Values</t>
  </si>
  <si>
    <t>Source</t>
  </si>
  <si>
    <t>, Average power consumption of engine block heater</t>
  </si>
  <si>
    <t>EDC Data Gathering</t>
  </si>
  <si>
    <t>Default = 1.3</t>
  </si>
  <si>
    <t>, Reduction in number of hours block heater is used per night</t>
  </si>
  <si>
    <t>Hours/day</t>
  </si>
  <si>
    <t>Default = 9</t>
  </si>
  <si>
    <t>, Number of operating days per year</t>
  </si>
  <si>
    <t>Days/year</t>
  </si>
  <si>
    <t>Default = 65</t>
  </si>
  <si>
    <t>Eff base 1</t>
  </si>
  <si>
    <t>, Usage factor</t>
  </si>
  <si>
    <t>None</t>
  </si>
  <si>
    <t>P &lt; 300</t>
  </si>
  <si>
    <t>Default = 0.97</t>
  </si>
  <si>
    <t>300 &lt; P 700</t>
  </si>
  <si>
    <t>P &gt; 700</t>
  </si>
  <si>
    <t>Table 3 210: Default Values for Number of Charges Per Year</t>
  </si>
  <si>
    <r>
      <t>Operation Facility</t>
    </r>
    <r>
      <rPr>
        <b/>
        <sz val="9"/>
        <color rgb="FF000000"/>
        <rFont val="Arial"/>
        <family val="2"/>
      </rPr>
      <t xml:space="preserve"> Schedule</t>
    </r>
  </si>
  <si>
    <t>Number of Charges Per Year</t>
  </si>
  <si>
    <t>(hours per day / days per week)</t>
  </si>
  <si>
    <t>Single Shift (8/5)</t>
  </si>
  <si>
    <t>2-Shift (16/5)</t>
  </si>
  <si>
    <t>3-Shift (24/5)</t>
  </si>
  <si>
    <t>4-Shift (24/7)</t>
  </si>
  <si>
    <t>Table 3-234: Default Savings for High Frequency Battery Charging</t>
  </si>
  <si>
    <t>CRbase</t>
  </si>
  <si>
    <t>PCbase</t>
  </si>
  <si>
    <t>PFbase</t>
  </si>
  <si>
    <t>Ferroresonant</t>
  </si>
  <si>
    <t>SCR</t>
  </si>
  <si>
    <t>Hybrid</t>
  </si>
  <si>
    <t>Unknown</t>
  </si>
  <si>
    <t>Table 3-232: Terms, Values, and References for High Frequency Battery Chargers</t>
  </si>
  <si>
    <t>Efficient charge return factor</t>
  </si>
  <si>
    <t>Efficient power conversion efficiency</t>
  </si>
  <si>
    <t>Power factor of high frequency charger</t>
  </si>
  <si>
    <t>Calculator Methodology</t>
  </si>
  <si>
    <t>Algorithms</t>
  </si>
  <si>
    <r>
      <t xml:space="preserve">3.1.1 </t>
    </r>
    <r>
      <rPr>
        <b/>
        <sz val="12"/>
        <color theme="1"/>
        <rFont val="Arial"/>
        <family val="2"/>
        <scheme val="minor"/>
      </rPr>
      <t>High Efficiency Transformer</t>
    </r>
  </si>
  <si>
    <t>Target Sector</t>
  </si>
  <si>
    <t>Commercial, Industrial, and Agricultural Establishments</t>
  </si>
  <si>
    <t>Measure Unit</t>
  </si>
  <si>
    <t>Transformer</t>
  </si>
  <si>
    <t>Measure Life</t>
  </si>
  <si>
    <r>
      <t xml:space="preserve">15 years </t>
    </r>
    <r>
      <rPr>
        <vertAlign val="superscript"/>
        <sz val="9"/>
        <color theme="1"/>
        <rFont val="Arial"/>
        <family val="2"/>
      </rPr>
      <t>Source 1</t>
    </r>
  </si>
  <si>
    <t>Measure Vintage</t>
  </si>
  <si>
    <t>Retrofit, New Construction</t>
  </si>
  <si>
    <t>, kVA rating of the transformer</t>
  </si>
  <si>
    <t>, Baseline total efficiency rating of federal minimum standard transformer</t>
  </si>
  <si>
    <t>Percent</t>
  </si>
  <si>
    <t>Default: Table 3‑206</t>
  </si>
  <si>
    <t>, Installed total efficiency rating of the transformer</t>
  </si>
  <si>
    <t xml:space="preserve">, Load factor for the transformer </t>
  </si>
  <si>
    <t>Default: 35%</t>
  </si>
  <si>
    <t>, Power factor for the load served by the transformer</t>
  </si>
  <si>
    <t>Decimal</t>
  </si>
  <si>
    <t>EDC Data Gathering[1]</t>
  </si>
  <si>
    <t>Default: 1.0</t>
  </si>
  <si>
    <t>[1] Use the actual power factor for the network segment served.</t>
  </si>
  <si>
    <t>Original Author:</t>
  </si>
  <si>
    <t>James Domanski</t>
  </si>
  <si>
    <t>QA/QC Engineer(s):</t>
  </si>
  <si>
    <t>Primary Developer:</t>
  </si>
  <si>
    <t>Senior Engineer Approval:</t>
  </si>
  <si>
    <t>Current Version:</t>
  </si>
  <si>
    <t>Reason for Change</t>
  </si>
  <si>
    <t>Change Description</t>
  </si>
  <si>
    <t>Contact, Department</t>
  </si>
  <si>
    <t>Date Updated:</t>
  </si>
  <si>
    <t>Document created</t>
  </si>
  <si>
    <t>Adapted the TRM Miscelaneous Section as an estimator tool</t>
  </si>
  <si>
    <t>James Domanski, Engineering</t>
  </si>
  <si>
    <t>?</t>
  </si>
  <si>
    <t>Calc errors</t>
  </si>
  <si>
    <t>Calc issues on the High Frequency Battery chargers tab. Corrected by adding quantity multiplier</t>
  </si>
  <si>
    <t>Tom Cosgro, Engineering</t>
  </si>
  <si>
    <t>Calc errors, update to 2022 incentive levels</t>
  </si>
  <si>
    <t>Lookup broken for single phase transformers because of bad lookup reference. Adjusted to 2022 incentive levels</t>
  </si>
  <si>
    <t>PY15 incentive update</t>
  </si>
  <si>
    <t>Update to PY15 incentive rate</t>
  </si>
  <si>
    <t>Garrett Broussard, Engineering</t>
  </si>
  <si>
    <t>Battery Charger fix</t>
  </si>
  <si>
    <t>KW calc fix. Calc was only calculating savings for one unit and was missing the multiplier for quantity</t>
  </si>
  <si>
    <t>LCI Bonus Incenitve</t>
  </si>
  <si>
    <t>Added rate code seletion on summary tab and cooresponding PY16 LCI incenitve rates of $0.10/kWh</t>
  </si>
  <si>
    <t>Nick Momenee, Engineering</t>
  </si>
  <si>
    <t>incentive change</t>
  </si>
  <si>
    <t>changed downstream incentive from 0.05--&gt;$0.10/kWh</t>
  </si>
  <si>
    <t>Daniel Bai, Engineering</t>
  </si>
  <si>
    <t>Phase 5 Updates</t>
  </si>
  <si>
    <t>The workbook is currenlty configured for:</t>
  </si>
  <si>
    <t>FirstEnergy</t>
  </si>
  <si>
    <t>Incentive Manager</t>
  </si>
  <si>
    <t>Workbook Headers (Named Range 'Logo')</t>
  </si>
  <si>
    <t>Report Logos (Named Range 'Report Logo')</t>
  </si>
  <si>
    <t>Utility</t>
  </si>
  <si>
    <t>$/kWh</t>
  </si>
  <si>
    <t>$/kW</t>
  </si>
  <si>
    <t>PPL Logo</t>
  </si>
  <si>
    <t>PPL</t>
  </si>
  <si>
    <t>PECO</t>
  </si>
  <si>
    <t>PECO Logo</t>
  </si>
  <si>
    <t>First Energy Logo</t>
  </si>
  <si>
    <t>The building type for the project. If your building type is not listed, please contact the Program</t>
  </si>
  <si>
    <t>PPL Electric</t>
  </si>
  <si>
    <t>FirstEnergy Pennsylvania</t>
  </si>
  <si>
    <t>This estimator is used for estimating savings and does not guarantee the estimated incentive. The methodology presented in this estimator is deemed acceptable for the PPL Electric Business Energy Efficiency Program. However, the assumptions used by the applicant to estimate the annual savings will be reviewed by the Program Team, which is solely responsible for the final determination of the annual energy savings to be used in estimating the incentive amount. The Program also reserves the right to require the applicant to conduct specific measurement and verification activities, including monitoring both before and after the retrofit, and to base the incentive payment on the results of these activities. For any questions, or assistance using this estimate, please call 1-899-432-5501 or email us at pplbusiness@clearesult.com.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</si>
</sst>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43" formatCode="_(* #,##0.00_);_(* \(#,##0.00\);_(* &quot;-&quot;??_);_(@_)"/>
    <numFmt numFmtId="164" formatCode="_(* #,##0_);_(* \(#,##0\);_(* &quot;-&quot;??_);_(@_)"/>
    <numFmt numFmtId="165" formatCode="0.0"/>
    <numFmt numFmtId="166" formatCode="&quot;$&quot;#,##0.00"/>
    <numFmt numFmtId="167" formatCode="0.0000"/>
    <numFmt numFmtId="168" formatCode="&quot;$&quot;#,##0.000"/>
    <numFmt numFmtId="169" formatCode="_(* #,##0.000_);_(* \(#,##0.000\);_(* &quot;-&quot;???_);_(@_)"/>
    <numFmt numFmtId="170" formatCode="#,##0.0000"/>
    <numFmt numFmtId="171" formatCode="_(* #,##0.00000_);_(* \(#,##0.00000\);_(* &quot;-&quot;???_);_(@_)"/>
    <numFmt numFmtId="172" formatCode="#,##0.000000"/>
    <numFmt numFmtId="173" formatCode="0.000000"/>
    <numFmt numFmtId="174" formatCode="0;\-0;&quot;-&quot;"/>
    <numFmt numFmtId="175" formatCode="0.00;\-0.00;&quot;-&quot;"/>
  </numFmts>
  <fonts count="83" x14ac:knownFonts="1">
    <font>
      <sz val="11"/>
      <color theme="1"/>
      <name val="Arial"/>
      <family val="2"/>
      <scheme val="minor"/>
    </font>
    <font>
      <sz val="11"/>
      <color theme="1"/>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sz val="14"/>
      <color theme="5"/>
      <name val="Arial"/>
      <family val="2"/>
      <scheme val="minor"/>
    </font>
    <font>
      <b/>
      <u/>
      <sz val="27"/>
      <color theme="4" tint="-0.249977111117893"/>
      <name val="Arial"/>
      <family val="2"/>
      <scheme val="minor"/>
    </font>
    <font>
      <sz val="10"/>
      <name val="Arial"/>
      <family val="2"/>
    </font>
    <font>
      <sz val="10"/>
      <name val="Arial"/>
      <family val="2"/>
    </font>
    <font>
      <sz val="11"/>
      <name val="Arial"/>
      <family val="2"/>
    </font>
    <font>
      <b/>
      <sz val="11"/>
      <color indexed="13"/>
      <name val="Arial"/>
      <family val="2"/>
    </font>
    <font>
      <b/>
      <sz val="11"/>
      <color rgb="FF0070C0"/>
      <name val="Arial"/>
      <family val="2"/>
    </font>
    <font>
      <sz val="10"/>
      <color theme="6" tint="-0.249977111117893"/>
      <name val="Arial"/>
      <family val="2"/>
    </font>
    <font>
      <u/>
      <sz val="16"/>
      <color theme="5"/>
      <name val="Arial"/>
      <family val="2"/>
    </font>
    <font>
      <b/>
      <sz val="11"/>
      <color theme="6"/>
      <name val="Arial"/>
      <family val="2"/>
    </font>
    <font>
      <b/>
      <u/>
      <sz val="27"/>
      <color theme="5"/>
      <name val="Arial"/>
      <family val="2"/>
      <scheme val="minor"/>
    </font>
    <font>
      <sz val="11"/>
      <color theme="5"/>
      <name val="Arial"/>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color theme="1"/>
      <name val="Arial"/>
      <family val="2"/>
      <scheme val="minor"/>
    </font>
    <font>
      <sz val="9"/>
      <color theme="1"/>
      <name val="Arial"/>
      <family val="2"/>
      <scheme val="minor"/>
    </font>
    <font>
      <sz val="11"/>
      <color theme="1"/>
      <name val="Arial"/>
      <family val="2"/>
    </font>
    <font>
      <b/>
      <sz val="11"/>
      <color theme="5"/>
      <name val="Arial"/>
      <family val="2"/>
      <scheme val="minor"/>
    </font>
    <font>
      <sz val="11"/>
      <name val="Arial"/>
      <family val="2"/>
      <scheme val="minor"/>
    </font>
    <font>
      <b/>
      <sz val="14"/>
      <color theme="5"/>
      <name val="Arial"/>
      <family val="2"/>
      <scheme val="minor"/>
    </font>
    <font>
      <b/>
      <sz val="27"/>
      <color theme="4" tint="-0.249977111117893"/>
      <name val="Arial"/>
      <family val="2"/>
      <scheme val="minor"/>
    </font>
    <font>
      <sz val="16"/>
      <color theme="5"/>
      <name val="Arial"/>
      <family val="2"/>
    </font>
    <font>
      <b/>
      <sz val="18"/>
      <color theme="5"/>
      <name val="Arial"/>
      <family val="2"/>
      <scheme val="minor"/>
    </font>
    <font>
      <sz val="9"/>
      <color theme="1"/>
      <name val="Arial"/>
      <family val="2"/>
    </font>
    <font>
      <b/>
      <sz val="9"/>
      <color theme="1"/>
      <name val="Arial"/>
      <family val="2"/>
    </font>
    <font>
      <b/>
      <sz val="9"/>
      <color rgb="FF000000"/>
      <name val="Arial"/>
      <family val="2"/>
    </font>
    <font>
      <b/>
      <sz val="12"/>
      <color theme="1"/>
      <name val="Arial"/>
      <family val="2"/>
      <scheme val="minor"/>
    </font>
    <font>
      <b/>
      <sz val="12"/>
      <color rgb="FF000000"/>
      <name val="Arial"/>
      <family val="2"/>
      <scheme val="minor"/>
    </font>
    <font>
      <i/>
      <sz val="9"/>
      <color theme="1"/>
      <name val="Arial"/>
      <family val="2"/>
    </font>
    <font>
      <vertAlign val="superscript"/>
      <sz val="9"/>
      <color theme="1"/>
      <name val="Arial"/>
      <family val="2"/>
    </font>
    <font>
      <u/>
      <sz val="11"/>
      <color theme="10"/>
      <name val="Arial"/>
      <family val="2"/>
      <scheme val="minor"/>
    </font>
    <font>
      <b/>
      <sz val="10"/>
      <color rgb="FF1F497D"/>
      <name val="Arial Black"/>
      <family val="2"/>
    </font>
    <font>
      <sz val="10"/>
      <color theme="1"/>
      <name val="Arial"/>
      <family val="2"/>
      <scheme val="minor"/>
    </font>
    <font>
      <sz val="10"/>
      <color theme="5"/>
      <name val="Arial"/>
      <family val="2"/>
      <scheme val="minor"/>
    </font>
    <font>
      <i/>
      <sz val="10"/>
      <color theme="5"/>
      <name val="Arial"/>
      <family val="2"/>
      <scheme val="minor"/>
    </font>
    <font>
      <i/>
      <vertAlign val="subscript"/>
      <sz val="10"/>
      <color theme="5"/>
      <name val="Arial"/>
      <family val="2"/>
      <scheme val="minor"/>
    </font>
    <font>
      <vertAlign val="subscript"/>
      <sz val="10"/>
      <color theme="5"/>
      <name val="Arial"/>
      <family val="2"/>
      <scheme val="minor"/>
    </font>
    <font>
      <sz val="12"/>
      <color theme="7" tint="-0.499984740745262"/>
      <name val="Arial"/>
      <family val="2"/>
      <scheme val="minor"/>
    </font>
    <font>
      <sz val="14"/>
      <color theme="7" tint="-0.499984740745262"/>
      <name val="Arial"/>
      <family val="2"/>
      <scheme val="minor"/>
    </font>
    <font>
      <b/>
      <sz val="14"/>
      <color theme="1"/>
      <name val="Arial"/>
      <family val="2"/>
      <scheme val="minor"/>
    </font>
    <font>
      <sz val="12"/>
      <color theme="1"/>
      <name val="Arial"/>
      <family val="2"/>
      <scheme val="minor"/>
    </font>
    <font>
      <sz val="8"/>
      <name val="Arial"/>
      <family val="2"/>
      <scheme val="minor"/>
    </font>
    <font>
      <sz val="11"/>
      <color rgb="FF000000"/>
      <name val="Arial"/>
      <family val="2"/>
      <scheme val="minor"/>
    </font>
    <font>
      <b/>
      <sz val="11"/>
      <color rgb="FF054B56"/>
      <name val="Arial"/>
      <family val="2"/>
      <scheme val="minor"/>
    </font>
    <font>
      <b/>
      <u/>
      <sz val="18"/>
      <color theme="5"/>
      <name val="Arial"/>
      <family val="2"/>
      <scheme val="minor"/>
    </font>
    <font>
      <sz val="14"/>
      <color theme="0"/>
      <name val="Arial"/>
      <family val="2"/>
      <scheme val="minor"/>
    </font>
    <font>
      <sz val="18"/>
      <color rgb="FF001489"/>
      <name val="Arial"/>
      <family val="2"/>
      <scheme val="minor"/>
    </font>
    <font>
      <b/>
      <u/>
      <sz val="18"/>
      <color rgb="FF001489"/>
      <name val="Arial"/>
      <family val="2"/>
      <scheme val="minor"/>
    </font>
    <font>
      <sz val="11"/>
      <color rgb="FF001489"/>
      <name val="Arial"/>
      <family val="2"/>
      <scheme val="minor"/>
    </font>
    <font>
      <b/>
      <sz val="18"/>
      <color rgb="FF001489"/>
      <name val="Arial"/>
      <family val="2"/>
      <scheme val="minor"/>
    </font>
  </fonts>
  <fills count="7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7" tint="0.59999389629810485"/>
        <bgColor indexed="64"/>
      </patternFill>
    </fill>
    <fill>
      <patternFill patternType="solid">
        <fgColor rgb="FF002060"/>
        <bgColor indexed="64"/>
      </patternFill>
    </fill>
    <fill>
      <patternFill patternType="solid">
        <fgColor rgb="FFBFBFBF"/>
        <bgColor indexed="64"/>
      </patternFill>
    </fill>
    <fill>
      <patternFill patternType="solid">
        <fgColor rgb="FF92D050"/>
        <bgColor indexed="64"/>
      </patternFill>
    </fill>
    <fill>
      <patternFill patternType="solid">
        <fgColor rgb="FFFFF8CA"/>
        <bgColor rgb="FF000000"/>
      </patternFill>
    </fill>
    <fill>
      <patternFill patternType="solid">
        <fgColor theme="5" tint="0.89999084444715716"/>
        <bgColor indexed="64"/>
      </patternFill>
    </fill>
    <fill>
      <patternFill patternType="solid">
        <fgColor rgb="FFBDD3D7"/>
        <bgColor rgb="FF000000"/>
      </patternFill>
    </fill>
    <fill>
      <patternFill patternType="solid">
        <fgColor rgb="FFFFFF00"/>
        <bgColor indexed="64"/>
      </patternFill>
    </fill>
    <fill>
      <patternFill patternType="solid">
        <fgColor rgb="FF1E427C"/>
        <bgColor indexed="64"/>
      </patternFill>
    </fill>
    <fill>
      <patternFill patternType="solid">
        <fgColor rgb="FFFFF8CA"/>
        <bgColor indexed="64"/>
      </patternFill>
    </fill>
    <fill>
      <patternFill patternType="solid">
        <fgColor rgb="FFFFFFCC"/>
        <bgColor indexed="64"/>
      </patternFill>
    </fill>
    <fill>
      <patternFill patternType="solid">
        <fgColor rgb="FF001489"/>
        <bgColor indexed="64"/>
      </patternFill>
    </fill>
    <fill>
      <patternFill patternType="solid">
        <fgColor rgb="FF6E06C1"/>
        <bgColor indexed="64"/>
      </patternFill>
    </fill>
    <fill>
      <patternFill patternType="solid">
        <fgColor rgb="FF001489"/>
        <bgColor rgb="FF000000"/>
      </patternFill>
    </fill>
  </fills>
  <borders count="9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medium">
        <color indexed="64"/>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s>
  <cellStyleXfs count="2001">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0" fontId="21" fillId="0" borderId="0"/>
    <xf numFmtId="0" fontId="21" fillId="0" borderId="0"/>
    <xf numFmtId="0" fontId="21" fillId="0" borderId="0"/>
    <xf numFmtId="0" fontId="1" fillId="0" borderId="0"/>
    <xf numFmtId="9" fontId="21" fillId="0" borderId="0" applyFont="0" applyFill="0" applyBorder="0" applyAlignment="0" applyProtection="0"/>
    <xf numFmtId="9" fontId="21" fillId="0" borderId="0" applyFont="0" applyFill="0" applyBorder="0" applyAlignment="0" applyProtection="0"/>
    <xf numFmtId="0" fontId="20" fillId="0" borderId="0"/>
    <xf numFmtId="0" fontId="30" fillId="37"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30" fillId="45" borderId="0" applyNumberFormat="0" applyBorder="0" applyAlignment="0" applyProtection="0"/>
    <xf numFmtId="0" fontId="30" fillId="40" borderId="0" applyNumberFormat="0" applyBorder="0" applyAlignment="0" applyProtection="0"/>
    <xf numFmtId="0" fontId="30" fillId="43" borderId="0" applyNumberFormat="0" applyBorder="0" applyAlignment="0" applyProtection="0"/>
    <xf numFmtId="0" fontId="30" fillId="46" borderId="0" applyNumberFormat="0" applyBorder="0" applyAlignment="0" applyProtection="0"/>
    <xf numFmtId="0" fontId="31" fillId="47"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1" fillId="52" borderId="0" applyNumberFormat="0" applyBorder="0" applyAlignment="0" applyProtection="0"/>
    <xf numFmtId="0" fontId="31" fillId="53"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0" fontId="31" fillId="54" borderId="0" applyNumberFormat="0" applyBorder="0" applyAlignment="0" applyProtection="0"/>
    <xf numFmtId="0" fontId="32" fillId="38" borderId="0" applyNumberFormat="0" applyBorder="0" applyAlignment="0" applyProtection="0"/>
    <xf numFmtId="0" fontId="33" fillId="55" borderId="23" applyNumberFormat="0" applyAlignment="0" applyProtection="0"/>
    <xf numFmtId="0" fontId="34" fillId="56" borderId="24" applyNumberFormat="0" applyAlignment="0" applyProtection="0"/>
    <xf numFmtId="44" fontId="20" fillId="0" borderId="0" applyFont="0" applyFill="0" applyBorder="0" applyAlignment="0" applyProtection="0"/>
    <xf numFmtId="44" fontId="30" fillId="0" borderId="0" applyFont="0" applyFill="0" applyBorder="0" applyAlignment="0" applyProtection="0"/>
    <xf numFmtId="0" fontId="35" fillId="0" borderId="0" applyNumberFormat="0" applyFill="0" applyBorder="0" applyAlignment="0" applyProtection="0"/>
    <xf numFmtId="0" fontId="36" fillId="39" borderId="0" applyNumberFormat="0" applyBorder="0" applyAlignment="0" applyProtection="0"/>
    <xf numFmtId="0" fontId="37" fillId="0" borderId="25" applyNumberFormat="0" applyFill="0" applyAlignment="0" applyProtection="0"/>
    <xf numFmtId="0" fontId="38" fillId="0" borderId="26" applyNumberFormat="0" applyFill="0" applyAlignment="0" applyProtection="0"/>
    <xf numFmtId="0" fontId="39" fillId="0" borderId="27" applyNumberFormat="0" applyFill="0" applyAlignment="0" applyProtection="0"/>
    <xf numFmtId="0" fontId="39" fillId="0" borderId="0" applyNumberFormat="0" applyFill="0" applyBorder="0" applyAlignment="0" applyProtection="0"/>
    <xf numFmtId="0" fontId="40" fillId="42" borderId="23" applyNumberFormat="0" applyAlignment="0" applyProtection="0"/>
    <xf numFmtId="0" fontId="41" fillId="0" borderId="28" applyNumberFormat="0" applyFill="0" applyAlignment="0" applyProtection="0"/>
    <xf numFmtId="0" fontId="42" fillId="5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58" borderId="29" applyNumberFormat="0" applyFont="0" applyAlignment="0" applyProtection="0"/>
    <xf numFmtId="0" fontId="43" fillId="55" borderId="30" applyNumberFormat="0" applyAlignment="0" applyProtection="0"/>
    <xf numFmtId="9" fontId="20" fillId="0" borderId="0" applyFont="0" applyFill="0" applyBorder="0" applyAlignment="0" applyProtection="0"/>
    <xf numFmtId="0" fontId="44" fillId="0" borderId="0" applyNumberFormat="0" applyFill="0" applyBorder="0" applyAlignment="0" applyProtection="0"/>
    <xf numFmtId="0" fontId="45" fillId="0" borderId="31" applyNumberFormat="0" applyFill="0" applyAlignment="0" applyProtection="0"/>
    <xf numFmtId="0" fontId="46" fillId="0" borderId="0" applyNumberFormat="0" applyFill="0" applyBorder="0" applyAlignment="0" applyProtection="0"/>
    <xf numFmtId="9" fontId="1" fillId="0" borderId="0" applyFont="0" applyFill="0" applyBorder="0" applyAlignment="0" applyProtection="0"/>
    <xf numFmtId="0" fontId="63" fillId="0" borderId="0" applyNumberFormat="0" applyFill="0" applyBorder="0" applyAlignment="0" applyProtection="0"/>
    <xf numFmtId="44" fontId="1" fillId="0" borderId="0" applyFont="0" applyFill="0" applyBorder="0" applyAlignment="0" applyProtection="0"/>
  </cellStyleXfs>
  <cellXfs count="551">
    <xf numFmtId="0" fontId="0" fillId="0" borderId="0" xfId="0"/>
    <xf numFmtId="0" fontId="0" fillId="34" borderId="0" xfId="0" applyFill="1"/>
    <xf numFmtId="0" fontId="0" fillId="34" borderId="0" xfId="0" applyFill="1" applyAlignment="1">
      <alignment horizontal="center"/>
    </xf>
    <xf numFmtId="0" fontId="17" fillId="34" borderId="0" xfId="0" applyFont="1" applyFill="1"/>
    <xf numFmtId="0" fontId="18" fillId="34" borderId="0" xfId="0" applyFont="1" applyFill="1"/>
    <xf numFmtId="0" fontId="28" fillId="34" borderId="0" xfId="0" applyFont="1" applyFill="1"/>
    <xf numFmtId="0" fontId="13" fillId="34" borderId="0" xfId="0" applyFont="1" applyFill="1" applyAlignment="1">
      <alignment horizontal="center" wrapText="1"/>
    </xf>
    <xf numFmtId="0" fontId="0" fillId="34" borderId="0" xfId="0" applyFill="1" applyAlignment="1">
      <alignment vertical="top"/>
    </xf>
    <xf numFmtId="0" fontId="0" fillId="34" borderId="0" xfId="0" applyFill="1" applyAlignment="1">
      <alignment horizontal="left" vertical="top"/>
    </xf>
    <xf numFmtId="0" fontId="0" fillId="34" borderId="0" xfId="0" applyFill="1" applyAlignment="1">
      <alignment horizontal="left" vertical="top" wrapText="1"/>
    </xf>
    <xf numFmtId="0" fontId="0" fillId="34" borderId="0" xfId="0" applyFill="1" applyAlignment="1">
      <alignment vertical="top" wrapText="1"/>
    </xf>
    <xf numFmtId="0" fontId="16" fillId="34" borderId="0" xfId="0" applyFont="1" applyFill="1" applyAlignment="1">
      <alignment vertical="top"/>
    </xf>
    <xf numFmtId="0" fontId="16" fillId="34" borderId="0" xfId="0" applyFont="1" applyFill="1"/>
    <xf numFmtId="165" fontId="0" fillId="34" borderId="32" xfId="0" applyNumberFormat="1" applyFill="1" applyBorder="1" applyAlignment="1">
      <alignment horizontal="left" vertical="center"/>
    </xf>
    <xf numFmtId="0" fontId="16" fillId="34" borderId="33" xfId="0" applyFont="1" applyFill="1" applyBorder="1" applyAlignment="1">
      <alignment horizontal="center" vertical="center"/>
    </xf>
    <xf numFmtId="0" fontId="16" fillId="34" borderId="11" xfId="0" applyFont="1" applyFill="1" applyBorder="1" applyAlignment="1">
      <alignment horizontal="center" vertical="center"/>
    </xf>
    <xf numFmtId="0" fontId="16" fillId="34" borderId="11" xfId="0" applyFont="1" applyFill="1" applyBorder="1" applyAlignment="1">
      <alignment horizontal="center" vertical="center" wrapText="1"/>
    </xf>
    <xf numFmtId="0" fontId="16" fillId="34" borderId="34" xfId="0" applyFont="1" applyFill="1" applyBorder="1" applyAlignment="1">
      <alignment horizontal="center" vertical="center"/>
    </xf>
    <xf numFmtId="165" fontId="0" fillId="34" borderId="18" xfId="0" applyNumberFormat="1" applyFill="1" applyBorder="1" applyAlignment="1">
      <alignment horizontal="center" vertical="center"/>
    </xf>
    <xf numFmtId="14" fontId="0" fillId="34" borderId="10" xfId="0" applyNumberFormat="1" applyFill="1" applyBorder="1" applyAlignment="1">
      <alignment horizontal="left" vertical="center" indent="1"/>
    </xf>
    <xf numFmtId="0" fontId="0" fillId="34" borderId="10" xfId="0" applyFill="1" applyBorder="1" applyAlignment="1">
      <alignment horizontal="left" vertical="center" wrapText="1" indent="1"/>
    </xf>
    <xf numFmtId="0" fontId="0" fillId="34" borderId="16" xfId="0" applyFill="1" applyBorder="1" applyAlignment="1">
      <alignment horizontal="left" vertical="center" indent="1"/>
    </xf>
    <xf numFmtId="0" fontId="0" fillId="34" borderId="10" xfId="0" applyFill="1" applyBorder="1" applyAlignment="1">
      <alignment horizontal="left" vertical="center" indent="1"/>
    </xf>
    <xf numFmtId="0" fontId="0" fillId="34" borderId="35" xfId="0" applyFill="1" applyBorder="1" applyAlignment="1">
      <alignment horizontal="left" vertical="center" indent="1"/>
    </xf>
    <xf numFmtId="0" fontId="0" fillId="34" borderId="35" xfId="0" applyFill="1" applyBorder="1" applyAlignment="1">
      <alignment horizontal="left" vertical="center" wrapText="1" indent="1"/>
    </xf>
    <xf numFmtId="0" fontId="0" fillId="34" borderId="36" xfId="0" applyFill="1" applyBorder="1" applyAlignment="1">
      <alignment horizontal="left" vertical="center" indent="1"/>
    </xf>
    <xf numFmtId="0" fontId="16" fillId="34" borderId="0" xfId="0" applyFont="1" applyFill="1" applyAlignment="1">
      <alignment horizontal="left" vertical="top"/>
    </xf>
    <xf numFmtId="0" fontId="0" fillId="34" borderId="22" xfId="0" applyFill="1" applyBorder="1" applyAlignment="1">
      <alignment vertical="top"/>
    </xf>
    <xf numFmtId="0" fontId="16" fillId="34" borderId="0" xfId="0" applyFont="1" applyFill="1" applyAlignment="1">
      <alignment horizontal="left" vertical="top" indent="18"/>
    </xf>
    <xf numFmtId="0" fontId="0" fillId="34" borderId="37" xfId="0" applyFill="1" applyBorder="1" applyAlignment="1">
      <alignment vertical="top"/>
    </xf>
    <xf numFmtId="0" fontId="16" fillId="34" borderId="0" xfId="0" applyFont="1" applyFill="1" applyAlignment="1">
      <alignment horizontal="left" vertical="top" wrapText="1" indent="18"/>
    </xf>
    <xf numFmtId="0" fontId="0" fillId="34" borderId="0" xfId="0" applyFill="1" applyAlignment="1">
      <alignment horizontal="left" vertical="center" indent="1"/>
    </xf>
    <xf numFmtId="0" fontId="16" fillId="34" borderId="0" xfId="0" applyFont="1" applyFill="1" applyAlignment="1">
      <alignment horizontal="center" vertical="center" wrapText="1"/>
    </xf>
    <xf numFmtId="43" fontId="16" fillId="34" borderId="0" xfId="1" applyFont="1" applyFill="1" applyBorder="1" applyAlignment="1">
      <alignment horizontal="center" vertical="center" wrapText="1"/>
    </xf>
    <xf numFmtId="2" fontId="0" fillId="34" borderId="0" xfId="0" applyNumberFormat="1" applyFill="1" applyAlignment="1">
      <alignment horizontal="left" vertical="center" indent="1"/>
    </xf>
    <xf numFmtId="0" fontId="0" fillId="34" borderId="40" xfId="0" applyFill="1" applyBorder="1" applyAlignment="1">
      <alignment vertical="center"/>
    </xf>
    <xf numFmtId="0" fontId="0" fillId="34" borderId="40" xfId="0" applyFill="1" applyBorder="1"/>
    <xf numFmtId="0" fontId="18" fillId="36" borderId="38" xfId="0" applyFont="1" applyFill="1" applyBorder="1"/>
    <xf numFmtId="0" fontId="49" fillId="34" borderId="40" xfId="0" applyFont="1" applyFill="1" applyBorder="1" applyAlignment="1">
      <alignment vertical="center"/>
    </xf>
    <xf numFmtId="0" fontId="0" fillId="34" borderId="40" xfId="0" applyFill="1" applyBorder="1" applyAlignment="1">
      <alignment horizontal="left" vertical="center"/>
    </xf>
    <xf numFmtId="0" fontId="0" fillId="34" borderId="40" xfId="0" applyFill="1" applyBorder="1" applyAlignment="1">
      <alignment horizontal="left"/>
    </xf>
    <xf numFmtId="0" fontId="0" fillId="34" borderId="41" xfId="0" applyFill="1" applyBorder="1" applyAlignment="1">
      <alignment horizontal="left"/>
    </xf>
    <xf numFmtId="0" fontId="0" fillId="34" borderId="41" xfId="0" applyFill="1" applyBorder="1"/>
    <xf numFmtId="0" fontId="0" fillId="34" borderId="42" xfId="0" applyFill="1" applyBorder="1"/>
    <xf numFmtId="0" fontId="0" fillId="34" borderId="0" xfId="0" applyFill="1" applyAlignment="1">
      <alignment horizontal="left"/>
    </xf>
    <xf numFmtId="0" fontId="0" fillId="33" borderId="11" xfId="0" applyFill="1" applyBorder="1" applyAlignment="1" applyProtection="1">
      <alignment horizontal="left" vertical="center"/>
      <protection locked="0"/>
    </xf>
    <xf numFmtId="0" fontId="27" fillId="34" borderId="0" xfId="43" applyFont="1" applyFill="1" applyAlignment="1" applyProtection="1">
      <alignment vertical="center"/>
      <protection hidden="1"/>
    </xf>
    <xf numFmtId="0" fontId="24" fillId="34" borderId="0" xfId="43" applyFont="1" applyFill="1" applyAlignment="1" applyProtection="1">
      <alignment vertical="center" wrapText="1"/>
      <protection hidden="1"/>
    </xf>
    <xf numFmtId="0" fontId="27" fillId="34" borderId="0" xfId="43" applyFont="1" applyFill="1" applyAlignment="1" applyProtection="1">
      <alignment vertical="center" wrapText="1"/>
      <protection hidden="1"/>
    </xf>
    <xf numFmtId="0" fontId="51" fillId="34" borderId="0" xfId="0" applyFont="1" applyFill="1"/>
    <xf numFmtId="0" fontId="52" fillId="34" borderId="0" xfId="0" applyFont="1" applyFill="1"/>
    <xf numFmtId="0" fontId="18" fillId="36" borderId="63" xfId="0" applyFont="1" applyFill="1" applyBorder="1"/>
    <xf numFmtId="0" fontId="0" fillId="34" borderId="39" xfId="0" applyFill="1" applyBorder="1" applyAlignment="1">
      <alignment vertical="center"/>
    </xf>
    <xf numFmtId="0" fontId="0" fillId="34" borderId="41" xfId="0" applyFill="1" applyBorder="1" applyAlignment="1">
      <alignment vertical="center"/>
    </xf>
    <xf numFmtId="0" fontId="0" fillId="34" borderId="39" xfId="0" applyFill="1" applyBorder="1" applyAlignment="1">
      <alignment horizontal="left" vertical="center"/>
    </xf>
    <xf numFmtId="0" fontId="56" fillId="0" borderId="65" xfId="0" applyFont="1" applyBorder="1" applyAlignment="1">
      <alignment horizontal="center" vertical="center" wrapText="1"/>
    </xf>
    <xf numFmtId="3" fontId="56" fillId="0" borderId="65" xfId="0" applyNumberFormat="1" applyFont="1" applyBorder="1" applyAlignment="1">
      <alignment horizontal="center" vertical="center" wrapText="1"/>
    </xf>
    <xf numFmtId="49" fontId="0" fillId="33" borderId="15" xfId="0" applyNumberFormat="1" applyFill="1" applyBorder="1" applyAlignment="1" applyProtection="1">
      <alignment horizontal="center" vertical="center"/>
      <protection locked="0"/>
    </xf>
    <xf numFmtId="49" fontId="1" fillId="33" borderId="15" xfId="1" applyNumberFormat="1" applyFont="1" applyFill="1" applyBorder="1" applyAlignment="1" applyProtection="1">
      <alignment horizontal="center" vertical="center"/>
      <protection locked="0"/>
    </xf>
    <xf numFmtId="49" fontId="1" fillId="33" borderId="19" xfId="1" applyNumberFormat="1" applyFont="1" applyFill="1" applyBorder="1" applyAlignment="1" applyProtection="1">
      <alignment horizontal="center" vertical="center"/>
      <protection locked="0"/>
    </xf>
    <xf numFmtId="0" fontId="58" fillId="61" borderId="65" xfId="0" applyFont="1" applyFill="1" applyBorder="1" applyAlignment="1">
      <alignment horizontal="center" vertical="center" wrapText="1"/>
    </xf>
    <xf numFmtId="0" fontId="57" fillId="61" borderId="38" xfId="0" applyFont="1" applyFill="1" applyBorder="1" applyAlignment="1">
      <alignment horizontal="left" vertical="center" wrapText="1"/>
    </xf>
    <xf numFmtId="0" fontId="18" fillId="36" borderId="63" xfId="0" applyFont="1" applyFill="1" applyBorder="1" applyAlignment="1">
      <alignment vertical="center"/>
    </xf>
    <xf numFmtId="0" fontId="51" fillId="34" borderId="40" xfId="0" applyFont="1" applyFill="1" applyBorder="1"/>
    <xf numFmtId="0" fontId="0" fillId="0" borderId="66" xfId="0" applyBorder="1"/>
    <xf numFmtId="0" fontId="48" fillId="34" borderId="0" xfId="0" applyFont="1" applyFill="1" applyAlignment="1" applyProtection="1">
      <alignment vertical="center"/>
      <protection hidden="1"/>
    </xf>
    <xf numFmtId="0" fontId="0" fillId="34" borderId="0" xfId="0" applyFill="1" applyProtection="1">
      <protection hidden="1"/>
    </xf>
    <xf numFmtId="0" fontId="16" fillId="34" borderId="0" xfId="0" applyFont="1" applyFill="1" applyAlignment="1" applyProtection="1">
      <alignment horizontal="center"/>
      <protection hidden="1"/>
    </xf>
    <xf numFmtId="0" fontId="0" fillId="34" borderId="0" xfId="0" applyFill="1" applyAlignment="1" applyProtection="1">
      <alignment vertical="center"/>
      <protection hidden="1"/>
    </xf>
    <xf numFmtId="0" fontId="0" fillId="35" borderId="55" xfId="0" applyFill="1" applyBorder="1" applyAlignment="1" applyProtection="1">
      <alignment horizontal="left" vertical="center"/>
      <protection hidden="1"/>
    </xf>
    <xf numFmtId="0" fontId="0" fillId="35" borderId="51" xfId="0" applyFill="1" applyBorder="1" applyAlignment="1" applyProtection="1">
      <alignment horizontal="left" vertical="center"/>
      <protection hidden="1"/>
    </xf>
    <xf numFmtId="0" fontId="0" fillId="35" borderId="56" xfId="0" applyFill="1" applyBorder="1" applyAlignment="1" applyProtection="1">
      <alignment horizontal="left" vertical="center"/>
      <protection hidden="1"/>
    </xf>
    <xf numFmtId="0" fontId="0" fillId="34" borderId="0" xfId="0" applyFill="1" applyAlignment="1" applyProtection="1">
      <alignment horizontal="left" vertical="center" indent="1"/>
      <protection hidden="1"/>
    </xf>
    <xf numFmtId="164" fontId="1" fillId="34" borderId="0" xfId="1" applyNumberFormat="1" applyFont="1" applyFill="1" applyBorder="1" applyAlignment="1" applyProtection="1">
      <alignment horizontal="left" vertical="center" indent="1"/>
      <protection hidden="1"/>
    </xf>
    <xf numFmtId="0" fontId="47" fillId="34" borderId="0" xfId="0" applyFont="1" applyFill="1" applyAlignment="1" applyProtection="1">
      <alignment horizontal="left"/>
      <protection hidden="1"/>
    </xf>
    <xf numFmtId="0" fontId="0" fillId="33" borderId="10" xfId="0" applyFill="1" applyBorder="1" applyAlignment="1" applyProtection="1">
      <alignment horizontal="center" vertical="center"/>
      <protection locked="0"/>
    </xf>
    <xf numFmtId="0" fontId="0" fillId="34" borderId="0" xfId="0" applyFill="1" applyAlignment="1" applyProtection="1">
      <alignment vertical="center" wrapText="1"/>
      <protection hidden="1"/>
    </xf>
    <xf numFmtId="0" fontId="0" fillId="34" borderId="0" xfId="0" applyFill="1" applyAlignment="1" applyProtection="1">
      <alignment horizontal="left" vertical="center"/>
      <protection hidden="1"/>
    </xf>
    <xf numFmtId="0" fontId="0" fillId="35" borderId="51" xfId="0" applyFill="1" applyBorder="1" applyAlignment="1" applyProtection="1">
      <alignment vertical="center"/>
      <protection hidden="1"/>
    </xf>
    <xf numFmtId="0" fontId="0" fillId="35" borderId="56" xfId="0" applyFill="1" applyBorder="1" applyAlignment="1" applyProtection="1">
      <alignment vertical="center"/>
      <protection hidden="1"/>
    </xf>
    <xf numFmtId="0" fontId="0" fillId="33" borderId="15" xfId="0" applyFill="1" applyBorder="1" applyAlignment="1" applyProtection="1">
      <alignment vertical="center"/>
      <protection locked="0"/>
    </xf>
    <xf numFmtId="0" fontId="0" fillId="33" borderId="19" xfId="0" applyFill="1" applyBorder="1" applyAlignment="1" applyProtection="1">
      <alignment vertical="center"/>
      <protection locked="0"/>
    </xf>
    <xf numFmtId="0" fontId="0" fillId="34" borderId="22" xfId="0" applyFill="1" applyBorder="1" applyProtection="1">
      <protection hidden="1"/>
    </xf>
    <xf numFmtId="14" fontId="0" fillId="34" borderId="22" xfId="0" applyNumberFormat="1" applyFill="1" applyBorder="1" applyProtection="1">
      <protection hidden="1"/>
    </xf>
    <xf numFmtId="0" fontId="0" fillId="60" borderId="0" xfId="0" applyFill="1" applyProtection="1">
      <protection hidden="1"/>
    </xf>
    <xf numFmtId="0" fontId="53" fillId="34" borderId="0" xfId="0" applyFont="1" applyFill="1" applyProtection="1">
      <protection hidden="1"/>
    </xf>
    <xf numFmtId="0" fontId="19" fillId="34" borderId="0" xfId="0" applyFont="1" applyFill="1" applyProtection="1">
      <protection hidden="1"/>
    </xf>
    <xf numFmtId="0" fontId="25" fillId="0" borderId="0" xfId="43" applyFont="1" applyAlignment="1" applyProtection="1">
      <alignment vertical="center"/>
      <protection hidden="1"/>
    </xf>
    <xf numFmtId="0" fontId="25" fillId="34" borderId="0" xfId="43" applyFont="1" applyFill="1" applyAlignment="1" applyProtection="1">
      <alignment vertical="center"/>
      <protection hidden="1"/>
    </xf>
    <xf numFmtId="0" fontId="16" fillId="34" borderId="0" xfId="0" applyFont="1" applyFill="1" applyAlignment="1" applyProtection="1">
      <alignment horizontal="left"/>
      <protection hidden="1"/>
    </xf>
    <xf numFmtId="0" fontId="50" fillId="34" borderId="0" xfId="0" applyFont="1" applyFill="1" applyAlignment="1" applyProtection="1">
      <alignment vertical="center" wrapText="1"/>
      <protection hidden="1"/>
    </xf>
    <xf numFmtId="0" fontId="0" fillId="35" borderId="10" xfId="0" applyFill="1" applyBorder="1" applyAlignment="1" applyProtection="1">
      <alignment horizontal="left" vertical="center" wrapText="1" indent="1"/>
      <protection hidden="1"/>
    </xf>
    <xf numFmtId="0" fontId="0" fillId="34" borderId="16" xfId="0" applyFill="1" applyBorder="1" applyAlignment="1" applyProtection="1">
      <alignment vertical="center" wrapText="1"/>
      <protection hidden="1"/>
    </xf>
    <xf numFmtId="0" fontId="0" fillId="34" borderId="18" xfId="0" applyFill="1" applyBorder="1" applyAlignment="1" applyProtection="1">
      <alignment vertical="center" wrapText="1"/>
      <protection hidden="1"/>
    </xf>
    <xf numFmtId="0" fontId="22" fillId="34" borderId="0" xfId="43" applyFont="1" applyFill="1" applyAlignment="1" applyProtection="1">
      <alignment horizontal="left" vertical="center" wrapText="1"/>
      <protection hidden="1"/>
    </xf>
    <xf numFmtId="0" fontId="22" fillId="34" borderId="0" xfId="43" applyFont="1" applyFill="1" applyAlignment="1" applyProtection="1">
      <alignment vertical="center" wrapText="1"/>
      <protection hidden="1"/>
    </xf>
    <xf numFmtId="0" fontId="0" fillId="33" borderId="10" xfId="0" applyFill="1" applyBorder="1" applyAlignment="1" applyProtection="1">
      <alignment horizontal="left" vertical="center" indent="1"/>
      <protection hidden="1"/>
    </xf>
    <xf numFmtId="0" fontId="52" fillId="34" borderId="0" xfId="0" applyFont="1" applyFill="1" applyAlignment="1">
      <alignment horizontal="left"/>
    </xf>
    <xf numFmtId="0" fontId="58" fillId="61" borderId="45" xfId="0" applyFont="1" applyFill="1" applyBorder="1" applyAlignment="1">
      <alignment horizontal="center" vertical="center" wrapText="1"/>
    </xf>
    <xf numFmtId="0" fontId="60" fillId="0" borderId="0" xfId="0" applyFont="1" applyAlignment="1">
      <alignment vertical="center"/>
    </xf>
    <xf numFmtId="0" fontId="57" fillId="0" borderId="38" xfId="0" applyFont="1" applyBorder="1" applyAlignment="1">
      <alignment horizontal="justify" vertical="center" wrapText="1"/>
    </xf>
    <xf numFmtId="0" fontId="56" fillId="0" borderId="45" xfId="0" applyFont="1" applyBorder="1" applyAlignment="1">
      <alignment horizontal="center" vertical="center" wrapText="1"/>
    </xf>
    <xf numFmtId="0" fontId="57" fillId="0" borderId="64" xfId="0" applyFont="1" applyBorder="1" applyAlignment="1">
      <alignment horizontal="justify" vertical="center" wrapText="1"/>
    </xf>
    <xf numFmtId="0" fontId="57" fillId="61" borderId="38" xfId="0" applyFont="1" applyFill="1" applyBorder="1" applyAlignment="1">
      <alignment horizontal="justify" vertical="center" wrapText="1"/>
    </xf>
    <xf numFmtId="0" fontId="56" fillId="0" borderId="64" xfId="0" applyFont="1" applyBorder="1" applyAlignment="1">
      <alignment horizontal="justify" vertical="center" wrapText="1"/>
    </xf>
    <xf numFmtId="0" fontId="61" fillId="0" borderId="65" xfId="0" applyFont="1" applyBorder="1" applyAlignment="1">
      <alignment horizontal="center" vertical="center" wrapText="1"/>
    </xf>
    <xf numFmtId="0" fontId="56" fillId="0" borderId="69" xfId="0" applyFont="1" applyBorder="1" applyAlignment="1">
      <alignment horizontal="center" vertical="center" wrapText="1"/>
    </xf>
    <xf numFmtId="0" fontId="63" fillId="0" borderId="65" xfId="1999" applyBorder="1" applyAlignment="1">
      <alignment horizontal="center" vertical="center" wrapText="1"/>
    </xf>
    <xf numFmtId="0" fontId="63" fillId="0" borderId="0" xfId="1999" applyAlignment="1">
      <alignment horizontal="justify" vertical="center"/>
    </xf>
    <xf numFmtId="0" fontId="58" fillId="61" borderId="64" xfId="0" applyFont="1" applyFill="1" applyBorder="1" applyAlignment="1">
      <alignment horizontal="center" vertical="center" wrapText="1"/>
    </xf>
    <xf numFmtId="0" fontId="58" fillId="61" borderId="65" xfId="0" applyFont="1" applyFill="1" applyBorder="1" applyAlignment="1">
      <alignment horizontal="justify" vertical="center" wrapText="1"/>
    </xf>
    <xf numFmtId="0" fontId="56" fillId="0" borderId="64" xfId="0" applyFont="1" applyBorder="1" applyAlignment="1">
      <alignment horizontal="center" vertical="center" wrapText="1"/>
    </xf>
    <xf numFmtId="0" fontId="65" fillId="34" borderId="0" xfId="0" applyFont="1" applyFill="1" applyAlignment="1">
      <alignment horizontal="justify" vertical="center"/>
    </xf>
    <xf numFmtId="0" fontId="64" fillId="34" borderId="0" xfId="0" applyFont="1" applyFill="1" applyAlignment="1">
      <alignment horizontal="justify" vertical="center"/>
    </xf>
    <xf numFmtId="0" fontId="61" fillId="34" borderId="0" xfId="0" applyFont="1" applyFill="1" applyAlignment="1">
      <alignment vertical="center" wrapText="1"/>
    </xf>
    <xf numFmtId="0" fontId="56" fillId="34" borderId="0" xfId="0" applyFont="1" applyFill="1" applyAlignment="1">
      <alignment vertical="center" wrapText="1"/>
    </xf>
    <xf numFmtId="0" fontId="29" fillId="34" borderId="0" xfId="0" applyFont="1" applyFill="1"/>
    <xf numFmtId="0" fontId="29" fillId="34" borderId="0" xfId="0" applyFont="1" applyFill="1" applyAlignment="1">
      <alignment vertical="center"/>
    </xf>
    <xf numFmtId="2" fontId="29" fillId="34" borderId="0" xfId="0" applyNumberFormat="1" applyFont="1" applyFill="1" applyAlignment="1">
      <alignment horizontal="left" vertical="center" indent="1"/>
    </xf>
    <xf numFmtId="0" fontId="29" fillId="34" borderId="0" xfId="0" applyFont="1" applyFill="1" applyAlignment="1">
      <alignment horizontal="left" vertical="center" indent="1"/>
    </xf>
    <xf numFmtId="0" fontId="0" fillId="34" borderId="0" xfId="0" applyFill="1" applyAlignment="1">
      <alignment horizontal="left" vertical="center"/>
    </xf>
    <xf numFmtId="0" fontId="29" fillId="34" borderId="0" xfId="0" applyFont="1" applyFill="1" applyAlignment="1">
      <alignment horizontal="left"/>
    </xf>
    <xf numFmtId="0" fontId="0" fillId="34" borderId="0" xfId="0" applyFill="1" applyAlignment="1">
      <alignment horizontal="left" vertical="center" wrapText="1"/>
    </xf>
    <xf numFmtId="10" fontId="0" fillId="34" borderId="0" xfId="1998" applyNumberFormat="1" applyFont="1" applyFill="1" applyBorder="1" applyAlignment="1">
      <alignment horizontal="left" vertical="center"/>
    </xf>
    <xf numFmtId="10" fontId="0" fillId="34" borderId="0" xfId="1998" applyNumberFormat="1" applyFont="1" applyFill="1" applyBorder="1" applyAlignment="1">
      <alignment horizontal="left"/>
    </xf>
    <xf numFmtId="0" fontId="29" fillId="34" borderId="0" xfId="0" applyFont="1" applyFill="1" applyAlignment="1">
      <alignment horizontal="left" vertical="center" wrapText="1"/>
    </xf>
    <xf numFmtId="0" fontId="29" fillId="34" borderId="0" xfId="0" applyFont="1" applyFill="1" applyAlignment="1">
      <alignment wrapText="1"/>
    </xf>
    <xf numFmtId="3" fontId="0" fillId="34" borderId="0" xfId="0" applyNumberFormat="1" applyFill="1"/>
    <xf numFmtId="4" fontId="0" fillId="34" borderId="0" xfId="0" applyNumberFormat="1" applyFill="1"/>
    <xf numFmtId="2" fontId="0" fillId="34" borderId="0" xfId="0" applyNumberFormat="1" applyFill="1"/>
    <xf numFmtId="0" fontId="51" fillId="34" borderId="0" xfId="0" applyFont="1" applyFill="1" applyAlignment="1">
      <alignment horizontal="left" vertical="center" wrapText="1"/>
    </xf>
    <xf numFmtId="0" fontId="57" fillId="34" borderId="0" xfId="0" applyFont="1" applyFill="1" applyAlignment="1">
      <alignment horizontal="left" vertical="center" wrapText="1"/>
    </xf>
    <xf numFmtId="0" fontId="58" fillId="34" borderId="0" xfId="0" applyFont="1" applyFill="1" applyAlignment="1">
      <alignment horizontal="center" vertical="center" wrapText="1"/>
    </xf>
    <xf numFmtId="0" fontId="56" fillId="34" borderId="0" xfId="0" applyFont="1" applyFill="1" applyAlignment="1">
      <alignment horizontal="left" vertical="center" wrapText="1"/>
    </xf>
    <xf numFmtId="0" fontId="56" fillId="34" borderId="0" xfId="0" applyFont="1" applyFill="1" applyAlignment="1">
      <alignment horizontal="center" vertical="center" wrapText="1"/>
    </xf>
    <xf numFmtId="0" fontId="18" fillId="34" borderId="0" xfId="0" applyFont="1" applyFill="1" applyAlignment="1">
      <alignment horizontal="left"/>
    </xf>
    <xf numFmtId="0" fontId="18" fillId="34" borderId="0" xfId="0" applyFont="1" applyFill="1" applyAlignment="1">
      <alignment vertical="center"/>
    </xf>
    <xf numFmtId="0" fontId="0" fillId="34" borderId="38" xfId="0" applyFill="1" applyBorder="1" applyAlignment="1">
      <alignment horizontal="left" vertical="center"/>
    </xf>
    <xf numFmtId="0" fontId="65" fillId="34" borderId="15" xfId="0" applyFont="1" applyFill="1" applyBorder="1" applyAlignment="1">
      <alignment horizontal="left" vertical="center"/>
    </xf>
    <xf numFmtId="0" fontId="65" fillId="34" borderId="10" xfId="0" applyFont="1" applyFill="1" applyBorder="1" applyAlignment="1">
      <alignment horizontal="left" vertical="center"/>
    </xf>
    <xf numFmtId="0" fontId="65" fillId="34" borderId="17" xfId="0" applyFont="1" applyFill="1" applyBorder="1" applyAlignment="1">
      <alignment horizontal="left" vertical="center"/>
    </xf>
    <xf numFmtId="0" fontId="65" fillId="34" borderId="19" xfId="0" applyFont="1" applyFill="1" applyBorder="1" applyAlignment="1">
      <alignment horizontal="left" vertical="center"/>
    </xf>
    <xf numFmtId="0" fontId="65" fillId="34" borderId="20" xfId="0" applyFont="1" applyFill="1" applyBorder="1" applyAlignment="1">
      <alignment horizontal="left" vertical="center"/>
    </xf>
    <xf numFmtId="0" fontId="66" fillId="36" borderId="49" xfId="0" applyFont="1" applyFill="1" applyBorder="1" applyAlignment="1">
      <alignment vertical="center"/>
    </xf>
    <xf numFmtId="0" fontId="66" fillId="36" borderId="58" xfId="0" applyFont="1" applyFill="1" applyBorder="1" applyAlignment="1">
      <alignment vertical="center"/>
    </xf>
    <xf numFmtId="0" fontId="67" fillId="36" borderId="58" xfId="0" applyFont="1" applyFill="1" applyBorder="1" applyAlignment="1">
      <alignment vertical="center"/>
    </xf>
    <xf numFmtId="0" fontId="66" fillId="36" borderId="59" xfId="0" applyFont="1" applyFill="1" applyBorder="1" applyAlignment="1">
      <alignment vertical="center"/>
    </xf>
    <xf numFmtId="0" fontId="65" fillId="34" borderId="12" xfId="0" applyFont="1" applyFill="1" applyBorder="1" applyAlignment="1">
      <alignment horizontal="left" vertical="center"/>
    </xf>
    <xf numFmtId="0" fontId="65" fillId="34" borderId="13" xfId="0" applyFont="1" applyFill="1" applyBorder="1" applyAlignment="1">
      <alignment horizontal="left" vertical="center"/>
    </xf>
    <xf numFmtId="9" fontId="65" fillId="34" borderId="10" xfId="1998" applyFont="1" applyFill="1" applyBorder="1" applyAlignment="1" applyProtection="1">
      <alignment horizontal="left" vertical="center"/>
    </xf>
    <xf numFmtId="9" fontId="65" fillId="34" borderId="20" xfId="1998" applyFont="1" applyFill="1" applyBorder="1" applyAlignment="1" applyProtection="1">
      <alignment horizontal="left" vertical="center"/>
    </xf>
    <xf numFmtId="10" fontId="56" fillId="0" borderId="65" xfId="1998" applyNumberFormat="1" applyFont="1" applyBorder="1" applyAlignment="1">
      <alignment horizontal="center" vertical="center" wrapText="1"/>
    </xf>
    <xf numFmtId="0" fontId="66" fillId="34" borderId="0" xfId="0" applyFont="1" applyFill="1" applyAlignment="1">
      <alignment vertical="center"/>
    </xf>
    <xf numFmtId="0" fontId="67" fillId="34" borderId="0" xfId="0" applyFont="1" applyFill="1" applyAlignment="1">
      <alignment vertical="center"/>
    </xf>
    <xf numFmtId="0" fontId="65" fillId="34" borderId="10" xfId="1998" applyNumberFormat="1" applyFont="1" applyFill="1" applyBorder="1" applyAlignment="1" applyProtection="1">
      <alignment horizontal="left" vertical="center"/>
    </xf>
    <xf numFmtId="0" fontId="65" fillId="34" borderId="0" xfId="0" applyFont="1" applyFill="1" applyAlignment="1">
      <alignment horizontal="left" vertical="center"/>
    </xf>
    <xf numFmtId="0" fontId="65" fillId="34" borderId="20" xfId="1998" applyNumberFormat="1" applyFont="1" applyFill="1" applyBorder="1" applyAlignment="1" applyProtection="1">
      <alignment horizontal="left" vertical="center"/>
    </xf>
    <xf numFmtId="0" fontId="57" fillId="61" borderId="63" xfId="0" applyFont="1" applyFill="1" applyBorder="1" applyAlignment="1">
      <alignment horizontal="justify" vertical="center" wrapText="1"/>
    </xf>
    <xf numFmtId="0" fontId="58" fillId="61" borderId="64" xfId="0" applyFont="1" applyFill="1" applyBorder="1" applyAlignment="1">
      <alignment horizontal="justify" vertical="center" wrapText="1"/>
    </xf>
    <xf numFmtId="0" fontId="0" fillId="33" borderId="10" xfId="0" applyFill="1" applyBorder="1" applyAlignment="1" applyProtection="1">
      <alignment vertical="center"/>
      <protection locked="0"/>
    </xf>
    <xf numFmtId="0" fontId="0" fillId="35" borderId="67" xfId="0" applyFill="1" applyBorder="1" applyAlignment="1" applyProtection="1">
      <alignment vertical="center"/>
      <protection hidden="1"/>
    </xf>
    <xf numFmtId="0" fontId="0" fillId="33" borderId="20" xfId="0" applyFill="1" applyBorder="1" applyAlignment="1" applyProtection="1">
      <alignment vertical="center"/>
      <protection locked="0"/>
    </xf>
    <xf numFmtId="0" fontId="55" fillId="34" borderId="0" xfId="0" applyFont="1" applyFill="1" applyProtection="1">
      <protection hidden="1"/>
    </xf>
    <xf numFmtId="167" fontId="0" fillId="0" borderId="0" xfId="0" applyNumberFormat="1"/>
    <xf numFmtId="167" fontId="0" fillId="0" borderId="66" xfId="0" applyNumberFormat="1" applyBorder="1"/>
    <xf numFmtId="2" fontId="0" fillId="34" borderId="18" xfId="0" applyNumberFormat="1" applyFill="1" applyBorder="1" applyAlignment="1">
      <alignment horizontal="center" vertical="center"/>
    </xf>
    <xf numFmtId="0" fontId="72" fillId="34" borderId="10" xfId="0" applyFont="1" applyFill="1" applyBorder="1" applyAlignment="1">
      <alignment horizontal="right"/>
    </xf>
    <xf numFmtId="166" fontId="72" fillId="34" borderId="10" xfId="0" applyNumberFormat="1" applyFont="1" applyFill="1" applyBorder="1"/>
    <xf numFmtId="168" fontId="72" fillId="34" borderId="10" xfId="0" applyNumberFormat="1" applyFont="1" applyFill="1" applyBorder="1"/>
    <xf numFmtId="14" fontId="0" fillId="34" borderId="0" xfId="0" applyNumberFormat="1" applyFill="1" applyAlignment="1">
      <alignment horizontal="left"/>
    </xf>
    <xf numFmtId="3" fontId="0" fillId="34" borderId="0" xfId="0" applyNumberFormat="1" applyFill="1" applyProtection="1">
      <protection hidden="1"/>
    </xf>
    <xf numFmtId="165" fontId="0" fillId="34" borderId="22" xfId="0" applyNumberFormat="1" applyFill="1" applyBorder="1" applyProtection="1">
      <protection hidden="1"/>
    </xf>
    <xf numFmtId="0" fontId="0" fillId="34" borderId="18" xfId="0" applyFill="1" applyBorder="1" applyAlignment="1" applyProtection="1">
      <alignment vertical="center"/>
      <protection hidden="1"/>
    </xf>
    <xf numFmtId="0" fontId="0" fillId="34" borderId="10" xfId="0" applyFill="1" applyBorder="1" applyProtection="1">
      <protection hidden="1"/>
    </xf>
    <xf numFmtId="9" fontId="0" fillId="34" borderId="10" xfId="1998" applyFont="1" applyFill="1" applyBorder="1" applyAlignment="1" applyProtection="1">
      <alignment vertical="center"/>
      <protection hidden="1"/>
    </xf>
    <xf numFmtId="9" fontId="0" fillId="34" borderId="10" xfId="0" applyNumberFormat="1" applyFill="1" applyBorder="1" applyAlignment="1" applyProtection="1">
      <alignment horizontal="right" vertical="center"/>
      <protection hidden="1"/>
    </xf>
    <xf numFmtId="44" fontId="0" fillId="34" borderId="10" xfId="2000" applyFont="1" applyFill="1" applyBorder="1" applyAlignment="1" applyProtection="1">
      <alignment vertical="center"/>
      <protection hidden="1"/>
    </xf>
    <xf numFmtId="0" fontId="0" fillId="34" borderId="10" xfId="0" applyFill="1" applyBorder="1" applyAlignment="1" applyProtection="1">
      <alignment vertical="center"/>
      <protection hidden="1"/>
    </xf>
    <xf numFmtId="0" fontId="16" fillId="0" borderId="0" xfId="0" applyFont="1"/>
    <xf numFmtId="0" fontId="0" fillId="0" borderId="0" xfId="0" applyAlignment="1" applyProtection="1">
      <alignment vertical="center"/>
      <protection hidden="1"/>
    </xf>
    <xf numFmtId="0" fontId="0" fillId="0" borderId="0" xfId="0" applyAlignment="1" applyProtection="1">
      <alignment horizontal="center" vertical="center"/>
      <protection hidden="1"/>
    </xf>
    <xf numFmtId="44" fontId="0" fillId="0" borderId="0" xfId="2000" applyFont="1" applyFill="1" applyBorder="1" applyAlignment="1" applyProtection="1">
      <alignment vertical="center"/>
      <protection hidden="1"/>
    </xf>
    <xf numFmtId="9" fontId="0" fillId="0" borderId="0" xfId="1998" applyFont="1" applyFill="1" applyBorder="1" applyAlignment="1" applyProtection="1">
      <alignment vertical="center"/>
      <protection hidden="1"/>
    </xf>
    <xf numFmtId="0" fontId="0" fillId="34" borderId="10" xfId="0" applyFill="1" applyBorder="1"/>
    <xf numFmtId="44" fontId="0" fillId="34" borderId="10" xfId="0" applyNumberFormat="1" applyFill="1" applyBorder="1" applyAlignment="1" applyProtection="1">
      <alignment horizontal="right" vertical="center"/>
      <protection hidden="1"/>
    </xf>
    <xf numFmtId="0" fontId="73" fillId="0" borderId="39" xfId="0" applyFont="1" applyBorder="1" applyAlignment="1">
      <alignment vertical="center"/>
    </xf>
    <xf numFmtId="0" fontId="0" fillId="0" borderId="40" xfId="0" applyBorder="1"/>
    <xf numFmtId="0" fontId="0" fillId="0" borderId="41" xfId="0" applyBorder="1"/>
    <xf numFmtId="0" fontId="65" fillId="34" borderId="72" xfId="0" applyFont="1" applyFill="1" applyBorder="1" applyAlignment="1">
      <alignment horizontal="left" vertical="center"/>
    </xf>
    <xf numFmtId="0" fontId="65" fillId="34" borderId="16" xfId="0" applyFont="1" applyFill="1" applyBorder="1" applyAlignment="1">
      <alignment horizontal="left" vertical="center"/>
    </xf>
    <xf numFmtId="0" fontId="65" fillId="34" borderId="73" xfId="0" applyFont="1" applyFill="1" applyBorder="1" applyAlignment="1">
      <alignment horizontal="left" vertical="center"/>
    </xf>
    <xf numFmtId="0" fontId="0" fillId="34" borderId="10" xfId="0" applyFill="1" applyBorder="1" applyAlignment="1">
      <alignment horizontal="center" vertical="top" wrapText="1"/>
    </xf>
    <xf numFmtId="0" fontId="0" fillId="34" borderId="10" xfId="0" applyFill="1" applyBorder="1" applyAlignment="1">
      <alignment vertical="top" wrapText="1"/>
    </xf>
    <xf numFmtId="0" fontId="29" fillId="34" borderId="0" xfId="0" applyFont="1" applyFill="1" applyAlignment="1" applyProtection="1">
      <alignment vertical="center" wrapText="1"/>
      <protection hidden="1"/>
    </xf>
    <xf numFmtId="0" fontId="55" fillId="34" borderId="0" xfId="0" applyFont="1" applyFill="1" applyAlignment="1" applyProtection="1">
      <alignment horizontal="left"/>
      <protection hidden="1"/>
    </xf>
    <xf numFmtId="0" fontId="29" fillId="34" borderId="0" xfId="0" applyFont="1" applyFill="1" applyAlignment="1" applyProtection="1">
      <alignment horizontal="left" vertical="center" wrapText="1"/>
      <protection hidden="1"/>
    </xf>
    <xf numFmtId="0" fontId="66" fillId="36" borderId="63" xfId="0" applyFont="1" applyFill="1" applyBorder="1" applyAlignment="1">
      <alignment vertical="center"/>
    </xf>
    <xf numFmtId="2" fontId="56" fillId="0" borderId="65" xfId="1998" applyNumberFormat="1" applyFont="1" applyBorder="1" applyAlignment="1">
      <alignment horizontal="center" vertical="center" wrapText="1"/>
    </xf>
    <xf numFmtId="0" fontId="18" fillId="59" borderId="38" xfId="0" applyFont="1" applyFill="1" applyBorder="1" applyAlignment="1">
      <alignment vertical="center"/>
    </xf>
    <xf numFmtId="10" fontId="0" fillId="59" borderId="38" xfId="1998" applyNumberFormat="1" applyFont="1" applyFill="1" applyBorder="1" applyAlignment="1">
      <alignment horizontal="left"/>
    </xf>
    <xf numFmtId="0" fontId="18" fillId="36" borderId="38" xfId="0" applyFont="1" applyFill="1" applyBorder="1" applyAlignment="1">
      <alignment vertical="center"/>
    </xf>
    <xf numFmtId="0" fontId="0" fillId="34" borderId="66" xfId="0" applyFill="1" applyBorder="1" applyProtection="1">
      <protection hidden="1"/>
    </xf>
    <xf numFmtId="2" fontId="0" fillId="35" borderId="11" xfId="0" applyNumberFormat="1" applyFill="1" applyBorder="1" applyAlignment="1" applyProtection="1">
      <alignment vertical="center"/>
      <protection hidden="1"/>
    </xf>
    <xf numFmtId="9" fontId="65" fillId="34" borderId="11" xfId="1998" applyFont="1" applyFill="1" applyBorder="1" applyAlignment="1" applyProtection="1">
      <alignment horizontal="left" vertical="center"/>
    </xf>
    <xf numFmtId="0" fontId="66" fillId="36" borderId="76" xfId="0" applyFont="1" applyFill="1" applyBorder="1" applyAlignment="1">
      <alignment vertical="center"/>
    </xf>
    <xf numFmtId="0" fontId="67" fillId="36" borderId="68" xfId="0" applyFont="1" applyFill="1" applyBorder="1" applyAlignment="1">
      <alignment vertical="center"/>
    </xf>
    <xf numFmtId="0" fontId="67" fillId="36" borderId="47" xfId="0" applyFont="1" applyFill="1" applyBorder="1" applyAlignment="1">
      <alignment vertical="center"/>
    </xf>
    <xf numFmtId="0" fontId="65" fillId="34" borderId="18" xfId="0" applyFont="1" applyFill="1" applyBorder="1" applyAlignment="1">
      <alignment horizontal="left" vertical="center"/>
    </xf>
    <xf numFmtId="0" fontId="65" fillId="34" borderId="37" xfId="0" applyFont="1" applyFill="1" applyBorder="1" applyAlignment="1">
      <alignment horizontal="left" vertical="center"/>
    </xf>
    <xf numFmtId="0" fontId="65" fillId="34" borderId="11" xfId="0" applyFont="1" applyFill="1" applyBorder="1" applyAlignment="1">
      <alignment horizontal="left" vertical="center"/>
    </xf>
    <xf numFmtId="0" fontId="66" fillId="36" borderId="60" xfId="0" applyFont="1" applyFill="1" applyBorder="1" applyAlignment="1">
      <alignment vertical="center"/>
    </xf>
    <xf numFmtId="0" fontId="66" fillId="36" borderId="47" xfId="0" applyFont="1" applyFill="1" applyBorder="1" applyAlignment="1">
      <alignment vertical="center"/>
    </xf>
    <xf numFmtId="0" fontId="65" fillId="34" borderId="50" xfId="0" applyFont="1" applyFill="1" applyBorder="1" applyAlignment="1">
      <alignment horizontal="left" vertical="center"/>
    </xf>
    <xf numFmtId="0" fontId="65" fillId="34" borderId="14" xfId="0" applyFont="1" applyFill="1" applyBorder="1" applyAlignment="1">
      <alignment horizontal="left" vertical="center"/>
    </xf>
    <xf numFmtId="0" fontId="65" fillId="34" borderId="78" xfId="0" applyFont="1" applyFill="1" applyBorder="1" applyAlignment="1">
      <alignment horizontal="left" vertical="center"/>
    </xf>
    <xf numFmtId="0" fontId="65" fillId="34" borderId="21" xfId="0" applyFont="1" applyFill="1" applyBorder="1" applyAlignment="1">
      <alignment horizontal="left" vertical="center"/>
    </xf>
    <xf numFmtId="0" fontId="65" fillId="34" borderId="74" xfId="0" applyFont="1" applyFill="1" applyBorder="1" applyAlignment="1">
      <alignment horizontal="left" vertical="center"/>
    </xf>
    <xf numFmtId="0" fontId="65" fillId="34" borderId="11" xfId="1998" applyNumberFormat="1" applyFont="1" applyFill="1" applyBorder="1" applyAlignment="1" applyProtection="1">
      <alignment horizontal="left" vertical="center"/>
    </xf>
    <xf numFmtId="0" fontId="65" fillId="34" borderId="75" xfId="0" applyFont="1" applyFill="1" applyBorder="1" applyAlignment="1">
      <alignment horizontal="left" vertical="center"/>
    </xf>
    <xf numFmtId="0" fontId="66" fillId="36" borderId="46" xfId="0" applyFont="1" applyFill="1" applyBorder="1" applyAlignment="1">
      <alignment vertical="center"/>
    </xf>
    <xf numFmtId="0" fontId="66" fillId="36" borderId="47" xfId="0" applyFont="1" applyFill="1" applyBorder="1" applyAlignment="1">
      <alignment horizontal="left" vertical="center"/>
    </xf>
    <xf numFmtId="0" fontId="66" fillId="36" borderId="77" xfId="0" applyFont="1" applyFill="1" applyBorder="1" applyAlignment="1">
      <alignment vertical="center"/>
    </xf>
    <xf numFmtId="0" fontId="66" fillId="36" borderId="45" xfId="0" applyFont="1" applyFill="1" applyBorder="1" applyAlignment="1">
      <alignment vertical="center"/>
    </xf>
    <xf numFmtId="0" fontId="65" fillId="34" borderId="13" xfId="1998" applyNumberFormat="1" applyFont="1" applyFill="1" applyBorder="1" applyAlignment="1" applyProtection="1">
      <alignment horizontal="left" vertical="center"/>
    </xf>
    <xf numFmtId="10" fontId="65" fillId="34" borderId="13" xfId="1998" applyNumberFormat="1" applyFont="1" applyFill="1" applyBorder="1" applyAlignment="1" applyProtection="1">
      <alignment horizontal="left" vertical="center"/>
    </xf>
    <xf numFmtId="10" fontId="65" fillId="34" borderId="50" xfId="1998" applyNumberFormat="1" applyFont="1" applyFill="1" applyBorder="1" applyAlignment="1" applyProtection="1">
      <alignment horizontal="left" vertical="center"/>
    </xf>
    <xf numFmtId="10" fontId="65" fillId="34" borderId="10" xfId="1998" applyNumberFormat="1" applyFont="1" applyFill="1" applyBorder="1" applyAlignment="1" applyProtection="1">
      <alignment horizontal="left" vertical="center"/>
    </xf>
    <xf numFmtId="10" fontId="65" fillId="34" borderId="18" xfId="1998" applyNumberFormat="1" applyFont="1" applyFill="1" applyBorder="1" applyAlignment="1" applyProtection="1">
      <alignment horizontal="left" vertical="center"/>
    </xf>
    <xf numFmtId="10" fontId="65" fillId="34" borderId="20" xfId="1998" applyNumberFormat="1" applyFont="1" applyFill="1" applyBorder="1" applyAlignment="1" applyProtection="1">
      <alignment horizontal="left" vertical="center"/>
    </xf>
    <xf numFmtId="10" fontId="65" fillId="34" borderId="48" xfId="1998" applyNumberFormat="1" applyFont="1" applyFill="1" applyBorder="1" applyAlignment="1" applyProtection="1">
      <alignment horizontal="left" vertical="center"/>
    </xf>
    <xf numFmtId="4" fontId="0" fillId="35" borderId="71" xfId="0" applyNumberFormat="1" applyFill="1" applyBorder="1" applyAlignment="1" applyProtection="1">
      <alignment vertical="center"/>
      <protection hidden="1"/>
    </xf>
    <xf numFmtId="4" fontId="0" fillId="35" borderId="79" xfId="0" applyNumberFormat="1" applyFill="1" applyBorder="1" applyAlignment="1" applyProtection="1">
      <alignment vertical="center"/>
      <protection hidden="1"/>
    </xf>
    <xf numFmtId="3" fontId="0" fillId="35" borderId="10" xfId="0" applyNumberFormat="1" applyFill="1" applyBorder="1" applyAlignment="1" applyProtection="1">
      <alignment vertical="center"/>
      <protection hidden="1"/>
    </xf>
    <xf numFmtId="3" fontId="0" fillId="35" borderId="20" xfId="0" applyNumberFormat="1" applyFill="1" applyBorder="1" applyAlignment="1" applyProtection="1">
      <alignment vertical="center"/>
      <protection hidden="1"/>
    </xf>
    <xf numFmtId="0" fontId="0" fillId="34" borderId="12" xfId="0" applyFill="1" applyBorder="1"/>
    <xf numFmtId="0" fontId="0" fillId="34" borderId="13" xfId="0" applyFill="1" applyBorder="1"/>
    <xf numFmtId="0" fontId="0" fillId="34" borderId="14" xfId="0" applyFill="1" applyBorder="1"/>
    <xf numFmtId="0" fontId="0" fillId="34" borderId="15" xfId="0" applyFill="1" applyBorder="1"/>
    <xf numFmtId="0" fontId="0" fillId="34" borderId="17" xfId="0" applyFill="1" applyBorder="1"/>
    <xf numFmtId="0" fontId="0" fillId="34" borderId="19" xfId="0" applyFill="1" applyBorder="1"/>
    <xf numFmtId="0" fontId="0" fillId="34" borderId="20" xfId="0" applyFill="1" applyBorder="1"/>
    <xf numFmtId="0" fontId="0" fillId="34" borderId="21" xfId="0" applyFill="1" applyBorder="1"/>
    <xf numFmtId="0" fontId="0" fillId="34" borderId="63" xfId="0" applyFill="1" applyBorder="1"/>
    <xf numFmtId="0" fontId="0" fillId="34" borderId="80" xfId="0" applyFill="1" applyBorder="1" applyAlignment="1">
      <alignment horizontal="left"/>
    </xf>
    <xf numFmtId="0" fontId="0" fillId="34" borderId="78" xfId="0" applyFill="1" applyBorder="1"/>
    <xf numFmtId="0" fontId="16" fillId="34" borderId="12" xfId="0" applyFont="1" applyFill="1" applyBorder="1" applyAlignment="1">
      <alignment vertical="center"/>
    </xf>
    <xf numFmtId="0" fontId="0" fillId="34" borderId="13" xfId="0" applyFill="1" applyBorder="1" applyAlignment="1">
      <alignment vertical="center"/>
    </xf>
    <xf numFmtId="0" fontId="0" fillId="34" borderId="14" xfId="0" applyFill="1" applyBorder="1" applyAlignment="1">
      <alignment vertical="center"/>
    </xf>
    <xf numFmtId="0" fontId="0" fillId="34" borderId="12" xfId="0" applyFill="1" applyBorder="1" applyAlignment="1">
      <alignment vertical="center"/>
    </xf>
    <xf numFmtId="0" fontId="0" fillId="34" borderId="15" xfId="0" applyFill="1" applyBorder="1" applyAlignment="1">
      <alignment vertical="center"/>
    </xf>
    <xf numFmtId="0" fontId="0" fillId="34" borderId="10" xfId="0" applyFill="1" applyBorder="1" applyAlignment="1">
      <alignment vertical="center"/>
    </xf>
    <xf numFmtId="0" fontId="0" fillId="34" borderId="17" xfId="0" applyFill="1" applyBorder="1" applyAlignment="1">
      <alignment vertical="center"/>
    </xf>
    <xf numFmtId="0" fontId="0" fillId="34" borderId="19" xfId="0" applyFill="1" applyBorder="1" applyAlignment="1">
      <alignment vertical="center"/>
    </xf>
    <xf numFmtId="0" fontId="0" fillId="34" borderId="20" xfId="0" applyFill="1" applyBorder="1" applyAlignment="1">
      <alignment vertical="center"/>
    </xf>
    <xf numFmtId="0" fontId="0" fillId="34" borderId="21" xfId="0" applyFill="1" applyBorder="1" applyAlignment="1">
      <alignment vertical="center"/>
    </xf>
    <xf numFmtId="169" fontId="0" fillId="34" borderId="10" xfId="0" applyNumberFormat="1" applyFill="1" applyBorder="1" applyAlignment="1">
      <alignment vertical="center"/>
    </xf>
    <xf numFmtId="169" fontId="0" fillId="34" borderId="17" xfId="0" applyNumberFormat="1" applyFill="1" applyBorder="1" applyAlignment="1">
      <alignment vertical="center"/>
    </xf>
    <xf numFmtId="169" fontId="0" fillId="34" borderId="20" xfId="0" applyNumberFormat="1" applyFill="1" applyBorder="1" applyAlignment="1">
      <alignment vertical="center"/>
    </xf>
    <xf numFmtId="169" fontId="0" fillId="34" borderId="21" xfId="0" applyNumberFormat="1" applyFill="1" applyBorder="1" applyAlignment="1">
      <alignment vertical="center"/>
    </xf>
    <xf numFmtId="0" fontId="0" fillId="34" borderId="38" xfId="0" applyFill="1" applyBorder="1"/>
    <xf numFmtId="0" fontId="65" fillId="34" borderId="10" xfId="1998" applyNumberFormat="1" applyFont="1" applyFill="1" applyBorder="1" applyAlignment="1">
      <alignment horizontal="left" vertical="center"/>
    </xf>
    <xf numFmtId="0" fontId="0" fillId="35" borderId="43" xfId="0" applyFill="1" applyBorder="1" applyAlignment="1" applyProtection="1">
      <alignment horizontal="left" vertical="center"/>
      <protection hidden="1"/>
    </xf>
    <xf numFmtId="10" fontId="75" fillId="63" borderId="75" xfId="0" applyNumberFormat="1" applyFont="1" applyFill="1" applyBorder="1" applyAlignment="1">
      <alignment horizontal="center" vertical="center"/>
    </xf>
    <xf numFmtId="0" fontId="0" fillId="33" borderId="61" xfId="0" applyFill="1" applyBorder="1" applyAlignment="1" applyProtection="1">
      <alignment horizontal="left" vertical="center"/>
      <protection locked="0"/>
    </xf>
    <xf numFmtId="0" fontId="0" fillId="33" borderId="61" xfId="0" applyFill="1" applyBorder="1" applyAlignment="1" applyProtection="1">
      <alignment horizontal="center" vertical="center"/>
      <protection locked="0"/>
    </xf>
    <xf numFmtId="10" fontId="75" fillId="63" borderId="79" xfId="0" applyNumberFormat="1" applyFont="1" applyFill="1" applyBorder="1" applyAlignment="1">
      <alignment horizontal="center" vertical="center"/>
    </xf>
    <xf numFmtId="3" fontId="0" fillId="35" borderId="62" xfId="0" applyNumberFormat="1" applyFill="1" applyBorder="1" applyAlignment="1" applyProtection="1">
      <alignment vertical="center"/>
      <protection hidden="1"/>
    </xf>
    <xf numFmtId="4" fontId="0" fillId="35" borderId="61" xfId="0" applyNumberFormat="1" applyFill="1" applyBorder="1" applyAlignment="1" applyProtection="1">
      <alignment vertical="center"/>
      <protection hidden="1"/>
    </xf>
    <xf numFmtId="2" fontId="0" fillId="35" borderId="78" xfId="0" applyNumberFormat="1" applyFill="1" applyBorder="1" applyAlignment="1" applyProtection="1">
      <alignment vertical="center"/>
      <protection hidden="1"/>
    </xf>
    <xf numFmtId="166" fontId="0" fillId="35" borderId="39" xfId="0" applyNumberFormat="1" applyFill="1" applyBorder="1" applyAlignment="1" applyProtection="1">
      <alignment vertical="center"/>
      <protection hidden="1"/>
    </xf>
    <xf numFmtId="166" fontId="0" fillId="35" borderId="40" xfId="0" applyNumberFormat="1" applyFill="1" applyBorder="1" applyAlignment="1" applyProtection="1">
      <alignment vertical="center"/>
      <protection hidden="1"/>
    </xf>
    <xf numFmtId="166" fontId="0" fillId="35" borderId="41" xfId="0" applyNumberFormat="1" applyFill="1" applyBorder="1" applyAlignment="1" applyProtection="1">
      <alignment vertical="center"/>
      <protection hidden="1"/>
    </xf>
    <xf numFmtId="2" fontId="0" fillId="35" borderId="22" xfId="0" applyNumberFormat="1" applyFill="1" applyBorder="1" applyAlignment="1" applyProtection="1">
      <alignment vertical="center"/>
      <protection hidden="1"/>
    </xf>
    <xf numFmtId="0" fontId="0" fillId="33" borderId="16" xfId="0" applyFill="1" applyBorder="1" applyAlignment="1" applyProtection="1">
      <alignment vertical="center"/>
      <protection locked="0"/>
    </xf>
    <xf numFmtId="0" fontId="0" fillId="33" borderId="73" xfId="0" applyFill="1" applyBorder="1" applyAlignment="1" applyProtection="1">
      <alignment vertical="center"/>
      <protection locked="0"/>
    </xf>
    <xf numFmtId="2" fontId="0" fillId="35" borderId="14" xfId="0" applyNumberFormat="1" applyFill="1" applyBorder="1" applyAlignment="1" applyProtection="1">
      <alignment vertical="center"/>
      <protection hidden="1"/>
    </xf>
    <xf numFmtId="2" fontId="0" fillId="35" borderId="17" xfId="0" applyNumberFormat="1" applyFill="1" applyBorder="1" applyAlignment="1" applyProtection="1">
      <alignment vertical="center"/>
      <protection hidden="1"/>
    </xf>
    <xf numFmtId="2" fontId="0" fillId="35" borderId="21" xfId="0" applyNumberFormat="1" applyFill="1" applyBorder="1" applyAlignment="1" applyProtection="1">
      <alignment vertical="center"/>
      <protection hidden="1"/>
    </xf>
    <xf numFmtId="0" fontId="51" fillId="34" borderId="10" xfId="0" applyFont="1" applyFill="1" applyBorder="1" applyAlignment="1">
      <alignment horizontal="left" vertical="center" wrapText="1"/>
    </xf>
    <xf numFmtId="0" fontId="51" fillId="34" borderId="15" xfId="0" applyFont="1" applyFill="1" applyBorder="1" applyAlignment="1">
      <alignment horizontal="left" vertical="center" wrapText="1"/>
    </xf>
    <xf numFmtId="0" fontId="51" fillId="34" borderId="17" xfId="0" applyFont="1" applyFill="1" applyBorder="1" applyAlignment="1">
      <alignment horizontal="right" vertical="center" wrapText="1"/>
    </xf>
    <xf numFmtId="167" fontId="0" fillId="35" borderId="10" xfId="0" applyNumberFormat="1" applyFill="1" applyBorder="1" applyAlignment="1" applyProtection="1">
      <alignment vertical="center"/>
      <protection hidden="1"/>
    </xf>
    <xf numFmtId="167" fontId="0" fillId="35" borderId="20" xfId="0" applyNumberFormat="1" applyFill="1" applyBorder="1" applyAlignment="1" applyProtection="1">
      <alignment vertical="center"/>
      <protection hidden="1"/>
    </xf>
    <xf numFmtId="170" fontId="0" fillId="35" borderId="10" xfId="0" applyNumberFormat="1" applyFill="1" applyBorder="1" applyAlignment="1" applyProtection="1">
      <alignment vertical="center"/>
      <protection hidden="1"/>
    </xf>
    <xf numFmtId="170" fontId="0" fillId="35" borderId="20" xfId="0" applyNumberFormat="1" applyFill="1" applyBorder="1" applyAlignment="1" applyProtection="1">
      <alignment vertical="center"/>
      <protection hidden="1"/>
    </xf>
    <xf numFmtId="171" fontId="0" fillId="34" borderId="10" xfId="0" applyNumberFormat="1" applyFill="1" applyBorder="1" applyAlignment="1">
      <alignment vertical="center"/>
    </xf>
    <xf numFmtId="4" fontId="0" fillId="0" borderId="66" xfId="0" applyNumberFormat="1" applyBorder="1"/>
    <xf numFmtId="2" fontId="0" fillId="0" borderId="66" xfId="0" applyNumberFormat="1" applyBorder="1"/>
    <xf numFmtId="0" fontId="50" fillId="36" borderId="12" xfId="0" applyFont="1" applyFill="1" applyBorder="1" applyAlignment="1" applyProtection="1">
      <alignment horizontal="center" vertical="center" wrapText="1"/>
      <protection hidden="1"/>
    </xf>
    <xf numFmtId="0" fontId="50" fillId="36" borderId="19" xfId="0" applyFont="1" applyFill="1" applyBorder="1" applyAlignment="1" applyProtection="1">
      <alignment horizontal="center" vertical="center" wrapText="1"/>
      <protection hidden="1"/>
    </xf>
    <xf numFmtId="0" fontId="50" fillId="36" borderId="13" xfId="0" applyFont="1" applyFill="1" applyBorder="1" applyAlignment="1" applyProtection="1">
      <alignment horizontal="center" vertical="center" wrapText="1"/>
      <protection hidden="1"/>
    </xf>
    <xf numFmtId="0" fontId="50" fillId="36" borderId="21" xfId="0" applyFont="1" applyFill="1" applyBorder="1" applyAlignment="1" applyProtection="1">
      <alignment horizontal="center" vertical="center" wrapText="1"/>
      <protection hidden="1"/>
    </xf>
    <xf numFmtId="0" fontId="50" fillId="36" borderId="72" xfId="0" applyFont="1" applyFill="1" applyBorder="1" applyAlignment="1" applyProtection="1">
      <alignment horizontal="center" vertical="center" wrapText="1"/>
      <protection hidden="1"/>
    </xf>
    <xf numFmtId="0" fontId="0" fillId="0" borderId="0" xfId="0" applyAlignment="1">
      <alignment vertical="center" wrapText="1"/>
    </xf>
    <xf numFmtId="0" fontId="0" fillId="62" borderId="10" xfId="0" applyFill="1" applyBorder="1" applyAlignment="1">
      <alignment vertical="center" wrapText="1"/>
    </xf>
    <xf numFmtId="14" fontId="0" fillId="0" borderId="0" xfId="0" applyNumberFormat="1"/>
    <xf numFmtId="0" fontId="0" fillId="0" borderId="10" xfId="0" applyBorder="1" applyAlignment="1">
      <alignment vertical="center" wrapText="1"/>
    </xf>
    <xf numFmtId="0" fontId="0" fillId="64" borderId="10" xfId="0" applyFill="1" applyBorder="1" applyAlignment="1">
      <alignment vertical="center" wrapText="1"/>
    </xf>
    <xf numFmtId="172" fontId="0" fillId="0" borderId="0" xfId="0" applyNumberFormat="1"/>
    <xf numFmtId="172" fontId="0" fillId="0" borderId="66" xfId="0" applyNumberFormat="1" applyBorder="1"/>
    <xf numFmtId="0" fontId="0" fillId="0" borderId="80" xfId="0" applyBorder="1"/>
    <xf numFmtId="2" fontId="0" fillId="0" borderId="80" xfId="0" applyNumberFormat="1" applyBorder="1"/>
    <xf numFmtId="2" fontId="0" fillId="0" borderId="0" xfId="0" applyNumberFormat="1"/>
    <xf numFmtId="167" fontId="0" fillId="0" borderId="80" xfId="0" applyNumberFormat="1" applyBorder="1"/>
    <xf numFmtId="0" fontId="0" fillId="0" borderId="53" xfId="0" applyBorder="1"/>
    <xf numFmtId="167" fontId="0" fillId="0" borderId="53" xfId="0" applyNumberFormat="1" applyBorder="1"/>
    <xf numFmtId="173" fontId="0" fillId="0" borderId="0" xfId="0" applyNumberFormat="1"/>
    <xf numFmtId="0" fontId="0" fillId="35" borderId="0" xfId="0" applyFill="1"/>
    <xf numFmtId="0" fontId="0" fillId="35" borderId="66" xfId="0" applyFill="1" applyBorder="1"/>
    <xf numFmtId="173" fontId="0" fillId="0" borderId="66" xfId="0" applyNumberFormat="1" applyBorder="1"/>
    <xf numFmtId="173" fontId="0" fillId="0" borderId="53" xfId="0" applyNumberFormat="1" applyBorder="1"/>
    <xf numFmtId="4" fontId="0" fillId="0" borderId="53" xfId="0" applyNumberFormat="1" applyBorder="1"/>
    <xf numFmtId="2" fontId="0" fillId="0" borderId="53" xfId="0" applyNumberFormat="1" applyBorder="1"/>
    <xf numFmtId="4" fontId="0" fillId="0" borderId="0" xfId="0" applyNumberFormat="1"/>
    <xf numFmtId="170" fontId="0" fillId="35" borderId="15" xfId="0" applyNumberFormat="1" applyFill="1" applyBorder="1" applyAlignment="1" applyProtection="1">
      <alignment vertical="center"/>
      <protection hidden="1"/>
    </xf>
    <xf numFmtId="170" fontId="0" fillId="35" borderId="19" xfId="0" applyNumberFormat="1" applyFill="1" applyBorder="1" applyAlignment="1" applyProtection="1">
      <alignment vertical="center"/>
      <protection hidden="1"/>
    </xf>
    <xf numFmtId="4" fontId="0" fillId="35" borderId="34" xfId="0" applyNumberFormat="1" applyFill="1" applyBorder="1" applyAlignment="1" applyProtection="1">
      <alignment horizontal="right" vertical="center"/>
      <protection hidden="1"/>
    </xf>
    <xf numFmtId="4" fontId="0" fillId="35" borderId="11" xfId="0" applyNumberFormat="1" applyFill="1" applyBorder="1" applyAlignment="1" applyProtection="1">
      <alignment horizontal="right" vertical="center"/>
      <protection hidden="1"/>
    </xf>
    <xf numFmtId="4" fontId="0" fillId="35" borderId="75" xfId="0" applyNumberFormat="1" applyFill="1" applyBorder="1" applyAlignment="1" applyProtection="1">
      <alignment horizontal="right" vertical="center"/>
      <protection hidden="1"/>
    </xf>
    <xf numFmtId="4" fontId="0" fillId="35" borderId="79" xfId="0" applyNumberFormat="1" applyFill="1" applyBorder="1" applyAlignment="1" applyProtection="1">
      <alignment horizontal="right" vertical="center"/>
      <protection hidden="1"/>
    </xf>
    <xf numFmtId="2" fontId="0" fillId="35" borderId="0" xfId="0" applyNumberFormat="1" applyFill="1" applyAlignment="1" applyProtection="1">
      <alignment vertical="center"/>
      <protection hidden="1"/>
    </xf>
    <xf numFmtId="0" fontId="50" fillId="36" borderId="46" xfId="0" applyFont="1" applyFill="1" applyBorder="1" applyAlignment="1" applyProtection="1">
      <alignment horizontal="center" vertical="center" wrapText="1"/>
      <protection hidden="1"/>
    </xf>
    <xf numFmtId="0" fontId="50" fillId="36" borderId="47" xfId="0" applyFont="1" applyFill="1" applyBorder="1" applyAlignment="1" applyProtection="1">
      <alignment horizontal="center" vertical="center" wrapText="1"/>
      <protection hidden="1"/>
    </xf>
    <xf numFmtId="0" fontId="0" fillId="33" borderId="11" xfId="0" applyFill="1" applyBorder="1" applyAlignment="1" applyProtection="1">
      <alignment vertical="center"/>
      <protection locked="0"/>
    </xf>
    <xf numFmtId="0" fontId="0" fillId="33" borderId="74" xfId="0" applyFill="1" applyBorder="1" applyAlignment="1" applyProtection="1">
      <alignment vertical="center"/>
      <protection locked="0"/>
    </xf>
    <xf numFmtId="0" fontId="0" fillId="33" borderId="34" xfId="0" applyFill="1" applyBorder="1" applyAlignment="1" applyProtection="1">
      <alignment vertical="center"/>
      <protection locked="0"/>
    </xf>
    <xf numFmtId="170" fontId="0" fillId="35" borderId="12" xfId="0" applyNumberFormat="1" applyFill="1" applyBorder="1" applyAlignment="1" applyProtection="1">
      <alignment vertical="center"/>
      <protection hidden="1"/>
    </xf>
    <xf numFmtId="170" fontId="0" fillId="35" borderId="13" xfId="0" applyNumberFormat="1" applyFill="1" applyBorder="1" applyAlignment="1" applyProtection="1">
      <alignment vertical="center"/>
      <protection hidden="1"/>
    </xf>
    <xf numFmtId="3" fontId="0" fillId="35" borderId="13" xfId="0" applyNumberFormat="1" applyFill="1" applyBorder="1" applyAlignment="1" applyProtection="1">
      <alignment vertical="center"/>
      <protection hidden="1"/>
    </xf>
    <xf numFmtId="167" fontId="0" fillId="35" borderId="13" xfId="0" applyNumberFormat="1" applyFill="1" applyBorder="1" applyAlignment="1" applyProtection="1">
      <alignment vertical="center"/>
      <protection hidden="1"/>
    </xf>
    <xf numFmtId="0" fontId="76" fillId="65" borderId="46" xfId="0" applyFont="1" applyFill="1" applyBorder="1" applyAlignment="1">
      <alignment horizontal="center" vertical="center" wrapText="1"/>
    </xf>
    <xf numFmtId="0" fontId="76" fillId="65" borderId="47" xfId="0" applyFont="1" applyFill="1" applyBorder="1" applyAlignment="1">
      <alignment horizontal="center" vertical="center" wrapText="1"/>
    </xf>
    <xf numFmtId="0" fontId="76" fillId="65" borderId="81" xfId="0" applyFont="1" applyFill="1" applyBorder="1" applyAlignment="1">
      <alignment horizontal="center" vertical="center" wrapText="1"/>
    </xf>
    <xf numFmtId="170" fontId="0" fillId="35" borderId="72" xfId="0" applyNumberFormat="1" applyFill="1" applyBorder="1" applyAlignment="1" applyProtection="1">
      <alignment vertical="center"/>
      <protection hidden="1"/>
    </xf>
    <xf numFmtId="170" fontId="0" fillId="35" borderId="16" xfId="0" applyNumberFormat="1" applyFill="1" applyBorder="1" applyAlignment="1" applyProtection="1">
      <alignment vertical="center"/>
      <protection hidden="1"/>
    </xf>
    <xf numFmtId="170" fontId="0" fillId="35" borderId="73" xfId="0" applyNumberFormat="1" applyFill="1" applyBorder="1" applyAlignment="1" applyProtection="1">
      <alignment vertical="center"/>
      <protection hidden="1"/>
    </xf>
    <xf numFmtId="4" fontId="0" fillId="35" borderId="12" xfId="0" applyNumberFormat="1" applyFill="1" applyBorder="1" applyAlignment="1" applyProtection="1">
      <alignment vertical="center"/>
      <protection hidden="1"/>
    </xf>
    <xf numFmtId="4" fontId="0" fillId="35" borderId="15" xfId="0" applyNumberFormat="1" applyFill="1" applyBorder="1" applyAlignment="1" applyProtection="1">
      <alignment vertical="center"/>
      <protection hidden="1"/>
    </xf>
    <xf numFmtId="4" fontId="0" fillId="35" borderId="19" xfId="0" applyNumberFormat="1" applyFill="1" applyBorder="1" applyAlignment="1" applyProtection="1">
      <alignment vertical="center"/>
      <protection hidden="1"/>
    </xf>
    <xf numFmtId="49" fontId="0" fillId="33" borderId="74" xfId="0" applyNumberFormat="1" applyFill="1" applyBorder="1" applyAlignment="1" applyProtection="1">
      <alignment horizontal="center" vertical="center"/>
      <protection locked="0"/>
    </xf>
    <xf numFmtId="0" fontId="0" fillId="33" borderId="11" xfId="0" applyFill="1" applyBorder="1" applyAlignment="1" applyProtection="1">
      <alignment horizontal="center" vertical="center"/>
      <protection locked="0"/>
    </xf>
    <xf numFmtId="2" fontId="0" fillId="35" borderId="22" xfId="0" applyNumberFormat="1" applyFill="1" applyBorder="1" applyAlignment="1" applyProtection="1">
      <alignment horizontal="right" vertical="center"/>
      <protection hidden="1"/>
    </xf>
    <xf numFmtId="2" fontId="0" fillId="35" borderId="0" xfId="0" applyNumberFormat="1" applyFill="1" applyAlignment="1" applyProtection="1">
      <alignment horizontal="right" vertical="center"/>
      <protection hidden="1"/>
    </xf>
    <xf numFmtId="2" fontId="0" fillId="35" borderId="78" xfId="0" applyNumberFormat="1" applyFill="1" applyBorder="1" applyAlignment="1" applyProtection="1">
      <alignment horizontal="right" vertical="center"/>
      <protection hidden="1"/>
    </xf>
    <xf numFmtId="166" fontId="0" fillId="35" borderId="42" xfId="0" applyNumberFormat="1" applyFill="1" applyBorder="1" applyAlignment="1" applyProtection="1">
      <alignment horizontal="right" vertical="center"/>
      <protection hidden="1"/>
    </xf>
    <xf numFmtId="166" fontId="0" fillId="35" borderId="40" xfId="0" applyNumberFormat="1" applyFill="1" applyBorder="1" applyAlignment="1" applyProtection="1">
      <alignment horizontal="right" vertical="center"/>
      <protection hidden="1"/>
    </xf>
    <xf numFmtId="166" fontId="0" fillId="35" borderId="41" xfId="0" applyNumberFormat="1" applyFill="1" applyBorder="1" applyAlignment="1" applyProtection="1">
      <alignment horizontal="right" vertical="center"/>
      <protection hidden="1"/>
    </xf>
    <xf numFmtId="4" fontId="0" fillId="35" borderId="44" xfId="0" applyNumberFormat="1" applyFill="1" applyBorder="1" applyAlignment="1" applyProtection="1">
      <alignment vertical="center"/>
      <protection hidden="1"/>
    </xf>
    <xf numFmtId="166" fontId="0" fillId="35" borderId="64" xfId="0" applyNumberFormat="1" applyFill="1" applyBorder="1" applyAlignment="1" applyProtection="1">
      <alignment vertical="center"/>
      <protection hidden="1"/>
    </xf>
    <xf numFmtId="0" fontId="0" fillId="33" borderId="70" xfId="0" applyFill="1" applyBorder="1" applyAlignment="1" applyProtection="1">
      <alignment horizontal="left" vertical="center"/>
      <protection locked="0"/>
    </xf>
    <xf numFmtId="0" fontId="0" fillId="33" borderId="79" xfId="0" applyFill="1" applyBorder="1" applyAlignment="1" applyProtection="1">
      <alignment horizontal="left" vertical="center"/>
      <protection locked="0"/>
    </xf>
    <xf numFmtId="3" fontId="0" fillId="35" borderId="74" xfId="0" applyNumberFormat="1" applyFill="1" applyBorder="1" applyAlignment="1" applyProtection="1">
      <alignment vertical="center"/>
      <protection hidden="1"/>
    </xf>
    <xf numFmtId="2" fontId="0" fillId="35" borderId="67" xfId="0" applyNumberFormat="1" applyFill="1" applyBorder="1" applyAlignment="1" applyProtection="1">
      <alignment vertical="center"/>
      <protection hidden="1"/>
    </xf>
    <xf numFmtId="2" fontId="0" fillId="35" borderId="51" xfId="0" applyNumberFormat="1" applyFill="1" applyBorder="1" applyAlignment="1" applyProtection="1">
      <alignment vertical="center"/>
      <protection hidden="1"/>
    </xf>
    <xf numFmtId="2" fontId="0" fillId="35" borderId="56" xfId="0" applyNumberFormat="1" applyFill="1" applyBorder="1" applyAlignment="1" applyProtection="1">
      <alignment vertical="center"/>
      <protection hidden="1"/>
    </xf>
    <xf numFmtId="2" fontId="0" fillId="35" borderId="82" xfId="0" applyNumberFormat="1" applyFill="1" applyBorder="1" applyAlignment="1" applyProtection="1">
      <alignment vertical="center"/>
      <protection hidden="1"/>
    </xf>
    <xf numFmtId="0" fontId="50" fillId="36" borderId="81" xfId="0" applyFont="1" applyFill="1" applyBorder="1" applyAlignment="1" applyProtection="1">
      <alignment horizontal="center" vertical="center" wrapText="1"/>
      <protection hidden="1"/>
    </xf>
    <xf numFmtId="0" fontId="76" fillId="65" borderId="48" xfId="0" applyFont="1" applyFill="1" applyBorder="1" applyAlignment="1">
      <alignment horizontal="center" vertical="center" wrapText="1"/>
    </xf>
    <xf numFmtId="0" fontId="76" fillId="65" borderId="20" xfId="0" applyFont="1" applyFill="1" applyBorder="1" applyAlignment="1">
      <alignment horizontal="center" vertical="center" wrapText="1"/>
    </xf>
    <xf numFmtId="0" fontId="76" fillId="65" borderId="21" xfId="0" applyFont="1" applyFill="1" applyBorder="1" applyAlignment="1">
      <alignment horizontal="center" vertical="center" wrapText="1"/>
    </xf>
    <xf numFmtId="0" fontId="77" fillId="34" borderId="0" xfId="0" applyFont="1" applyFill="1" applyProtection="1">
      <protection hidden="1"/>
    </xf>
    <xf numFmtId="3" fontId="0" fillId="35" borderId="67" xfId="0" applyNumberFormat="1" applyFill="1" applyBorder="1" applyAlignment="1" applyProtection="1">
      <alignment horizontal="right" vertical="center"/>
      <protection hidden="1"/>
    </xf>
    <xf numFmtId="4" fontId="0" fillId="35" borderId="72" xfId="0" applyNumberFormat="1" applyFill="1" applyBorder="1" applyAlignment="1" applyProtection="1">
      <alignment horizontal="right" vertical="center"/>
      <protection hidden="1"/>
    </xf>
    <xf numFmtId="4" fontId="0" fillId="35" borderId="13" xfId="0" applyNumberFormat="1" applyFill="1" applyBorder="1" applyAlignment="1" applyProtection="1">
      <alignment horizontal="right" vertical="center"/>
      <protection hidden="1"/>
    </xf>
    <xf numFmtId="4" fontId="0" fillId="35" borderId="14" xfId="0" applyNumberFormat="1" applyFill="1" applyBorder="1" applyAlignment="1" applyProtection="1">
      <alignment horizontal="right" vertical="center"/>
      <protection hidden="1"/>
    </xf>
    <xf numFmtId="3" fontId="0" fillId="35" borderId="51" xfId="0" applyNumberFormat="1" applyFill="1" applyBorder="1" applyAlignment="1" applyProtection="1">
      <alignment horizontal="right" vertical="center"/>
      <protection hidden="1"/>
    </xf>
    <xf numFmtId="3" fontId="0" fillId="35" borderId="56" xfId="0" applyNumberFormat="1" applyFill="1" applyBorder="1" applyAlignment="1" applyProtection="1">
      <alignment horizontal="right" vertical="center"/>
      <protection hidden="1"/>
    </xf>
    <xf numFmtId="4" fontId="0" fillId="35" borderId="71" xfId="0" applyNumberFormat="1" applyFill="1" applyBorder="1" applyAlignment="1" applyProtection="1">
      <alignment horizontal="right" vertical="center"/>
      <protection hidden="1"/>
    </xf>
    <xf numFmtId="4" fontId="0" fillId="35" borderId="61" xfId="0" applyNumberFormat="1" applyFill="1" applyBorder="1" applyAlignment="1" applyProtection="1">
      <alignment horizontal="right" vertical="center"/>
      <protection hidden="1"/>
    </xf>
    <xf numFmtId="166" fontId="0" fillId="35" borderId="73" xfId="0" applyNumberFormat="1" applyFill="1" applyBorder="1" applyAlignment="1" applyProtection="1">
      <alignment horizontal="right" vertical="center"/>
      <protection hidden="1"/>
    </xf>
    <xf numFmtId="174" fontId="0" fillId="35" borderId="12" xfId="0" applyNumberFormat="1" applyFill="1" applyBorder="1" applyAlignment="1" applyProtection="1">
      <alignment horizontal="center" vertical="center"/>
      <protection hidden="1"/>
    </xf>
    <xf numFmtId="174" fontId="0" fillId="35" borderId="15" xfId="0" applyNumberFormat="1" applyFill="1" applyBorder="1" applyAlignment="1" applyProtection="1">
      <alignment horizontal="center" vertical="center"/>
      <protection hidden="1"/>
    </xf>
    <xf numFmtId="174" fontId="0" fillId="35" borderId="19" xfId="0" applyNumberFormat="1" applyFill="1" applyBorder="1" applyAlignment="1" applyProtection="1">
      <alignment horizontal="center" vertical="center"/>
      <protection hidden="1"/>
    </xf>
    <xf numFmtId="175" fontId="0" fillId="35" borderId="10" xfId="0" applyNumberFormat="1" applyFill="1" applyBorder="1" applyAlignment="1" applyProtection="1">
      <alignment horizontal="center" vertical="center"/>
      <protection hidden="1"/>
    </xf>
    <xf numFmtId="175" fontId="0" fillId="35" borderId="20" xfId="0" applyNumberFormat="1" applyFill="1" applyBorder="1" applyAlignment="1" applyProtection="1">
      <alignment horizontal="center" vertical="center"/>
      <protection hidden="1"/>
    </xf>
    <xf numFmtId="175" fontId="0" fillId="35" borderId="13" xfId="0" applyNumberFormat="1" applyFill="1" applyBorder="1" applyAlignment="1" applyProtection="1">
      <alignment horizontal="center" vertical="center"/>
      <protection hidden="1"/>
    </xf>
    <xf numFmtId="166" fontId="0" fillId="35" borderId="72" xfId="0" applyNumberFormat="1" applyFill="1" applyBorder="1" applyAlignment="1" applyProtection="1">
      <alignment horizontal="right" vertical="center"/>
      <protection hidden="1"/>
    </xf>
    <xf numFmtId="166" fontId="0" fillId="35" borderId="39" xfId="0" applyNumberFormat="1" applyFill="1" applyBorder="1" applyAlignment="1" applyProtection="1">
      <alignment horizontal="right" vertical="center"/>
      <protection hidden="1"/>
    </xf>
    <xf numFmtId="166" fontId="0" fillId="35" borderId="16" xfId="0" applyNumberFormat="1" applyFill="1" applyBorder="1" applyAlignment="1" applyProtection="1">
      <alignment horizontal="right" vertical="center"/>
      <protection hidden="1"/>
    </xf>
    <xf numFmtId="3" fontId="0" fillId="35" borderId="12" xfId="0" applyNumberFormat="1" applyFill="1" applyBorder="1" applyAlignment="1" applyProtection="1">
      <alignment vertical="center"/>
      <protection hidden="1"/>
    </xf>
    <xf numFmtId="2" fontId="0" fillId="35" borderId="13" xfId="0" applyNumberFormat="1" applyFill="1" applyBorder="1" applyAlignment="1" applyProtection="1">
      <alignment vertical="center"/>
      <protection hidden="1"/>
    </xf>
    <xf numFmtId="2" fontId="0" fillId="35" borderId="75" xfId="0" applyNumberFormat="1" applyFill="1" applyBorder="1" applyAlignment="1" applyProtection="1">
      <alignment vertical="center"/>
      <protection hidden="1"/>
    </xf>
    <xf numFmtId="3" fontId="0" fillId="35" borderId="70" xfId="0" applyNumberFormat="1" applyFill="1" applyBorder="1" applyAlignment="1" applyProtection="1">
      <alignment vertical="center"/>
      <protection hidden="1"/>
    </xf>
    <xf numFmtId="2" fontId="0" fillId="35" borderId="61" xfId="0" applyNumberFormat="1" applyFill="1" applyBorder="1" applyAlignment="1" applyProtection="1">
      <alignment vertical="center"/>
      <protection hidden="1"/>
    </xf>
    <xf numFmtId="2" fontId="0" fillId="35" borderId="79" xfId="0" applyNumberFormat="1" applyFill="1" applyBorder="1" applyAlignment="1" applyProtection="1">
      <alignment vertical="center"/>
      <protection hidden="1"/>
    </xf>
    <xf numFmtId="0" fontId="0" fillId="66" borderId="0" xfId="0" applyFill="1" applyProtection="1">
      <protection hidden="1"/>
    </xf>
    <xf numFmtId="0" fontId="59" fillId="68" borderId="38" xfId="0" applyFont="1" applyFill="1" applyBorder="1" applyAlignment="1">
      <alignment horizontal="center" vertical="center"/>
    </xf>
    <xf numFmtId="0" fontId="0" fillId="0" borderId="83" xfId="0" applyBorder="1"/>
    <xf numFmtId="0" fontId="16" fillId="0" borderId="84" xfId="0" applyFont="1" applyBorder="1"/>
    <xf numFmtId="0" fontId="0" fillId="0" borderId="84" xfId="0" applyBorder="1"/>
    <xf numFmtId="0" fontId="0" fillId="0" borderId="85" xfId="0" applyBorder="1"/>
    <xf numFmtId="0" fontId="0" fillId="0" borderId="86" xfId="0" applyBorder="1"/>
    <xf numFmtId="0" fontId="0" fillId="0" borderId="87" xfId="0" applyBorder="1"/>
    <xf numFmtId="0" fontId="16" fillId="0" borderId="88" xfId="0" applyFont="1" applyBorder="1" applyAlignment="1">
      <alignment horizontal="center"/>
    </xf>
    <xf numFmtId="0" fontId="16" fillId="0" borderId="89" xfId="0" applyFont="1" applyBorder="1" applyAlignment="1">
      <alignment horizontal="center"/>
    </xf>
    <xf numFmtId="0" fontId="16" fillId="0" borderId="90" xfId="0" applyFont="1" applyBorder="1" applyAlignment="1">
      <alignment horizontal="center"/>
    </xf>
    <xf numFmtId="0" fontId="16" fillId="0" borderId="86" xfId="0" applyFont="1" applyBorder="1"/>
    <xf numFmtId="0" fontId="0" fillId="0" borderId="91" xfId="0" applyBorder="1" applyAlignment="1">
      <alignment horizontal="center"/>
    </xf>
    <xf numFmtId="0" fontId="0" fillId="0" borderId="33" xfId="0" applyBorder="1" applyAlignment="1">
      <alignment horizontal="center"/>
    </xf>
    <xf numFmtId="0" fontId="0" fillId="0" borderId="75" xfId="0" applyBorder="1" applyAlignment="1">
      <alignment horizontal="center"/>
    </xf>
    <xf numFmtId="0" fontId="0" fillId="70" borderId="0" xfId="0" applyFill="1"/>
    <xf numFmtId="0" fontId="0" fillId="0" borderId="18" xfId="0" applyBorder="1" applyAlignment="1">
      <alignment horizontal="center"/>
    </xf>
    <xf numFmtId="0" fontId="0" fillId="0" borderId="17" xfId="0" applyBorder="1" applyAlignment="1">
      <alignment horizontal="center"/>
    </xf>
    <xf numFmtId="0" fontId="0" fillId="0" borderId="64" xfId="0" applyBorder="1" applyAlignment="1">
      <alignment horizontal="center"/>
    </xf>
    <xf numFmtId="0" fontId="0" fillId="0" borderId="48" xfId="0" applyBorder="1" applyAlignment="1">
      <alignment horizontal="center"/>
    </xf>
    <xf numFmtId="0" fontId="0" fillId="0" borderId="21" xfId="0" applyBorder="1" applyAlignment="1">
      <alignment horizontal="center"/>
    </xf>
    <xf numFmtId="0" fontId="0" fillId="71" borderId="0" xfId="0" applyFill="1"/>
    <xf numFmtId="0" fontId="0" fillId="67" borderId="0" xfId="0" applyFill="1"/>
    <xf numFmtId="0" fontId="0" fillId="0" borderId="92" xfId="0" applyBorder="1"/>
    <xf numFmtId="0" fontId="0" fillId="0" borderId="93" xfId="0" applyBorder="1"/>
    <xf numFmtId="0" fontId="0" fillId="0" borderId="94" xfId="0" applyBorder="1"/>
    <xf numFmtId="0" fontId="17" fillId="70" borderId="39" xfId="0" applyFont="1" applyFill="1" applyBorder="1" applyAlignment="1" applyProtection="1">
      <alignment horizontal="left" vertical="center" indent="1"/>
      <protection hidden="1"/>
    </xf>
    <xf numFmtId="0" fontId="17" fillId="70" borderId="40" xfId="0" applyFont="1" applyFill="1" applyBorder="1" applyAlignment="1" applyProtection="1">
      <alignment horizontal="left" vertical="center" indent="1"/>
      <protection hidden="1"/>
    </xf>
    <xf numFmtId="0" fontId="17" fillId="70" borderId="41" xfId="0" applyFont="1" applyFill="1" applyBorder="1" applyAlignment="1" applyProtection="1">
      <alignment horizontal="left" vertical="center" indent="1"/>
      <protection hidden="1"/>
    </xf>
    <xf numFmtId="0" fontId="78" fillId="70" borderId="63" xfId="0" applyFont="1" applyFill="1" applyBorder="1" applyAlignment="1" applyProtection="1">
      <alignment horizontal="left" vertical="center" indent="1"/>
      <protection hidden="1"/>
    </xf>
    <xf numFmtId="0" fontId="17" fillId="70" borderId="67" xfId="0" applyFont="1" applyFill="1" applyBorder="1" applyAlignment="1" applyProtection="1">
      <alignment horizontal="left" vertical="center" indent="1"/>
      <protection hidden="1"/>
    </xf>
    <xf numFmtId="0" fontId="17" fillId="70" borderId="51" xfId="0" applyFont="1" applyFill="1" applyBorder="1" applyAlignment="1" applyProtection="1">
      <alignment horizontal="left" vertical="center" indent="1"/>
      <protection hidden="1"/>
    </xf>
    <xf numFmtId="0" fontId="17" fillId="70" borderId="56" xfId="0" applyFont="1" applyFill="1" applyBorder="1" applyAlignment="1" applyProtection="1">
      <alignment horizontal="left" vertical="center" indent="1"/>
      <protection hidden="1"/>
    </xf>
    <xf numFmtId="0" fontId="17" fillId="70" borderId="62" xfId="0" applyFont="1" applyFill="1" applyBorder="1" applyAlignment="1" applyProtection="1">
      <alignment horizontal="left" vertical="center" indent="1"/>
      <protection hidden="1"/>
    </xf>
    <xf numFmtId="164" fontId="78" fillId="70" borderId="68" xfId="1" applyNumberFormat="1" applyFont="1" applyFill="1" applyBorder="1" applyAlignment="1" applyProtection="1">
      <alignment horizontal="center" vertical="center" wrapText="1"/>
      <protection hidden="1"/>
    </xf>
    <xf numFmtId="0" fontId="78" fillId="70" borderId="58" xfId="0" applyFont="1" applyFill="1" applyBorder="1" applyAlignment="1" applyProtection="1">
      <alignment horizontal="center" vertical="center" wrapText="1"/>
      <protection hidden="1"/>
    </xf>
    <xf numFmtId="0" fontId="78" fillId="70" borderId="76" xfId="0" applyFont="1" applyFill="1" applyBorder="1" applyAlignment="1" applyProtection="1">
      <alignment horizontal="center" vertical="center" wrapText="1"/>
      <protection hidden="1"/>
    </xf>
    <xf numFmtId="0" fontId="78" fillId="70" borderId="60" xfId="0" applyFont="1" applyFill="1" applyBorder="1" applyAlignment="1" applyProtection="1">
      <alignment horizontal="center" vertical="center" wrapText="1"/>
      <protection hidden="1"/>
    </xf>
    <xf numFmtId="0" fontId="78" fillId="70" borderId="63" xfId="0" applyFont="1" applyFill="1" applyBorder="1" applyAlignment="1" applyProtection="1">
      <alignment horizontal="center" vertical="center"/>
      <protection hidden="1"/>
    </xf>
    <xf numFmtId="174" fontId="17" fillId="70" borderId="70" xfId="0" applyNumberFormat="1" applyFont="1" applyFill="1" applyBorder="1" applyAlignment="1" applyProtection="1">
      <alignment horizontal="center" vertical="center"/>
      <protection hidden="1"/>
    </xf>
    <xf numFmtId="175" fontId="17" fillId="70" borderId="61" xfId="0" applyNumberFormat="1" applyFont="1" applyFill="1" applyBorder="1" applyAlignment="1" applyProtection="1">
      <alignment horizontal="center" vertical="center"/>
      <protection hidden="1"/>
    </xf>
    <xf numFmtId="175" fontId="17" fillId="70" borderId="71" xfId="0" applyNumberFormat="1" applyFont="1" applyFill="1" applyBorder="1" applyAlignment="1" applyProtection="1">
      <alignment horizontal="center" vertical="center"/>
      <protection hidden="1"/>
    </xf>
    <xf numFmtId="166" fontId="17" fillId="70" borderId="71" xfId="0" applyNumberFormat="1" applyFont="1" applyFill="1" applyBorder="1" applyAlignment="1" applyProtection="1">
      <alignment horizontal="right" vertical="center"/>
      <protection hidden="1"/>
    </xf>
    <xf numFmtId="166" fontId="17" fillId="70" borderId="64" xfId="0" applyNumberFormat="1" applyFont="1" applyFill="1" applyBorder="1" applyAlignment="1" applyProtection="1">
      <alignment horizontal="right" vertical="center"/>
      <protection hidden="1"/>
    </xf>
    <xf numFmtId="0" fontId="79" fillId="34" borderId="0" xfId="0" applyFont="1" applyFill="1" applyProtection="1">
      <protection hidden="1"/>
    </xf>
    <xf numFmtId="0" fontId="13" fillId="70" borderId="19" xfId="0" applyFont="1" applyFill="1" applyBorder="1" applyAlignment="1" applyProtection="1">
      <alignment horizontal="center" vertical="center" wrapText="1"/>
      <protection hidden="1"/>
    </xf>
    <xf numFmtId="0" fontId="13" fillId="70" borderId="20" xfId="0" applyFont="1" applyFill="1" applyBorder="1" applyAlignment="1" applyProtection="1">
      <alignment horizontal="center" vertical="center" wrapText="1"/>
      <protection hidden="1"/>
    </xf>
    <xf numFmtId="0" fontId="13" fillId="70" borderId="73" xfId="0" applyFont="1" applyFill="1" applyBorder="1" applyAlignment="1" applyProtection="1">
      <alignment horizontal="center" vertical="center" wrapText="1"/>
      <protection hidden="1"/>
    </xf>
    <xf numFmtId="0" fontId="13" fillId="72" borderId="19" xfId="0" applyFont="1" applyFill="1" applyBorder="1" applyAlignment="1">
      <alignment horizontal="center" vertical="center" wrapText="1"/>
    </xf>
    <xf numFmtId="0" fontId="13" fillId="72" borderId="20" xfId="0" applyFont="1" applyFill="1" applyBorder="1" applyAlignment="1">
      <alignment horizontal="center" vertical="center" wrapText="1"/>
    </xf>
    <xf numFmtId="0" fontId="13" fillId="72" borderId="21" xfId="0" applyFont="1" applyFill="1" applyBorder="1" applyAlignment="1">
      <alignment horizontal="center" vertical="center" wrapText="1"/>
    </xf>
    <xf numFmtId="0" fontId="80" fillId="34" borderId="0" xfId="0" applyFont="1" applyFill="1" applyProtection="1">
      <protection hidden="1"/>
    </xf>
    <xf numFmtId="0" fontId="81" fillId="34" borderId="0" xfId="0" applyFont="1" applyFill="1" applyProtection="1">
      <protection hidden="1"/>
    </xf>
    <xf numFmtId="0" fontId="82" fillId="34" borderId="0" xfId="0" applyFont="1" applyFill="1" applyAlignment="1" applyProtection="1">
      <alignment horizontal="left"/>
      <protection hidden="1"/>
    </xf>
    <xf numFmtId="0" fontId="81" fillId="66" borderId="0" xfId="0" applyFont="1" applyFill="1" applyProtection="1">
      <protection hidden="1"/>
    </xf>
    <xf numFmtId="0" fontId="0" fillId="33" borderId="48" xfId="0" applyFill="1" applyBorder="1" applyAlignment="1" applyProtection="1">
      <alignment horizontal="left" vertical="center"/>
      <protection locked="0"/>
    </xf>
    <xf numFmtId="0" fontId="0" fillId="33" borderId="21" xfId="0" applyFill="1" applyBorder="1" applyAlignment="1" applyProtection="1">
      <alignment horizontal="left" vertical="center"/>
      <protection locked="0"/>
    </xf>
    <xf numFmtId="0" fontId="0" fillId="33" borderId="51" xfId="0" applyFill="1" applyBorder="1" applyAlignment="1" applyProtection="1">
      <alignment horizontal="left" vertical="center"/>
      <protection locked="0"/>
    </xf>
    <xf numFmtId="0" fontId="0" fillId="33" borderId="52" xfId="0" applyFill="1" applyBorder="1" applyAlignment="1" applyProtection="1">
      <alignment horizontal="left" vertical="center"/>
      <protection locked="0"/>
    </xf>
    <xf numFmtId="14" fontId="0" fillId="33" borderId="51" xfId="0" applyNumberFormat="1" applyFill="1" applyBorder="1" applyAlignment="1" applyProtection="1">
      <alignment horizontal="left" vertical="center"/>
      <protection locked="0"/>
    </xf>
    <xf numFmtId="0" fontId="55" fillId="34" borderId="0" xfId="0" applyFont="1" applyFill="1" applyAlignment="1" applyProtection="1">
      <alignment horizontal="left"/>
      <protection hidden="1"/>
    </xf>
    <xf numFmtId="0" fontId="29" fillId="34" borderId="0" xfId="0" applyFont="1" applyFill="1" applyAlignment="1" applyProtection="1">
      <alignment horizontal="left" vertical="center" wrapText="1"/>
      <protection hidden="1"/>
    </xf>
    <xf numFmtId="14" fontId="0" fillId="33" borderId="50" xfId="0" applyNumberFormat="1" applyFill="1" applyBorder="1" applyAlignment="1" applyProtection="1">
      <alignment horizontal="left" vertical="center"/>
      <protection locked="0"/>
    </xf>
    <xf numFmtId="14" fontId="0" fillId="33" borderId="14" xfId="0" applyNumberFormat="1" applyFill="1" applyBorder="1" applyAlignment="1" applyProtection="1">
      <alignment horizontal="left" vertical="center"/>
      <protection locked="0"/>
    </xf>
    <xf numFmtId="0" fontId="0" fillId="33" borderId="18" xfId="0" applyFill="1" applyBorder="1" applyAlignment="1" applyProtection="1">
      <alignment horizontal="left" vertical="center"/>
      <protection locked="0"/>
    </xf>
    <xf numFmtId="0" fontId="0" fillId="33" borderId="17" xfId="0" applyFill="1" applyBorder="1" applyAlignment="1" applyProtection="1">
      <alignment horizontal="left" vertical="center"/>
      <protection locked="0"/>
    </xf>
    <xf numFmtId="166" fontId="0" fillId="33" borderId="18" xfId="0" applyNumberFormat="1" applyFill="1" applyBorder="1" applyAlignment="1" applyProtection="1">
      <alignment horizontal="left" vertical="center"/>
      <protection locked="0"/>
    </xf>
    <xf numFmtId="166" fontId="0" fillId="33" borderId="17" xfId="0" applyNumberFormat="1" applyFill="1" applyBorder="1" applyAlignment="1" applyProtection="1">
      <alignment horizontal="left" vertical="center"/>
      <protection locked="0"/>
    </xf>
    <xf numFmtId="14" fontId="0" fillId="33" borderId="52" xfId="0" applyNumberFormat="1" applyFill="1" applyBorder="1" applyAlignment="1" applyProtection="1">
      <alignment horizontal="left" vertical="center"/>
      <protection locked="0"/>
    </xf>
    <xf numFmtId="0" fontId="0" fillId="67" borderId="0" xfId="0" applyFill="1" applyAlignment="1">
      <alignment horizontal="center" vertical="top"/>
    </xf>
    <xf numFmtId="0" fontId="16" fillId="0" borderId="43" xfId="0" applyFont="1" applyBorder="1" applyAlignment="1">
      <alignment horizontal="center" vertical="center"/>
    </xf>
    <xf numFmtId="0" fontId="16" fillId="0" borderId="44" xfId="0" applyFont="1" applyBorder="1" applyAlignment="1">
      <alignment horizontal="center" vertical="center"/>
    </xf>
    <xf numFmtId="0" fontId="16" fillId="0" borderId="45" xfId="0" applyFont="1" applyBorder="1" applyAlignment="1">
      <alignment horizontal="center" vertical="center"/>
    </xf>
    <xf numFmtId="0" fontId="16" fillId="69" borderId="57" xfId="0" applyFont="1" applyFill="1" applyBorder="1" applyAlignment="1">
      <alignment horizontal="center"/>
    </xf>
    <xf numFmtId="0" fontId="16" fillId="69" borderId="53" xfId="0" applyFont="1" applyFill="1" applyBorder="1" applyAlignment="1">
      <alignment horizontal="center"/>
    </xf>
    <xf numFmtId="0" fontId="16" fillId="69" borderId="60" xfId="0" applyFont="1" applyFill="1" applyBorder="1" applyAlignment="1">
      <alignment horizontal="center"/>
    </xf>
    <xf numFmtId="0" fontId="16" fillId="68" borderId="0" xfId="0" applyFont="1" applyFill="1" applyAlignment="1">
      <alignment horizontal="center"/>
    </xf>
    <xf numFmtId="0" fontId="0" fillId="34" borderId="16" xfId="0" applyFill="1" applyBorder="1" applyAlignment="1" applyProtection="1">
      <alignment vertical="center" wrapText="1"/>
      <protection hidden="1"/>
    </xf>
    <xf numFmtId="0" fontId="0" fillId="34" borderId="18" xfId="0" applyFill="1" applyBorder="1" applyAlignment="1" applyProtection="1">
      <alignment vertical="center" wrapText="1"/>
      <protection hidden="1"/>
    </xf>
    <xf numFmtId="0" fontId="22" fillId="34" borderId="0" xfId="43" applyFont="1" applyFill="1" applyAlignment="1" applyProtection="1">
      <alignment horizontal="left" vertical="center" wrapText="1"/>
      <protection hidden="1"/>
    </xf>
    <xf numFmtId="0" fontId="22" fillId="34" borderId="0" xfId="43" applyFont="1" applyFill="1" applyAlignment="1" applyProtection="1">
      <alignment vertical="center" wrapText="1"/>
      <protection hidden="1"/>
    </xf>
    <xf numFmtId="0" fontId="54" fillId="34" borderId="22" xfId="43" applyFont="1" applyFill="1" applyBorder="1" applyAlignment="1" applyProtection="1">
      <alignment horizontal="left" vertical="center"/>
      <protection hidden="1"/>
    </xf>
    <xf numFmtId="0" fontId="0" fillId="33" borderId="10" xfId="0" applyFill="1" applyBorder="1" applyAlignment="1" applyProtection="1">
      <alignment horizontal="left" vertical="center" indent="1"/>
      <protection hidden="1"/>
    </xf>
    <xf numFmtId="0" fontId="0" fillId="35" borderId="10" xfId="0" applyFill="1" applyBorder="1" applyAlignment="1" applyProtection="1">
      <alignment horizontal="left" vertical="center" indent="1"/>
      <protection hidden="1"/>
    </xf>
    <xf numFmtId="0" fontId="54" fillId="34" borderId="0" xfId="43" applyFont="1" applyFill="1" applyAlignment="1" applyProtection="1">
      <alignment horizontal="left" vertical="center"/>
      <protection hidden="1"/>
    </xf>
    <xf numFmtId="0" fontId="0" fillId="34" borderId="10" xfId="0" applyFill="1" applyBorder="1" applyAlignment="1" applyProtection="1">
      <alignment vertical="center" wrapText="1"/>
      <protection hidden="1"/>
    </xf>
    <xf numFmtId="0" fontId="0" fillId="34" borderId="16" xfId="0" applyFill="1" applyBorder="1" applyAlignment="1" applyProtection="1">
      <alignment horizontal="left" vertical="center" wrapText="1"/>
      <protection hidden="1"/>
    </xf>
    <xf numFmtId="0" fontId="0" fillId="34" borderId="18" xfId="0" applyFill="1" applyBorder="1" applyAlignment="1" applyProtection="1">
      <alignment horizontal="left" vertical="center" wrapText="1"/>
      <protection hidden="1"/>
    </xf>
    <xf numFmtId="0" fontId="66" fillId="36" borderId="43" xfId="0" applyFont="1" applyFill="1" applyBorder="1" applyAlignment="1">
      <alignment horizontal="left" vertical="center"/>
    </xf>
    <xf numFmtId="0" fontId="66" fillId="36" borderId="44" xfId="0" applyFont="1" applyFill="1" applyBorder="1" applyAlignment="1">
      <alignment horizontal="left" vertical="center"/>
    </xf>
    <xf numFmtId="0" fontId="66" fillId="36" borderId="54" xfId="0" applyFont="1" applyFill="1" applyBorder="1" applyAlignment="1">
      <alignment horizontal="left" vertical="center"/>
    </xf>
    <xf numFmtId="0" fontId="66" fillId="34" borderId="0" xfId="0" applyFont="1" applyFill="1" applyAlignment="1">
      <alignment horizontal="left" vertical="center"/>
    </xf>
    <xf numFmtId="0" fontId="66" fillId="36" borderId="45" xfId="0" applyFont="1" applyFill="1" applyBorder="1" applyAlignment="1">
      <alignment horizontal="left" vertical="center"/>
    </xf>
    <xf numFmtId="0" fontId="66" fillId="36" borderId="57" xfId="0" applyFont="1" applyFill="1" applyBorder="1" applyAlignment="1">
      <alignment horizontal="left" vertical="center"/>
    </xf>
    <xf numFmtId="0" fontId="66" fillId="36" borderId="53" xfId="0" applyFont="1" applyFill="1" applyBorder="1" applyAlignment="1">
      <alignment horizontal="left" vertical="center"/>
    </xf>
    <xf numFmtId="0" fontId="66" fillId="36" borderId="68" xfId="0" applyFont="1" applyFill="1" applyBorder="1" applyAlignment="1">
      <alignment horizontal="left" vertical="center"/>
    </xf>
    <xf numFmtId="0" fontId="13" fillId="70" borderId="63" xfId="0" applyFont="1" applyFill="1" applyBorder="1" applyAlignment="1" applyProtection="1">
      <alignment horizontal="center" vertical="center" wrapText="1"/>
      <protection hidden="1"/>
    </xf>
    <xf numFmtId="0" fontId="13" fillId="70" borderId="64" xfId="0" applyFont="1" applyFill="1" applyBorder="1" applyAlignment="1" applyProtection="1">
      <alignment horizontal="center" vertical="center" wrapText="1"/>
      <protection hidden="1"/>
    </xf>
    <xf numFmtId="14" fontId="13" fillId="70" borderId="12" xfId="0" applyNumberFormat="1" applyFont="1" applyFill="1" applyBorder="1" applyAlignment="1" applyProtection="1">
      <alignment horizontal="center" vertical="center"/>
      <protection hidden="1"/>
    </xf>
    <xf numFmtId="14" fontId="13" fillId="70" borderId="13" xfId="0" applyNumberFormat="1" applyFont="1" applyFill="1" applyBorder="1" applyAlignment="1" applyProtection="1">
      <alignment horizontal="center" vertical="center"/>
      <protection hidden="1"/>
    </xf>
    <xf numFmtId="14" fontId="13" fillId="70" borderId="72" xfId="0" applyNumberFormat="1" applyFont="1" applyFill="1" applyBorder="1" applyAlignment="1" applyProtection="1">
      <alignment horizontal="center" vertical="center"/>
      <protection hidden="1"/>
    </xf>
    <xf numFmtId="0" fontId="81" fillId="34" borderId="0" xfId="0" applyFont="1" applyFill="1" applyAlignment="1" applyProtection="1">
      <alignment horizontal="left" vertical="center" wrapText="1"/>
      <protection hidden="1"/>
    </xf>
    <xf numFmtId="0" fontId="13" fillId="70" borderId="53" xfId="0" applyFont="1" applyFill="1" applyBorder="1" applyAlignment="1" applyProtection="1">
      <alignment horizontal="center" vertical="center" wrapText="1"/>
      <protection hidden="1"/>
    </xf>
    <xf numFmtId="0" fontId="13" fillId="70" borderId="66" xfId="0" applyFont="1" applyFill="1" applyBorder="1" applyAlignment="1" applyProtection="1">
      <alignment horizontal="center" vertical="center" wrapText="1"/>
      <protection hidden="1"/>
    </xf>
    <xf numFmtId="0" fontId="13" fillId="70" borderId="12" xfId="0" applyFont="1" applyFill="1" applyBorder="1" applyAlignment="1" applyProtection="1">
      <alignment horizontal="center" vertical="center" wrapText="1"/>
      <protection hidden="1"/>
    </xf>
    <xf numFmtId="0" fontId="13" fillId="70" borderId="13" xfId="0" applyFont="1" applyFill="1" applyBorder="1" applyAlignment="1" applyProtection="1">
      <alignment horizontal="center" vertical="center" wrapText="1"/>
      <protection hidden="1"/>
    </xf>
    <xf numFmtId="0" fontId="13" fillId="70" borderId="14" xfId="0" applyFont="1" applyFill="1" applyBorder="1" applyAlignment="1" applyProtection="1">
      <alignment horizontal="center" vertical="center" wrapText="1"/>
      <protection hidden="1"/>
    </xf>
    <xf numFmtId="0" fontId="13" fillId="70" borderId="57" xfId="0" applyFont="1" applyFill="1" applyBorder="1" applyAlignment="1" applyProtection="1">
      <alignment horizontal="center" vertical="center" wrapText="1"/>
      <protection hidden="1"/>
    </xf>
    <xf numFmtId="0" fontId="13" fillId="70" borderId="62" xfId="0" applyFont="1" applyFill="1" applyBorder="1" applyAlignment="1" applyProtection="1">
      <alignment horizontal="center" vertical="center" wrapText="1"/>
      <protection hidden="1"/>
    </xf>
    <xf numFmtId="0" fontId="50" fillId="36" borderId="63" xfId="0" applyFont="1" applyFill="1" applyBorder="1" applyAlignment="1" applyProtection="1">
      <alignment horizontal="center" vertical="center" wrapText="1"/>
      <protection hidden="1"/>
    </xf>
    <xf numFmtId="0" fontId="50" fillId="36" borderId="64" xfId="0" applyFont="1" applyFill="1" applyBorder="1" applyAlignment="1" applyProtection="1">
      <alignment horizontal="center" vertical="center" wrapText="1"/>
      <protection hidden="1"/>
    </xf>
    <xf numFmtId="0" fontId="50" fillId="36" borderId="12" xfId="0" applyFont="1" applyFill="1" applyBorder="1" applyAlignment="1" applyProtection="1">
      <alignment horizontal="center" vertical="center"/>
      <protection hidden="1"/>
    </xf>
    <xf numFmtId="0" fontId="50" fillId="36" borderId="14" xfId="0" applyFont="1" applyFill="1" applyBorder="1" applyAlignment="1" applyProtection="1">
      <alignment horizontal="center" vertical="center"/>
      <protection hidden="1"/>
    </xf>
    <xf numFmtId="0" fontId="50" fillId="36" borderId="53" xfId="0" applyFont="1" applyFill="1" applyBorder="1" applyAlignment="1" applyProtection="1">
      <alignment horizontal="center" vertical="center" wrapText="1"/>
      <protection hidden="1"/>
    </xf>
    <xf numFmtId="0" fontId="50" fillId="36" borderId="66" xfId="0" applyFont="1" applyFill="1" applyBorder="1" applyAlignment="1" applyProtection="1">
      <alignment horizontal="center" vertical="center" wrapText="1"/>
      <protection hidden="1"/>
    </xf>
    <xf numFmtId="0" fontId="76" fillId="65" borderId="50" xfId="0" applyFont="1" applyFill="1" applyBorder="1" applyAlignment="1">
      <alignment horizontal="center" vertical="center"/>
    </xf>
    <xf numFmtId="0" fontId="76" fillId="65" borderId="13" xfId="0" applyFont="1" applyFill="1" applyBorder="1" applyAlignment="1">
      <alignment horizontal="center" vertical="center"/>
    </xf>
    <xf numFmtId="0" fontId="76" fillId="65" borderId="14" xfId="0" applyFont="1" applyFill="1" applyBorder="1" applyAlignment="1">
      <alignment horizontal="center" vertical="center"/>
    </xf>
    <xf numFmtId="0" fontId="50" fillId="36" borderId="57" xfId="0" applyFont="1" applyFill="1" applyBorder="1" applyAlignment="1" applyProtection="1">
      <alignment horizontal="center" vertical="center" wrapText="1"/>
      <protection hidden="1"/>
    </xf>
    <xf numFmtId="0" fontId="50" fillId="36" borderId="62" xfId="0" applyFont="1" applyFill="1" applyBorder="1" applyAlignment="1" applyProtection="1">
      <alignment horizontal="center" vertical="center" wrapText="1"/>
      <protection hidden="1"/>
    </xf>
    <xf numFmtId="0" fontId="13" fillId="70" borderId="39" xfId="0" applyFont="1" applyFill="1" applyBorder="1" applyAlignment="1" applyProtection="1">
      <alignment horizontal="center" vertical="center" wrapText="1"/>
      <protection hidden="1"/>
    </xf>
    <xf numFmtId="0" fontId="13" fillId="70" borderId="41" xfId="0" applyFont="1" applyFill="1" applyBorder="1" applyAlignment="1" applyProtection="1">
      <alignment horizontal="center" vertical="center" wrapText="1"/>
      <protection hidden="1"/>
    </xf>
    <xf numFmtId="0" fontId="13" fillId="70" borderId="82" xfId="0" applyFont="1" applyFill="1" applyBorder="1" applyAlignment="1" applyProtection="1">
      <alignment horizontal="center" vertical="center" wrapText="1"/>
      <protection hidden="1"/>
    </xf>
    <xf numFmtId="0" fontId="13" fillId="70" borderId="80" xfId="0" applyFont="1" applyFill="1" applyBorder="1" applyAlignment="1" applyProtection="1">
      <alignment horizontal="center" vertical="center" wrapText="1"/>
      <protection hidden="1"/>
    </xf>
    <xf numFmtId="0" fontId="13" fillId="70" borderId="12" xfId="0" applyFont="1" applyFill="1" applyBorder="1" applyAlignment="1" applyProtection="1">
      <alignment horizontal="center" vertical="center"/>
      <protection hidden="1"/>
    </xf>
    <xf numFmtId="0" fontId="13" fillId="70" borderId="13" xfId="0" applyFont="1" applyFill="1" applyBorder="1" applyAlignment="1" applyProtection="1">
      <alignment horizontal="center" vertical="center"/>
      <protection hidden="1"/>
    </xf>
    <xf numFmtId="0" fontId="13" fillId="70" borderId="72" xfId="0" applyFont="1" applyFill="1" applyBorder="1" applyAlignment="1" applyProtection="1">
      <alignment horizontal="center" vertical="center"/>
      <protection hidden="1"/>
    </xf>
    <xf numFmtId="0" fontId="13" fillId="72" borderId="12" xfId="0" applyFont="1" applyFill="1" applyBorder="1" applyAlignment="1">
      <alignment horizontal="center" vertical="center"/>
    </xf>
    <xf numFmtId="0" fontId="13" fillId="72" borderId="13" xfId="0" applyFont="1" applyFill="1" applyBorder="1" applyAlignment="1">
      <alignment horizontal="center" vertical="center"/>
    </xf>
    <xf numFmtId="0" fontId="13" fillId="72" borderId="14" xfId="0" applyFont="1" applyFill="1" applyBorder="1" applyAlignment="1">
      <alignment horizontal="center" vertical="center"/>
    </xf>
    <xf numFmtId="0" fontId="50" fillId="36" borderId="57" xfId="0" applyFont="1" applyFill="1" applyBorder="1" applyAlignment="1" applyProtection="1">
      <alignment horizontal="center" vertical="center"/>
      <protection hidden="1"/>
    </xf>
    <xf numFmtId="0" fontId="50" fillId="36" borderId="53" xfId="0" applyFont="1" applyFill="1" applyBorder="1" applyAlignment="1" applyProtection="1">
      <alignment horizontal="center" vertical="center"/>
      <protection hidden="1"/>
    </xf>
    <xf numFmtId="0" fontId="50" fillId="36" borderId="43" xfId="0" applyFont="1" applyFill="1" applyBorder="1" applyAlignment="1" applyProtection="1">
      <alignment horizontal="center" vertical="center" wrapText="1"/>
      <protection hidden="1"/>
    </xf>
    <xf numFmtId="0" fontId="50" fillId="36" borderId="44" xfId="0" applyFont="1" applyFill="1" applyBorder="1" applyAlignment="1" applyProtection="1">
      <alignment horizontal="center" vertical="center" wrapText="1"/>
      <protection hidden="1"/>
    </xf>
    <xf numFmtId="0" fontId="50" fillId="36" borderId="45" xfId="0" applyFont="1" applyFill="1" applyBorder="1" applyAlignment="1" applyProtection="1">
      <alignment horizontal="center" vertical="center" wrapText="1"/>
      <protection hidden="1"/>
    </xf>
    <xf numFmtId="0" fontId="18" fillId="34" borderId="0" xfId="0" applyFont="1" applyFill="1" applyAlignment="1">
      <alignment horizontal="left"/>
    </xf>
    <xf numFmtId="0" fontId="57" fillId="34" borderId="0" xfId="0" applyFont="1" applyFill="1" applyAlignment="1">
      <alignment horizontal="left" vertical="center" wrapText="1"/>
    </xf>
    <xf numFmtId="0" fontId="56" fillId="0" borderId="63" xfId="0" applyFont="1" applyBorder="1" applyAlignment="1">
      <alignment horizontal="left" vertical="center" wrapText="1"/>
    </xf>
    <xf numFmtId="0" fontId="56" fillId="0" borderId="64" xfId="0" applyFont="1" applyBorder="1" applyAlignment="1">
      <alignment horizontal="left" vertical="center" wrapText="1"/>
    </xf>
    <xf numFmtId="0" fontId="58" fillId="61" borderId="63" xfId="0" applyFont="1" applyFill="1" applyBorder="1" applyAlignment="1">
      <alignment horizontal="center" vertical="center" wrapText="1"/>
    </xf>
    <xf numFmtId="0" fontId="58" fillId="61" borderId="64" xfId="0" applyFont="1" applyFill="1" applyBorder="1" applyAlignment="1">
      <alignment horizontal="center" vertical="center" wrapText="1"/>
    </xf>
    <xf numFmtId="0" fontId="56" fillId="0" borderId="63" xfId="0" applyFont="1" applyBorder="1" applyAlignment="1">
      <alignment horizontal="center" vertical="center" wrapText="1"/>
    </xf>
    <xf numFmtId="0" fontId="56" fillId="0" borderId="64" xfId="0" applyFont="1" applyBorder="1" applyAlignment="1">
      <alignment horizontal="center" vertical="center" wrapText="1"/>
    </xf>
    <xf numFmtId="0" fontId="0" fillId="34" borderId="0" xfId="0" applyFill="1" applyAlignment="1">
      <alignment horizontal="center"/>
    </xf>
    <xf numFmtId="0" fontId="18" fillId="36" borderId="43" xfId="0" applyFont="1" applyFill="1" applyBorder="1" applyAlignment="1">
      <alignment vertical="center"/>
    </xf>
    <xf numFmtId="0" fontId="18" fillId="36" borderId="44" xfId="0" applyFont="1" applyFill="1" applyBorder="1" applyAlignment="1">
      <alignment vertical="center"/>
    </xf>
    <xf numFmtId="0" fontId="18" fillId="36" borderId="45" xfId="0" applyFont="1" applyFill="1" applyBorder="1" applyAlignment="1">
      <alignment vertical="center"/>
    </xf>
    <xf numFmtId="0" fontId="58" fillId="34" borderId="0" xfId="0" applyFont="1" applyFill="1" applyAlignment="1">
      <alignment horizontal="center" vertical="center" wrapText="1"/>
    </xf>
    <xf numFmtId="0" fontId="18" fillId="34" borderId="0" xfId="0" applyFont="1" applyFill="1" applyAlignment="1">
      <alignment horizontal="center"/>
    </xf>
    <xf numFmtId="9" fontId="0" fillId="34" borderId="0" xfId="0" applyNumberFormat="1" applyFill="1" applyAlignment="1" applyProtection="1">
      <alignment horizontal="right" vertical="center"/>
      <protection hidden="1"/>
    </xf>
    <xf numFmtId="0" fontId="0" fillId="34" borderId="0" xfId="0" applyFill="1" applyAlignment="1" applyProtection="1">
      <alignment horizontal="right" vertical="center"/>
      <protection hidden="1"/>
    </xf>
    <xf numFmtId="0" fontId="0" fillId="34" borderId="0" xfId="0" applyFill="1" applyAlignment="1" applyProtection="1">
      <alignment horizontal="center" vertical="center"/>
      <protection hidden="1"/>
    </xf>
    <xf numFmtId="0" fontId="58" fillId="61" borderId="43" xfId="0" applyFont="1" applyFill="1" applyBorder="1" applyAlignment="1">
      <alignment horizontal="center" vertical="center" wrapText="1"/>
    </xf>
    <xf numFmtId="0" fontId="58" fillId="61" borderId="45" xfId="0" applyFont="1" applyFill="1" applyBorder="1" applyAlignment="1">
      <alignment horizontal="center" vertical="center" wrapText="1"/>
    </xf>
    <xf numFmtId="0" fontId="18" fillId="36" borderId="43" xfId="0" applyFont="1" applyFill="1" applyBorder="1" applyAlignment="1">
      <alignment horizontal="left" vertical="center"/>
    </xf>
    <xf numFmtId="0" fontId="18" fillId="36" borderId="44" xfId="0" applyFont="1" applyFill="1" applyBorder="1" applyAlignment="1">
      <alignment horizontal="left" vertical="center"/>
    </xf>
    <xf numFmtId="0" fontId="18" fillId="36" borderId="45" xfId="0" applyFont="1" applyFill="1" applyBorder="1" applyAlignment="1">
      <alignment horizontal="left" vertical="center"/>
    </xf>
    <xf numFmtId="0" fontId="71" fillId="36" borderId="43" xfId="0" applyFont="1" applyFill="1" applyBorder="1" applyAlignment="1">
      <alignment horizontal="left" vertical="center"/>
    </xf>
    <xf numFmtId="0" fontId="57" fillId="61" borderId="43" xfId="0" applyFont="1" applyFill="1" applyBorder="1" applyAlignment="1">
      <alignment horizontal="center" vertical="center" wrapText="1"/>
    </xf>
    <xf numFmtId="0" fontId="57" fillId="61" borderId="45" xfId="0" applyFont="1" applyFill="1" applyBorder="1" applyAlignment="1">
      <alignment horizontal="center" vertical="center" wrapText="1"/>
    </xf>
    <xf numFmtId="0" fontId="56" fillId="0" borderId="63" xfId="0" applyFont="1" applyBorder="1" applyAlignment="1">
      <alignment horizontal="justify" vertical="center" wrapText="1"/>
    </xf>
    <xf numFmtId="0" fontId="56" fillId="0" borderId="64" xfId="0" applyFont="1" applyBorder="1" applyAlignment="1">
      <alignment horizontal="justify" vertical="center" wrapText="1"/>
    </xf>
    <xf numFmtId="0" fontId="61" fillId="0" borderId="63" xfId="0" applyFont="1" applyBorder="1" applyAlignment="1">
      <alignment horizontal="center" vertical="center" wrapText="1"/>
    </xf>
    <xf numFmtId="0" fontId="61" fillId="0" borderId="64" xfId="0" applyFont="1" applyBorder="1" applyAlignment="1">
      <alignment horizontal="center" vertical="center" wrapText="1"/>
    </xf>
    <xf numFmtId="0" fontId="52" fillId="34" borderId="0" xfId="0" applyFont="1" applyFill="1" applyAlignment="1">
      <alignment horizontal="left"/>
    </xf>
    <xf numFmtId="0" fontId="26" fillId="34" borderId="0" xfId="43" applyFont="1" applyFill="1" applyAlignment="1" applyProtection="1">
      <alignment horizontal="left" vertical="center"/>
      <protection hidden="1"/>
    </xf>
  </cellXfs>
  <cellStyles count="2001">
    <cellStyle name="20% - Accent1" xfId="20" builtinId="30" customBuiltin="1"/>
    <cellStyle name="20% - Accent1 2" xfId="56" xr:uid="{00000000-0005-0000-0000-000001000000}"/>
    <cellStyle name="20% - Accent2" xfId="24" builtinId="34" customBuiltin="1"/>
    <cellStyle name="20% - Accent2 2" xfId="57" xr:uid="{00000000-0005-0000-0000-000003000000}"/>
    <cellStyle name="20% - Accent3" xfId="28" builtinId="38" customBuiltin="1"/>
    <cellStyle name="20% - Accent3 2" xfId="58" xr:uid="{00000000-0005-0000-0000-000005000000}"/>
    <cellStyle name="20% - Accent4" xfId="32" builtinId="42" customBuiltin="1"/>
    <cellStyle name="20% - Accent4 2" xfId="59" xr:uid="{00000000-0005-0000-0000-000007000000}"/>
    <cellStyle name="20% - Accent5" xfId="36" builtinId="46" customBuiltin="1"/>
    <cellStyle name="20% - Accent5 2" xfId="60" xr:uid="{00000000-0005-0000-0000-000009000000}"/>
    <cellStyle name="20% - Accent6" xfId="40" builtinId="50" customBuiltin="1"/>
    <cellStyle name="20% - Accent6 2" xfId="61" xr:uid="{00000000-0005-0000-0000-00000B000000}"/>
    <cellStyle name="40% - Accent1" xfId="21" builtinId="31" customBuiltin="1"/>
    <cellStyle name="40% - Accent1 2" xfId="62" xr:uid="{00000000-0005-0000-0000-00000D000000}"/>
    <cellStyle name="40% - Accent2" xfId="25" builtinId="35" customBuiltin="1"/>
    <cellStyle name="40% - Accent2 2" xfId="63" xr:uid="{00000000-0005-0000-0000-00000F000000}"/>
    <cellStyle name="40% - Accent3" xfId="29" builtinId="39" customBuiltin="1"/>
    <cellStyle name="40% - Accent3 2" xfId="64" xr:uid="{00000000-0005-0000-0000-000011000000}"/>
    <cellStyle name="40% - Accent4" xfId="33" builtinId="43" customBuiltin="1"/>
    <cellStyle name="40% - Accent4 2" xfId="65" xr:uid="{00000000-0005-0000-0000-000013000000}"/>
    <cellStyle name="40% - Accent5" xfId="37" builtinId="47" customBuiltin="1"/>
    <cellStyle name="40% - Accent5 2" xfId="66" xr:uid="{00000000-0005-0000-0000-000015000000}"/>
    <cellStyle name="40% - Accent6" xfId="41" builtinId="51" customBuiltin="1"/>
    <cellStyle name="40% - Accent6 2" xfId="67" xr:uid="{00000000-0005-0000-0000-000017000000}"/>
    <cellStyle name="60% - Accent1" xfId="22" builtinId="32" customBuiltin="1"/>
    <cellStyle name="60% - Accent1 2" xfId="68" xr:uid="{00000000-0005-0000-0000-000019000000}"/>
    <cellStyle name="60% - Accent2" xfId="26" builtinId="36" customBuiltin="1"/>
    <cellStyle name="60% - Accent2 2" xfId="69" xr:uid="{00000000-0005-0000-0000-00001B000000}"/>
    <cellStyle name="60% - Accent3" xfId="30" builtinId="40" customBuiltin="1"/>
    <cellStyle name="60% - Accent3 2" xfId="70" xr:uid="{00000000-0005-0000-0000-00001D000000}"/>
    <cellStyle name="60% - Accent4" xfId="34" builtinId="44" customBuiltin="1"/>
    <cellStyle name="60% - Accent4 2" xfId="71" xr:uid="{00000000-0005-0000-0000-00001F000000}"/>
    <cellStyle name="60% - Accent5" xfId="38" builtinId="48" customBuiltin="1"/>
    <cellStyle name="60% - Accent5 2" xfId="72" xr:uid="{00000000-0005-0000-0000-000021000000}"/>
    <cellStyle name="60% - Accent6" xfId="42" builtinId="52" customBuiltin="1"/>
    <cellStyle name="60% - Accent6 2" xfId="73" xr:uid="{00000000-0005-0000-0000-000023000000}"/>
    <cellStyle name="Accent1" xfId="19" builtinId="29" customBuiltin="1"/>
    <cellStyle name="Accent1 2" xfId="74" xr:uid="{00000000-0005-0000-0000-000025000000}"/>
    <cellStyle name="Accent2" xfId="23" builtinId="33" customBuiltin="1"/>
    <cellStyle name="Accent2 2" xfId="75" xr:uid="{00000000-0005-0000-0000-000027000000}"/>
    <cellStyle name="Accent3" xfId="27" builtinId="37" customBuiltin="1"/>
    <cellStyle name="Accent3 2" xfId="76" xr:uid="{00000000-0005-0000-0000-000029000000}"/>
    <cellStyle name="Accent4" xfId="31" builtinId="41" customBuiltin="1"/>
    <cellStyle name="Accent4 2" xfId="77" xr:uid="{00000000-0005-0000-0000-00002B000000}"/>
    <cellStyle name="Accent5" xfId="35" builtinId="45" customBuiltin="1"/>
    <cellStyle name="Accent5 2" xfId="78" xr:uid="{00000000-0005-0000-0000-00002D000000}"/>
    <cellStyle name="Accent6" xfId="39" builtinId="49" customBuiltin="1"/>
    <cellStyle name="Accent6 2" xfId="79" xr:uid="{00000000-0005-0000-0000-00002F000000}"/>
    <cellStyle name="Bad" xfId="8" builtinId="27" customBuiltin="1"/>
    <cellStyle name="Bad 2" xfId="80" xr:uid="{00000000-0005-0000-0000-000031000000}"/>
    <cellStyle name="Calculation" xfId="12" builtinId="22" customBuiltin="1"/>
    <cellStyle name="Calculation 2" xfId="81" xr:uid="{00000000-0005-0000-0000-000033000000}"/>
    <cellStyle name="Check Cell" xfId="14" builtinId="23" customBuiltin="1"/>
    <cellStyle name="Check Cell 2" xfId="82" xr:uid="{00000000-0005-0000-0000-000035000000}"/>
    <cellStyle name="Comma" xfId="1" builtinId="3"/>
    <cellStyle name="Comma 2" xfId="45" xr:uid="{00000000-0005-0000-0000-000037000000}"/>
    <cellStyle name="Comma 2 2" xfId="46" xr:uid="{00000000-0005-0000-0000-000038000000}"/>
    <cellStyle name="Comma 3" xfId="47" xr:uid="{00000000-0005-0000-0000-000039000000}"/>
    <cellStyle name="Comma 4" xfId="48" xr:uid="{00000000-0005-0000-0000-00003A000000}"/>
    <cellStyle name="Comma 5" xfId="44" xr:uid="{00000000-0005-0000-0000-00003B000000}"/>
    <cellStyle name="Currency" xfId="2000" builtinId="4"/>
    <cellStyle name="Currency 2" xfId="83" xr:uid="{00000000-0005-0000-0000-00003C000000}"/>
    <cellStyle name="Currency 3" xfId="84" xr:uid="{00000000-0005-0000-0000-00003D000000}"/>
    <cellStyle name="Explanatory Text" xfId="17" builtinId="53" customBuiltin="1"/>
    <cellStyle name="Explanatory Text 2" xfId="85" xr:uid="{00000000-0005-0000-0000-00003F000000}"/>
    <cellStyle name="Good" xfId="7" builtinId="26" customBuiltin="1"/>
    <cellStyle name="Good 2" xfId="86" xr:uid="{00000000-0005-0000-0000-000041000000}"/>
    <cellStyle name="Heading 1" xfId="3" builtinId="16" customBuiltin="1"/>
    <cellStyle name="Heading 1 2" xfId="87" xr:uid="{00000000-0005-0000-0000-000043000000}"/>
    <cellStyle name="Heading 2" xfId="4" builtinId="17" customBuiltin="1"/>
    <cellStyle name="Heading 2 2" xfId="88" xr:uid="{00000000-0005-0000-0000-000045000000}"/>
    <cellStyle name="Heading 3" xfId="5" builtinId="18" customBuiltin="1"/>
    <cellStyle name="Heading 3 2" xfId="89" xr:uid="{00000000-0005-0000-0000-000047000000}"/>
    <cellStyle name="Heading 4" xfId="6" builtinId="19" customBuiltin="1"/>
    <cellStyle name="Heading 4 2" xfId="90" xr:uid="{00000000-0005-0000-0000-000049000000}"/>
    <cellStyle name="Hyperlink" xfId="1999" builtinId="8"/>
    <cellStyle name="Input" xfId="10" builtinId="20" customBuiltin="1"/>
    <cellStyle name="Input 2" xfId="91" xr:uid="{00000000-0005-0000-0000-00004B000000}"/>
    <cellStyle name="Linked Cell" xfId="13" builtinId="24" customBuiltin="1"/>
    <cellStyle name="Linked Cell 2" xfId="92" xr:uid="{00000000-0005-0000-0000-00004D000000}"/>
    <cellStyle name="Neutral" xfId="9" builtinId="28" customBuiltin="1"/>
    <cellStyle name="Neutral 2" xfId="93" xr:uid="{00000000-0005-0000-0000-00004F000000}"/>
    <cellStyle name="Normal" xfId="0" builtinId="0"/>
    <cellStyle name="Normal 2" xfId="49" xr:uid="{00000000-0005-0000-0000-000051000000}"/>
    <cellStyle name="Normal 2 10" xfId="94" xr:uid="{00000000-0005-0000-0000-000052000000}"/>
    <cellStyle name="Normal 2 10 10" xfId="95" xr:uid="{00000000-0005-0000-0000-000053000000}"/>
    <cellStyle name="Normal 2 10 11" xfId="96" xr:uid="{00000000-0005-0000-0000-000054000000}"/>
    <cellStyle name="Normal 2 10 12" xfId="97" xr:uid="{00000000-0005-0000-0000-000055000000}"/>
    <cellStyle name="Normal 2 10 13" xfId="98" xr:uid="{00000000-0005-0000-0000-000056000000}"/>
    <cellStyle name="Normal 2 10 14" xfId="99" xr:uid="{00000000-0005-0000-0000-000057000000}"/>
    <cellStyle name="Normal 2 10 15" xfId="100" xr:uid="{00000000-0005-0000-0000-000058000000}"/>
    <cellStyle name="Normal 2 10 16" xfId="101" xr:uid="{00000000-0005-0000-0000-000059000000}"/>
    <cellStyle name="Normal 2 10 17" xfId="102" xr:uid="{00000000-0005-0000-0000-00005A000000}"/>
    <cellStyle name="Normal 2 10 18" xfId="103" xr:uid="{00000000-0005-0000-0000-00005B000000}"/>
    <cellStyle name="Normal 2 10 19" xfId="104" xr:uid="{00000000-0005-0000-0000-00005C000000}"/>
    <cellStyle name="Normal 2 10 2" xfId="105" xr:uid="{00000000-0005-0000-0000-00005D000000}"/>
    <cellStyle name="Normal 2 10 20" xfId="106" xr:uid="{00000000-0005-0000-0000-00005E000000}"/>
    <cellStyle name="Normal 2 10 21" xfId="107" xr:uid="{00000000-0005-0000-0000-00005F000000}"/>
    <cellStyle name="Normal 2 10 22" xfId="108" xr:uid="{00000000-0005-0000-0000-000060000000}"/>
    <cellStyle name="Normal 2 10 23" xfId="109" xr:uid="{00000000-0005-0000-0000-000061000000}"/>
    <cellStyle name="Normal 2 10 3" xfId="110" xr:uid="{00000000-0005-0000-0000-000062000000}"/>
    <cellStyle name="Normal 2 10 4" xfId="111" xr:uid="{00000000-0005-0000-0000-000063000000}"/>
    <cellStyle name="Normal 2 10 5" xfId="112" xr:uid="{00000000-0005-0000-0000-000064000000}"/>
    <cellStyle name="Normal 2 10 6" xfId="113" xr:uid="{00000000-0005-0000-0000-000065000000}"/>
    <cellStyle name="Normal 2 10 7" xfId="114" xr:uid="{00000000-0005-0000-0000-000066000000}"/>
    <cellStyle name="Normal 2 10 8" xfId="115" xr:uid="{00000000-0005-0000-0000-000067000000}"/>
    <cellStyle name="Normal 2 10 9" xfId="116" xr:uid="{00000000-0005-0000-0000-000068000000}"/>
    <cellStyle name="Normal 2 11" xfId="117" xr:uid="{00000000-0005-0000-0000-000069000000}"/>
    <cellStyle name="Normal 2 11 10" xfId="118" xr:uid="{00000000-0005-0000-0000-00006A000000}"/>
    <cellStyle name="Normal 2 11 11" xfId="119" xr:uid="{00000000-0005-0000-0000-00006B000000}"/>
    <cellStyle name="Normal 2 11 12" xfId="120" xr:uid="{00000000-0005-0000-0000-00006C000000}"/>
    <cellStyle name="Normal 2 11 13" xfId="121" xr:uid="{00000000-0005-0000-0000-00006D000000}"/>
    <cellStyle name="Normal 2 11 14" xfId="122" xr:uid="{00000000-0005-0000-0000-00006E000000}"/>
    <cellStyle name="Normal 2 11 15" xfId="123" xr:uid="{00000000-0005-0000-0000-00006F000000}"/>
    <cellStyle name="Normal 2 11 16" xfId="124" xr:uid="{00000000-0005-0000-0000-000070000000}"/>
    <cellStyle name="Normal 2 11 17" xfId="125" xr:uid="{00000000-0005-0000-0000-000071000000}"/>
    <cellStyle name="Normal 2 11 18" xfId="126" xr:uid="{00000000-0005-0000-0000-000072000000}"/>
    <cellStyle name="Normal 2 11 19" xfId="127" xr:uid="{00000000-0005-0000-0000-000073000000}"/>
    <cellStyle name="Normal 2 11 2" xfId="128" xr:uid="{00000000-0005-0000-0000-000074000000}"/>
    <cellStyle name="Normal 2 11 20" xfId="129" xr:uid="{00000000-0005-0000-0000-000075000000}"/>
    <cellStyle name="Normal 2 11 21" xfId="130" xr:uid="{00000000-0005-0000-0000-000076000000}"/>
    <cellStyle name="Normal 2 11 22" xfId="131" xr:uid="{00000000-0005-0000-0000-000077000000}"/>
    <cellStyle name="Normal 2 11 23" xfId="132" xr:uid="{00000000-0005-0000-0000-000078000000}"/>
    <cellStyle name="Normal 2 11 3" xfId="133" xr:uid="{00000000-0005-0000-0000-000079000000}"/>
    <cellStyle name="Normal 2 11 4" xfId="134" xr:uid="{00000000-0005-0000-0000-00007A000000}"/>
    <cellStyle name="Normal 2 11 5" xfId="135" xr:uid="{00000000-0005-0000-0000-00007B000000}"/>
    <cellStyle name="Normal 2 11 6" xfId="136" xr:uid="{00000000-0005-0000-0000-00007C000000}"/>
    <cellStyle name="Normal 2 11 7" xfId="137" xr:uid="{00000000-0005-0000-0000-00007D000000}"/>
    <cellStyle name="Normal 2 11 8" xfId="138" xr:uid="{00000000-0005-0000-0000-00007E000000}"/>
    <cellStyle name="Normal 2 11 9" xfId="139" xr:uid="{00000000-0005-0000-0000-00007F000000}"/>
    <cellStyle name="Normal 2 12" xfId="140" xr:uid="{00000000-0005-0000-0000-000080000000}"/>
    <cellStyle name="Normal 2 12 10" xfId="141" xr:uid="{00000000-0005-0000-0000-000081000000}"/>
    <cellStyle name="Normal 2 12 11" xfId="142" xr:uid="{00000000-0005-0000-0000-000082000000}"/>
    <cellStyle name="Normal 2 12 12" xfId="143" xr:uid="{00000000-0005-0000-0000-000083000000}"/>
    <cellStyle name="Normal 2 12 13" xfId="144" xr:uid="{00000000-0005-0000-0000-000084000000}"/>
    <cellStyle name="Normal 2 12 14" xfId="145" xr:uid="{00000000-0005-0000-0000-000085000000}"/>
    <cellStyle name="Normal 2 12 15" xfId="146" xr:uid="{00000000-0005-0000-0000-000086000000}"/>
    <cellStyle name="Normal 2 12 16" xfId="147" xr:uid="{00000000-0005-0000-0000-000087000000}"/>
    <cellStyle name="Normal 2 12 17" xfId="148" xr:uid="{00000000-0005-0000-0000-000088000000}"/>
    <cellStyle name="Normal 2 12 18" xfId="149" xr:uid="{00000000-0005-0000-0000-000089000000}"/>
    <cellStyle name="Normal 2 12 19" xfId="150" xr:uid="{00000000-0005-0000-0000-00008A000000}"/>
    <cellStyle name="Normal 2 12 2" xfId="151" xr:uid="{00000000-0005-0000-0000-00008B000000}"/>
    <cellStyle name="Normal 2 12 20" xfId="152" xr:uid="{00000000-0005-0000-0000-00008C000000}"/>
    <cellStyle name="Normal 2 12 21" xfId="153" xr:uid="{00000000-0005-0000-0000-00008D000000}"/>
    <cellStyle name="Normal 2 12 22" xfId="154" xr:uid="{00000000-0005-0000-0000-00008E000000}"/>
    <cellStyle name="Normal 2 12 23" xfId="155" xr:uid="{00000000-0005-0000-0000-00008F000000}"/>
    <cellStyle name="Normal 2 12 3" xfId="156" xr:uid="{00000000-0005-0000-0000-000090000000}"/>
    <cellStyle name="Normal 2 12 4" xfId="157" xr:uid="{00000000-0005-0000-0000-000091000000}"/>
    <cellStyle name="Normal 2 12 5" xfId="158" xr:uid="{00000000-0005-0000-0000-000092000000}"/>
    <cellStyle name="Normal 2 12 6" xfId="159" xr:uid="{00000000-0005-0000-0000-000093000000}"/>
    <cellStyle name="Normal 2 12 7" xfId="160" xr:uid="{00000000-0005-0000-0000-000094000000}"/>
    <cellStyle name="Normal 2 12 8" xfId="161" xr:uid="{00000000-0005-0000-0000-000095000000}"/>
    <cellStyle name="Normal 2 12 9" xfId="162" xr:uid="{00000000-0005-0000-0000-000096000000}"/>
    <cellStyle name="Normal 2 13" xfId="163" xr:uid="{00000000-0005-0000-0000-000097000000}"/>
    <cellStyle name="Normal 2 13 10" xfId="164" xr:uid="{00000000-0005-0000-0000-000098000000}"/>
    <cellStyle name="Normal 2 13 11" xfId="165" xr:uid="{00000000-0005-0000-0000-000099000000}"/>
    <cellStyle name="Normal 2 13 12" xfId="166" xr:uid="{00000000-0005-0000-0000-00009A000000}"/>
    <cellStyle name="Normal 2 13 13" xfId="167" xr:uid="{00000000-0005-0000-0000-00009B000000}"/>
    <cellStyle name="Normal 2 13 14" xfId="168" xr:uid="{00000000-0005-0000-0000-00009C000000}"/>
    <cellStyle name="Normal 2 13 15" xfId="169" xr:uid="{00000000-0005-0000-0000-00009D000000}"/>
    <cellStyle name="Normal 2 13 16" xfId="170" xr:uid="{00000000-0005-0000-0000-00009E000000}"/>
    <cellStyle name="Normal 2 13 17" xfId="171" xr:uid="{00000000-0005-0000-0000-00009F000000}"/>
    <cellStyle name="Normal 2 13 18" xfId="172" xr:uid="{00000000-0005-0000-0000-0000A0000000}"/>
    <cellStyle name="Normal 2 13 19" xfId="173" xr:uid="{00000000-0005-0000-0000-0000A1000000}"/>
    <cellStyle name="Normal 2 13 2" xfId="174" xr:uid="{00000000-0005-0000-0000-0000A2000000}"/>
    <cellStyle name="Normal 2 13 20" xfId="175" xr:uid="{00000000-0005-0000-0000-0000A3000000}"/>
    <cellStyle name="Normal 2 13 21" xfId="176" xr:uid="{00000000-0005-0000-0000-0000A4000000}"/>
    <cellStyle name="Normal 2 13 22" xfId="177" xr:uid="{00000000-0005-0000-0000-0000A5000000}"/>
    <cellStyle name="Normal 2 13 23" xfId="178" xr:uid="{00000000-0005-0000-0000-0000A6000000}"/>
    <cellStyle name="Normal 2 13 3" xfId="179" xr:uid="{00000000-0005-0000-0000-0000A7000000}"/>
    <cellStyle name="Normal 2 13 4" xfId="180" xr:uid="{00000000-0005-0000-0000-0000A8000000}"/>
    <cellStyle name="Normal 2 13 5" xfId="181" xr:uid="{00000000-0005-0000-0000-0000A9000000}"/>
    <cellStyle name="Normal 2 13 6" xfId="182" xr:uid="{00000000-0005-0000-0000-0000AA000000}"/>
    <cellStyle name="Normal 2 13 7" xfId="183" xr:uid="{00000000-0005-0000-0000-0000AB000000}"/>
    <cellStyle name="Normal 2 13 8" xfId="184" xr:uid="{00000000-0005-0000-0000-0000AC000000}"/>
    <cellStyle name="Normal 2 13 9" xfId="185" xr:uid="{00000000-0005-0000-0000-0000AD000000}"/>
    <cellStyle name="Normal 2 14" xfId="186" xr:uid="{00000000-0005-0000-0000-0000AE000000}"/>
    <cellStyle name="Normal 2 14 10" xfId="187" xr:uid="{00000000-0005-0000-0000-0000AF000000}"/>
    <cellStyle name="Normal 2 14 11" xfId="188" xr:uid="{00000000-0005-0000-0000-0000B0000000}"/>
    <cellStyle name="Normal 2 14 12" xfId="189" xr:uid="{00000000-0005-0000-0000-0000B1000000}"/>
    <cellStyle name="Normal 2 14 13" xfId="190" xr:uid="{00000000-0005-0000-0000-0000B2000000}"/>
    <cellStyle name="Normal 2 14 14" xfId="191" xr:uid="{00000000-0005-0000-0000-0000B3000000}"/>
    <cellStyle name="Normal 2 14 15" xfId="192" xr:uid="{00000000-0005-0000-0000-0000B4000000}"/>
    <cellStyle name="Normal 2 14 16" xfId="193" xr:uid="{00000000-0005-0000-0000-0000B5000000}"/>
    <cellStyle name="Normal 2 14 17" xfId="194" xr:uid="{00000000-0005-0000-0000-0000B6000000}"/>
    <cellStyle name="Normal 2 14 18" xfId="195" xr:uid="{00000000-0005-0000-0000-0000B7000000}"/>
    <cellStyle name="Normal 2 14 19" xfId="196" xr:uid="{00000000-0005-0000-0000-0000B8000000}"/>
    <cellStyle name="Normal 2 14 2" xfId="197" xr:uid="{00000000-0005-0000-0000-0000B9000000}"/>
    <cellStyle name="Normal 2 14 20" xfId="198" xr:uid="{00000000-0005-0000-0000-0000BA000000}"/>
    <cellStyle name="Normal 2 14 21" xfId="199" xr:uid="{00000000-0005-0000-0000-0000BB000000}"/>
    <cellStyle name="Normal 2 14 22" xfId="200" xr:uid="{00000000-0005-0000-0000-0000BC000000}"/>
    <cellStyle name="Normal 2 14 23" xfId="201" xr:uid="{00000000-0005-0000-0000-0000BD000000}"/>
    <cellStyle name="Normal 2 14 3" xfId="202" xr:uid="{00000000-0005-0000-0000-0000BE000000}"/>
    <cellStyle name="Normal 2 14 4" xfId="203" xr:uid="{00000000-0005-0000-0000-0000BF000000}"/>
    <cellStyle name="Normal 2 14 5" xfId="204" xr:uid="{00000000-0005-0000-0000-0000C0000000}"/>
    <cellStyle name="Normal 2 14 6" xfId="205" xr:uid="{00000000-0005-0000-0000-0000C1000000}"/>
    <cellStyle name="Normal 2 14 7" xfId="206" xr:uid="{00000000-0005-0000-0000-0000C2000000}"/>
    <cellStyle name="Normal 2 14 8" xfId="207" xr:uid="{00000000-0005-0000-0000-0000C3000000}"/>
    <cellStyle name="Normal 2 14 9" xfId="208" xr:uid="{00000000-0005-0000-0000-0000C4000000}"/>
    <cellStyle name="Normal 2 15" xfId="209" xr:uid="{00000000-0005-0000-0000-0000C5000000}"/>
    <cellStyle name="Normal 2 15 10" xfId="210" xr:uid="{00000000-0005-0000-0000-0000C6000000}"/>
    <cellStyle name="Normal 2 15 11" xfId="211" xr:uid="{00000000-0005-0000-0000-0000C7000000}"/>
    <cellStyle name="Normal 2 15 12" xfId="212" xr:uid="{00000000-0005-0000-0000-0000C8000000}"/>
    <cellStyle name="Normal 2 15 13" xfId="213" xr:uid="{00000000-0005-0000-0000-0000C9000000}"/>
    <cellStyle name="Normal 2 15 14" xfId="214" xr:uid="{00000000-0005-0000-0000-0000CA000000}"/>
    <cellStyle name="Normal 2 15 15" xfId="215" xr:uid="{00000000-0005-0000-0000-0000CB000000}"/>
    <cellStyle name="Normal 2 15 16" xfId="216" xr:uid="{00000000-0005-0000-0000-0000CC000000}"/>
    <cellStyle name="Normal 2 15 17" xfId="217" xr:uid="{00000000-0005-0000-0000-0000CD000000}"/>
    <cellStyle name="Normal 2 15 18" xfId="218" xr:uid="{00000000-0005-0000-0000-0000CE000000}"/>
    <cellStyle name="Normal 2 15 19" xfId="219" xr:uid="{00000000-0005-0000-0000-0000CF000000}"/>
    <cellStyle name="Normal 2 15 2" xfId="220" xr:uid="{00000000-0005-0000-0000-0000D0000000}"/>
    <cellStyle name="Normal 2 15 20" xfId="221" xr:uid="{00000000-0005-0000-0000-0000D1000000}"/>
    <cellStyle name="Normal 2 15 21" xfId="222" xr:uid="{00000000-0005-0000-0000-0000D2000000}"/>
    <cellStyle name="Normal 2 15 22" xfId="223" xr:uid="{00000000-0005-0000-0000-0000D3000000}"/>
    <cellStyle name="Normal 2 15 23" xfId="224" xr:uid="{00000000-0005-0000-0000-0000D4000000}"/>
    <cellStyle name="Normal 2 15 3" xfId="225" xr:uid="{00000000-0005-0000-0000-0000D5000000}"/>
    <cellStyle name="Normal 2 15 4" xfId="226" xr:uid="{00000000-0005-0000-0000-0000D6000000}"/>
    <cellStyle name="Normal 2 15 5" xfId="227" xr:uid="{00000000-0005-0000-0000-0000D7000000}"/>
    <cellStyle name="Normal 2 15 6" xfId="228" xr:uid="{00000000-0005-0000-0000-0000D8000000}"/>
    <cellStyle name="Normal 2 15 7" xfId="229" xr:uid="{00000000-0005-0000-0000-0000D9000000}"/>
    <cellStyle name="Normal 2 15 8" xfId="230" xr:uid="{00000000-0005-0000-0000-0000DA000000}"/>
    <cellStyle name="Normal 2 15 9" xfId="231" xr:uid="{00000000-0005-0000-0000-0000DB000000}"/>
    <cellStyle name="Normal 2 16" xfId="232" xr:uid="{00000000-0005-0000-0000-0000DC000000}"/>
    <cellStyle name="Normal 2 16 10" xfId="233" xr:uid="{00000000-0005-0000-0000-0000DD000000}"/>
    <cellStyle name="Normal 2 16 11" xfId="234" xr:uid="{00000000-0005-0000-0000-0000DE000000}"/>
    <cellStyle name="Normal 2 16 12" xfId="235" xr:uid="{00000000-0005-0000-0000-0000DF000000}"/>
    <cellStyle name="Normal 2 16 13" xfId="236" xr:uid="{00000000-0005-0000-0000-0000E0000000}"/>
    <cellStyle name="Normal 2 16 14" xfId="237" xr:uid="{00000000-0005-0000-0000-0000E1000000}"/>
    <cellStyle name="Normal 2 16 15" xfId="238" xr:uid="{00000000-0005-0000-0000-0000E2000000}"/>
    <cellStyle name="Normal 2 16 16" xfId="239" xr:uid="{00000000-0005-0000-0000-0000E3000000}"/>
    <cellStyle name="Normal 2 16 17" xfId="240" xr:uid="{00000000-0005-0000-0000-0000E4000000}"/>
    <cellStyle name="Normal 2 16 18" xfId="241" xr:uid="{00000000-0005-0000-0000-0000E5000000}"/>
    <cellStyle name="Normal 2 16 19" xfId="242" xr:uid="{00000000-0005-0000-0000-0000E6000000}"/>
    <cellStyle name="Normal 2 16 2" xfId="243" xr:uid="{00000000-0005-0000-0000-0000E7000000}"/>
    <cellStyle name="Normal 2 16 20" xfId="244" xr:uid="{00000000-0005-0000-0000-0000E8000000}"/>
    <cellStyle name="Normal 2 16 21" xfId="245" xr:uid="{00000000-0005-0000-0000-0000E9000000}"/>
    <cellStyle name="Normal 2 16 22" xfId="246" xr:uid="{00000000-0005-0000-0000-0000EA000000}"/>
    <cellStyle name="Normal 2 16 23" xfId="247" xr:uid="{00000000-0005-0000-0000-0000EB000000}"/>
    <cellStyle name="Normal 2 16 3" xfId="248" xr:uid="{00000000-0005-0000-0000-0000EC000000}"/>
    <cellStyle name="Normal 2 16 4" xfId="249" xr:uid="{00000000-0005-0000-0000-0000ED000000}"/>
    <cellStyle name="Normal 2 16 5" xfId="250" xr:uid="{00000000-0005-0000-0000-0000EE000000}"/>
    <cellStyle name="Normal 2 16 6" xfId="251" xr:uid="{00000000-0005-0000-0000-0000EF000000}"/>
    <cellStyle name="Normal 2 16 7" xfId="252" xr:uid="{00000000-0005-0000-0000-0000F0000000}"/>
    <cellStyle name="Normal 2 16 8" xfId="253" xr:uid="{00000000-0005-0000-0000-0000F1000000}"/>
    <cellStyle name="Normal 2 16 9" xfId="254" xr:uid="{00000000-0005-0000-0000-0000F2000000}"/>
    <cellStyle name="Normal 2 17" xfId="255" xr:uid="{00000000-0005-0000-0000-0000F3000000}"/>
    <cellStyle name="Normal 2 17 10" xfId="256" xr:uid="{00000000-0005-0000-0000-0000F4000000}"/>
    <cellStyle name="Normal 2 17 11" xfId="257" xr:uid="{00000000-0005-0000-0000-0000F5000000}"/>
    <cellStyle name="Normal 2 17 12" xfId="258" xr:uid="{00000000-0005-0000-0000-0000F6000000}"/>
    <cellStyle name="Normal 2 17 13" xfId="259" xr:uid="{00000000-0005-0000-0000-0000F7000000}"/>
    <cellStyle name="Normal 2 17 14" xfId="260" xr:uid="{00000000-0005-0000-0000-0000F8000000}"/>
    <cellStyle name="Normal 2 17 15" xfId="261" xr:uid="{00000000-0005-0000-0000-0000F9000000}"/>
    <cellStyle name="Normal 2 17 16" xfId="262" xr:uid="{00000000-0005-0000-0000-0000FA000000}"/>
    <cellStyle name="Normal 2 17 17" xfId="263" xr:uid="{00000000-0005-0000-0000-0000FB000000}"/>
    <cellStyle name="Normal 2 17 18" xfId="264" xr:uid="{00000000-0005-0000-0000-0000FC000000}"/>
    <cellStyle name="Normal 2 17 19" xfId="265" xr:uid="{00000000-0005-0000-0000-0000FD000000}"/>
    <cellStyle name="Normal 2 17 2" xfId="266" xr:uid="{00000000-0005-0000-0000-0000FE000000}"/>
    <cellStyle name="Normal 2 17 20" xfId="267" xr:uid="{00000000-0005-0000-0000-0000FF000000}"/>
    <cellStyle name="Normal 2 17 21" xfId="268" xr:uid="{00000000-0005-0000-0000-000000010000}"/>
    <cellStyle name="Normal 2 17 22" xfId="269" xr:uid="{00000000-0005-0000-0000-000001010000}"/>
    <cellStyle name="Normal 2 17 23" xfId="270" xr:uid="{00000000-0005-0000-0000-000002010000}"/>
    <cellStyle name="Normal 2 17 3" xfId="271" xr:uid="{00000000-0005-0000-0000-000003010000}"/>
    <cellStyle name="Normal 2 17 4" xfId="272" xr:uid="{00000000-0005-0000-0000-000004010000}"/>
    <cellStyle name="Normal 2 17 5" xfId="273" xr:uid="{00000000-0005-0000-0000-000005010000}"/>
    <cellStyle name="Normal 2 17 6" xfId="274" xr:uid="{00000000-0005-0000-0000-000006010000}"/>
    <cellStyle name="Normal 2 17 7" xfId="275" xr:uid="{00000000-0005-0000-0000-000007010000}"/>
    <cellStyle name="Normal 2 17 8" xfId="276" xr:uid="{00000000-0005-0000-0000-000008010000}"/>
    <cellStyle name="Normal 2 17 9" xfId="277" xr:uid="{00000000-0005-0000-0000-000009010000}"/>
    <cellStyle name="Normal 2 18" xfId="278" xr:uid="{00000000-0005-0000-0000-00000A010000}"/>
    <cellStyle name="Normal 2 18 10" xfId="279" xr:uid="{00000000-0005-0000-0000-00000B010000}"/>
    <cellStyle name="Normal 2 18 11" xfId="280" xr:uid="{00000000-0005-0000-0000-00000C010000}"/>
    <cellStyle name="Normal 2 18 12" xfId="281" xr:uid="{00000000-0005-0000-0000-00000D010000}"/>
    <cellStyle name="Normal 2 18 13" xfId="282" xr:uid="{00000000-0005-0000-0000-00000E010000}"/>
    <cellStyle name="Normal 2 18 14" xfId="283" xr:uid="{00000000-0005-0000-0000-00000F010000}"/>
    <cellStyle name="Normal 2 18 15" xfId="284" xr:uid="{00000000-0005-0000-0000-000010010000}"/>
    <cellStyle name="Normal 2 18 16" xfId="285" xr:uid="{00000000-0005-0000-0000-000011010000}"/>
    <cellStyle name="Normal 2 18 17" xfId="286" xr:uid="{00000000-0005-0000-0000-000012010000}"/>
    <cellStyle name="Normal 2 18 18" xfId="287" xr:uid="{00000000-0005-0000-0000-000013010000}"/>
    <cellStyle name="Normal 2 18 19" xfId="288" xr:uid="{00000000-0005-0000-0000-000014010000}"/>
    <cellStyle name="Normal 2 18 2" xfId="289" xr:uid="{00000000-0005-0000-0000-000015010000}"/>
    <cellStyle name="Normal 2 18 20" xfId="290" xr:uid="{00000000-0005-0000-0000-000016010000}"/>
    <cellStyle name="Normal 2 18 21" xfId="291" xr:uid="{00000000-0005-0000-0000-000017010000}"/>
    <cellStyle name="Normal 2 18 22" xfId="292" xr:uid="{00000000-0005-0000-0000-000018010000}"/>
    <cellStyle name="Normal 2 18 23" xfId="293" xr:uid="{00000000-0005-0000-0000-000019010000}"/>
    <cellStyle name="Normal 2 18 3" xfId="294" xr:uid="{00000000-0005-0000-0000-00001A010000}"/>
    <cellStyle name="Normal 2 18 4" xfId="295" xr:uid="{00000000-0005-0000-0000-00001B010000}"/>
    <cellStyle name="Normal 2 18 5" xfId="296" xr:uid="{00000000-0005-0000-0000-00001C010000}"/>
    <cellStyle name="Normal 2 18 6" xfId="297" xr:uid="{00000000-0005-0000-0000-00001D010000}"/>
    <cellStyle name="Normal 2 18 7" xfId="298" xr:uid="{00000000-0005-0000-0000-00001E010000}"/>
    <cellStyle name="Normal 2 18 8" xfId="299" xr:uid="{00000000-0005-0000-0000-00001F010000}"/>
    <cellStyle name="Normal 2 18 9" xfId="300" xr:uid="{00000000-0005-0000-0000-000020010000}"/>
    <cellStyle name="Normal 2 19" xfId="301" xr:uid="{00000000-0005-0000-0000-000021010000}"/>
    <cellStyle name="Normal 2 19 10" xfId="302" xr:uid="{00000000-0005-0000-0000-000022010000}"/>
    <cellStyle name="Normal 2 19 11" xfId="303" xr:uid="{00000000-0005-0000-0000-000023010000}"/>
    <cellStyle name="Normal 2 19 12" xfId="304" xr:uid="{00000000-0005-0000-0000-000024010000}"/>
    <cellStyle name="Normal 2 19 13" xfId="305" xr:uid="{00000000-0005-0000-0000-000025010000}"/>
    <cellStyle name="Normal 2 19 14" xfId="306" xr:uid="{00000000-0005-0000-0000-000026010000}"/>
    <cellStyle name="Normal 2 19 15" xfId="307" xr:uid="{00000000-0005-0000-0000-000027010000}"/>
    <cellStyle name="Normal 2 19 16" xfId="308" xr:uid="{00000000-0005-0000-0000-000028010000}"/>
    <cellStyle name="Normal 2 19 17" xfId="309" xr:uid="{00000000-0005-0000-0000-000029010000}"/>
    <cellStyle name="Normal 2 19 18" xfId="310" xr:uid="{00000000-0005-0000-0000-00002A010000}"/>
    <cellStyle name="Normal 2 19 19" xfId="311" xr:uid="{00000000-0005-0000-0000-00002B010000}"/>
    <cellStyle name="Normal 2 19 2" xfId="312" xr:uid="{00000000-0005-0000-0000-00002C010000}"/>
    <cellStyle name="Normal 2 19 20" xfId="313" xr:uid="{00000000-0005-0000-0000-00002D010000}"/>
    <cellStyle name="Normal 2 19 21" xfId="314" xr:uid="{00000000-0005-0000-0000-00002E010000}"/>
    <cellStyle name="Normal 2 19 22" xfId="315" xr:uid="{00000000-0005-0000-0000-00002F010000}"/>
    <cellStyle name="Normal 2 19 23" xfId="316" xr:uid="{00000000-0005-0000-0000-000030010000}"/>
    <cellStyle name="Normal 2 19 3" xfId="317" xr:uid="{00000000-0005-0000-0000-000031010000}"/>
    <cellStyle name="Normal 2 19 4" xfId="318" xr:uid="{00000000-0005-0000-0000-000032010000}"/>
    <cellStyle name="Normal 2 19 5" xfId="319" xr:uid="{00000000-0005-0000-0000-000033010000}"/>
    <cellStyle name="Normal 2 19 6" xfId="320" xr:uid="{00000000-0005-0000-0000-000034010000}"/>
    <cellStyle name="Normal 2 19 7" xfId="321" xr:uid="{00000000-0005-0000-0000-000035010000}"/>
    <cellStyle name="Normal 2 19 8" xfId="322" xr:uid="{00000000-0005-0000-0000-000036010000}"/>
    <cellStyle name="Normal 2 19 9" xfId="323" xr:uid="{00000000-0005-0000-0000-000037010000}"/>
    <cellStyle name="Normal 2 2" xfId="50" xr:uid="{00000000-0005-0000-0000-000038010000}"/>
    <cellStyle name="Normal 2 2 2" xfId="324" xr:uid="{00000000-0005-0000-0000-000039010000}"/>
    <cellStyle name="Normal 2 20" xfId="325" xr:uid="{00000000-0005-0000-0000-00003A010000}"/>
    <cellStyle name="Normal 2 20 10" xfId="326" xr:uid="{00000000-0005-0000-0000-00003B010000}"/>
    <cellStyle name="Normal 2 20 11" xfId="327" xr:uid="{00000000-0005-0000-0000-00003C010000}"/>
    <cellStyle name="Normal 2 20 12" xfId="328" xr:uid="{00000000-0005-0000-0000-00003D010000}"/>
    <cellStyle name="Normal 2 20 13" xfId="329" xr:uid="{00000000-0005-0000-0000-00003E010000}"/>
    <cellStyle name="Normal 2 20 14" xfId="330" xr:uid="{00000000-0005-0000-0000-00003F010000}"/>
    <cellStyle name="Normal 2 20 15" xfId="331" xr:uid="{00000000-0005-0000-0000-000040010000}"/>
    <cellStyle name="Normal 2 20 16" xfId="332" xr:uid="{00000000-0005-0000-0000-000041010000}"/>
    <cellStyle name="Normal 2 20 17" xfId="333" xr:uid="{00000000-0005-0000-0000-000042010000}"/>
    <cellStyle name="Normal 2 20 18" xfId="334" xr:uid="{00000000-0005-0000-0000-000043010000}"/>
    <cellStyle name="Normal 2 20 19" xfId="335" xr:uid="{00000000-0005-0000-0000-000044010000}"/>
    <cellStyle name="Normal 2 20 2" xfId="336" xr:uid="{00000000-0005-0000-0000-000045010000}"/>
    <cellStyle name="Normal 2 20 20" xfId="337" xr:uid="{00000000-0005-0000-0000-000046010000}"/>
    <cellStyle name="Normal 2 20 21" xfId="338" xr:uid="{00000000-0005-0000-0000-000047010000}"/>
    <cellStyle name="Normal 2 20 22" xfId="339" xr:uid="{00000000-0005-0000-0000-000048010000}"/>
    <cellStyle name="Normal 2 20 23" xfId="340" xr:uid="{00000000-0005-0000-0000-000049010000}"/>
    <cellStyle name="Normal 2 20 3" xfId="341" xr:uid="{00000000-0005-0000-0000-00004A010000}"/>
    <cellStyle name="Normal 2 20 4" xfId="342" xr:uid="{00000000-0005-0000-0000-00004B010000}"/>
    <cellStyle name="Normal 2 20 5" xfId="343" xr:uid="{00000000-0005-0000-0000-00004C010000}"/>
    <cellStyle name="Normal 2 20 6" xfId="344" xr:uid="{00000000-0005-0000-0000-00004D010000}"/>
    <cellStyle name="Normal 2 20 7" xfId="345" xr:uid="{00000000-0005-0000-0000-00004E010000}"/>
    <cellStyle name="Normal 2 20 8" xfId="346" xr:uid="{00000000-0005-0000-0000-00004F010000}"/>
    <cellStyle name="Normal 2 20 9" xfId="347" xr:uid="{00000000-0005-0000-0000-000050010000}"/>
    <cellStyle name="Normal 2 21" xfId="348" xr:uid="{00000000-0005-0000-0000-000051010000}"/>
    <cellStyle name="Normal 2 21 10" xfId="349" xr:uid="{00000000-0005-0000-0000-000052010000}"/>
    <cellStyle name="Normal 2 21 11" xfId="350" xr:uid="{00000000-0005-0000-0000-000053010000}"/>
    <cellStyle name="Normal 2 21 12" xfId="351" xr:uid="{00000000-0005-0000-0000-000054010000}"/>
    <cellStyle name="Normal 2 21 13" xfId="352" xr:uid="{00000000-0005-0000-0000-000055010000}"/>
    <cellStyle name="Normal 2 21 14" xfId="353" xr:uid="{00000000-0005-0000-0000-000056010000}"/>
    <cellStyle name="Normal 2 21 15" xfId="354" xr:uid="{00000000-0005-0000-0000-000057010000}"/>
    <cellStyle name="Normal 2 21 16" xfId="355" xr:uid="{00000000-0005-0000-0000-000058010000}"/>
    <cellStyle name="Normal 2 21 17" xfId="356" xr:uid="{00000000-0005-0000-0000-000059010000}"/>
    <cellStyle name="Normal 2 21 18" xfId="357" xr:uid="{00000000-0005-0000-0000-00005A010000}"/>
    <cellStyle name="Normal 2 21 19" xfId="358" xr:uid="{00000000-0005-0000-0000-00005B010000}"/>
    <cellStyle name="Normal 2 21 2" xfId="359" xr:uid="{00000000-0005-0000-0000-00005C010000}"/>
    <cellStyle name="Normal 2 21 20" xfId="360" xr:uid="{00000000-0005-0000-0000-00005D010000}"/>
    <cellStyle name="Normal 2 21 21" xfId="361" xr:uid="{00000000-0005-0000-0000-00005E010000}"/>
    <cellStyle name="Normal 2 21 22" xfId="362" xr:uid="{00000000-0005-0000-0000-00005F010000}"/>
    <cellStyle name="Normal 2 21 23" xfId="363" xr:uid="{00000000-0005-0000-0000-000060010000}"/>
    <cellStyle name="Normal 2 21 3" xfId="364" xr:uid="{00000000-0005-0000-0000-000061010000}"/>
    <cellStyle name="Normal 2 21 4" xfId="365" xr:uid="{00000000-0005-0000-0000-000062010000}"/>
    <cellStyle name="Normal 2 21 5" xfId="366" xr:uid="{00000000-0005-0000-0000-000063010000}"/>
    <cellStyle name="Normal 2 21 6" xfId="367" xr:uid="{00000000-0005-0000-0000-000064010000}"/>
    <cellStyle name="Normal 2 21 7" xfId="368" xr:uid="{00000000-0005-0000-0000-000065010000}"/>
    <cellStyle name="Normal 2 21 8" xfId="369" xr:uid="{00000000-0005-0000-0000-000066010000}"/>
    <cellStyle name="Normal 2 21 9" xfId="370" xr:uid="{00000000-0005-0000-0000-000067010000}"/>
    <cellStyle name="Normal 2 22" xfId="371" xr:uid="{00000000-0005-0000-0000-000068010000}"/>
    <cellStyle name="Normal 2 22 10" xfId="372" xr:uid="{00000000-0005-0000-0000-000069010000}"/>
    <cellStyle name="Normal 2 22 11" xfId="373" xr:uid="{00000000-0005-0000-0000-00006A010000}"/>
    <cellStyle name="Normal 2 22 12" xfId="374" xr:uid="{00000000-0005-0000-0000-00006B010000}"/>
    <cellStyle name="Normal 2 22 13" xfId="375" xr:uid="{00000000-0005-0000-0000-00006C010000}"/>
    <cellStyle name="Normal 2 22 14" xfId="376" xr:uid="{00000000-0005-0000-0000-00006D010000}"/>
    <cellStyle name="Normal 2 22 15" xfId="377" xr:uid="{00000000-0005-0000-0000-00006E010000}"/>
    <cellStyle name="Normal 2 22 16" xfId="378" xr:uid="{00000000-0005-0000-0000-00006F010000}"/>
    <cellStyle name="Normal 2 22 17" xfId="379" xr:uid="{00000000-0005-0000-0000-000070010000}"/>
    <cellStyle name="Normal 2 22 18" xfId="380" xr:uid="{00000000-0005-0000-0000-000071010000}"/>
    <cellStyle name="Normal 2 22 19" xfId="381" xr:uid="{00000000-0005-0000-0000-000072010000}"/>
    <cellStyle name="Normal 2 22 2" xfId="382" xr:uid="{00000000-0005-0000-0000-000073010000}"/>
    <cellStyle name="Normal 2 22 20" xfId="383" xr:uid="{00000000-0005-0000-0000-000074010000}"/>
    <cellStyle name="Normal 2 22 21" xfId="384" xr:uid="{00000000-0005-0000-0000-000075010000}"/>
    <cellStyle name="Normal 2 22 22" xfId="385" xr:uid="{00000000-0005-0000-0000-000076010000}"/>
    <cellStyle name="Normal 2 22 23" xfId="386" xr:uid="{00000000-0005-0000-0000-000077010000}"/>
    <cellStyle name="Normal 2 22 3" xfId="387" xr:uid="{00000000-0005-0000-0000-000078010000}"/>
    <cellStyle name="Normal 2 22 4" xfId="388" xr:uid="{00000000-0005-0000-0000-000079010000}"/>
    <cellStyle name="Normal 2 22 5" xfId="389" xr:uid="{00000000-0005-0000-0000-00007A010000}"/>
    <cellStyle name="Normal 2 22 6" xfId="390" xr:uid="{00000000-0005-0000-0000-00007B010000}"/>
    <cellStyle name="Normal 2 22 7" xfId="391" xr:uid="{00000000-0005-0000-0000-00007C010000}"/>
    <cellStyle name="Normal 2 22 8" xfId="392" xr:uid="{00000000-0005-0000-0000-00007D010000}"/>
    <cellStyle name="Normal 2 22 9" xfId="393" xr:uid="{00000000-0005-0000-0000-00007E010000}"/>
    <cellStyle name="Normal 2 23" xfId="394" xr:uid="{00000000-0005-0000-0000-00007F010000}"/>
    <cellStyle name="Normal 2 23 10" xfId="395" xr:uid="{00000000-0005-0000-0000-000080010000}"/>
    <cellStyle name="Normal 2 23 11" xfId="396" xr:uid="{00000000-0005-0000-0000-000081010000}"/>
    <cellStyle name="Normal 2 23 12" xfId="397" xr:uid="{00000000-0005-0000-0000-000082010000}"/>
    <cellStyle name="Normal 2 23 13" xfId="398" xr:uid="{00000000-0005-0000-0000-000083010000}"/>
    <cellStyle name="Normal 2 23 14" xfId="399" xr:uid="{00000000-0005-0000-0000-000084010000}"/>
    <cellStyle name="Normal 2 23 15" xfId="400" xr:uid="{00000000-0005-0000-0000-000085010000}"/>
    <cellStyle name="Normal 2 23 16" xfId="401" xr:uid="{00000000-0005-0000-0000-000086010000}"/>
    <cellStyle name="Normal 2 23 17" xfId="402" xr:uid="{00000000-0005-0000-0000-000087010000}"/>
    <cellStyle name="Normal 2 23 18" xfId="403" xr:uid="{00000000-0005-0000-0000-000088010000}"/>
    <cellStyle name="Normal 2 23 19" xfId="404" xr:uid="{00000000-0005-0000-0000-000089010000}"/>
    <cellStyle name="Normal 2 23 2" xfId="405" xr:uid="{00000000-0005-0000-0000-00008A010000}"/>
    <cellStyle name="Normal 2 23 20" xfId="406" xr:uid="{00000000-0005-0000-0000-00008B010000}"/>
    <cellStyle name="Normal 2 23 21" xfId="407" xr:uid="{00000000-0005-0000-0000-00008C010000}"/>
    <cellStyle name="Normal 2 23 22" xfId="408" xr:uid="{00000000-0005-0000-0000-00008D010000}"/>
    <cellStyle name="Normal 2 23 23" xfId="409" xr:uid="{00000000-0005-0000-0000-00008E010000}"/>
    <cellStyle name="Normal 2 23 3" xfId="410" xr:uid="{00000000-0005-0000-0000-00008F010000}"/>
    <cellStyle name="Normal 2 23 4" xfId="411" xr:uid="{00000000-0005-0000-0000-000090010000}"/>
    <cellStyle name="Normal 2 23 5" xfId="412" xr:uid="{00000000-0005-0000-0000-000091010000}"/>
    <cellStyle name="Normal 2 23 6" xfId="413" xr:uid="{00000000-0005-0000-0000-000092010000}"/>
    <cellStyle name="Normal 2 23 7" xfId="414" xr:uid="{00000000-0005-0000-0000-000093010000}"/>
    <cellStyle name="Normal 2 23 8" xfId="415" xr:uid="{00000000-0005-0000-0000-000094010000}"/>
    <cellStyle name="Normal 2 23 9" xfId="416" xr:uid="{00000000-0005-0000-0000-000095010000}"/>
    <cellStyle name="Normal 2 24" xfId="417" xr:uid="{00000000-0005-0000-0000-000096010000}"/>
    <cellStyle name="Normal 2 24 10" xfId="418" xr:uid="{00000000-0005-0000-0000-000097010000}"/>
    <cellStyle name="Normal 2 24 11" xfId="419" xr:uid="{00000000-0005-0000-0000-000098010000}"/>
    <cellStyle name="Normal 2 24 12" xfId="420" xr:uid="{00000000-0005-0000-0000-000099010000}"/>
    <cellStyle name="Normal 2 24 13" xfId="421" xr:uid="{00000000-0005-0000-0000-00009A010000}"/>
    <cellStyle name="Normal 2 24 14" xfId="422" xr:uid="{00000000-0005-0000-0000-00009B010000}"/>
    <cellStyle name="Normal 2 24 15" xfId="423" xr:uid="{00000000-0005-0000-0000-00009C010000}"/>
    <cellStyle name="Normal 2 24 16" xfId="424" xr:uid="{00000000-0005-0000-0000-00009D010000}"/>
    <cellStyle name="Normal 2 24 17" xfId="425" xr:uid="{00000000-0005-0000-0000-00009E010000}"/>
    <cellStyle name="Normal 2 24 18" xfId="426" xr:uid="{00000000-0005-0000-0000-00009F010000}"/>
    <cellStyle name="Normal 2 24 19" xfId="427" xr:uid="{00000000-0005-0000-0000-0000A0010000}"/>
    <cellStyle name="Normal 2 24 2" xfId="428" xr:uid="{00000000-0005-0000-0000-0000A1010000}"/>
    <cellStyle name="Normal 2 24 20" xfId="429" xr:uid="{00000000-0005-0000-0000-0000A2010000}"/>
    <cellStyle name="Normal 2 24 21" xfId="430" xr:uid="{00000000-0005-0000-0000-0000A3010000}"/>
    <cellStyle name="Normal 2 24 22" xfId="431" xr:uid="{00000000-0005-0000-0000-0000A4010000}"/>
    <cellStyle name="Normal 2 24 23" xfId="432" xr:uid="{00000000-0005-0000-0000-0000A5010000}"/>
    <cellStyle name="Normal 2 24 3" xfId="433" xr:uid="{00000000-0005-0000-0000-0000A6010000}"/>
    <cellStyle name="Normal 2 24 4" xfId="434" xr:uid="{00000000-0005-0000-0000-0000A7010000}"/>
    <cellStyle name="Normal 2 24 5" xfId="435" xr:uid="{00000000-0005-0000-0000-0000A8010000}"/>
    <cellStyle name="Normal 2 24 6" xfId="436" xr:uid="{00000000-0005-0000-0000-0000A9010000}"/>
    <cellStyle name="Normal 2 24 7" xfId="437" xr:uid="{00000000-0005-0000-0000-0000AA010000}"/>
    <cellStyle name="Normal 2 24 8" xfId="438" xr:uid="{00000000-0005-0000-0000-0000AB010000}"/>
    <cellStyle name="Normal 2 24 9" xfId="439" xr:uid="{00000000-0005-0000-0000-0000AC010000}"/>
    <cellStyle name="Normal 2 25" xfId="440" xr:uid="{00000000-0005-0000-0000-0000AD010000}"/>
    <cellStyle name="Normal 2 25 10" xfId="441" xr:uid="{00000000-0005-0000-0000-0000AE010000}"/>
    <cellStyle name="Normal 2 25 11" xfId="442" xr:uid="{00000000-0005-0000-0000-0000AF010000}"/>
    <cellStyle name="Normal 2 25 12" xfId="443" xr:uid="{00000000-0005-0000-0000-0000B0010000}"/>
    <cellStyle name="Normal 2 25 13" xfId="444" xr:uid="{00000000-0005-0000-0000-0000B1010000}"/>
    <cellStyle name="Normal 2 25 14" xfId="445" xr:uid="{00000000-0005-0000-0000-0000B2010000}"/>
    <cellStyle name="Normal 2 25 15" xfId="446" xr:uid="{00000000-0005-0000-0000-0000B3010000}"/>
    <cellStyle name="Normal 2 25 16" xfId="447" xr:uid="{00000000-0005-0000-0000-0000B4010000}"/>
    <cellStyle name="Normal 2 25 17" xfId="448" xr:uid="{00000000-0005-0000-0000-0000B5010000}"/>
    <cellStyle name="Normal 2 25 18" xfId="449" xr:uid="{00000000-0005-0000-0000-0000B6010000}"/>
    <cellStyle name="Normal 2 25 19" xfId="450" xr:uid="{00000000-0005-0000-0000-0000B7010000}"/>
    <cellStyle name="Normal 2 25 2" xfId="451" xr:uid="{00000000-0005-0000-0000-0000B8010000}"/>
    <cellStyle name="Normal 2 25 20" xfId="452" xr:uid="{00000000-0005-0000-0000-0000B9010000}"/>
    <cellStyle name="Normal 2 25 21" xfId="453" xr:uid="{00000000-0005-0000-0000-0000BA010000}"/>
    <cellStyle name="Normal 2 25 22" xfId="454" xr:uid="{00000000-0005-0000-0000-0000BB010000}"/>
    <cellStyle name="Normal 2 25 23" xfId="455" xr:uid="{00000000-0005-0000-0000-0000BC010000}"/>
    <cellStyle name="Normal 2 25 3" xfId="456" xr:uid="{00000000-0005-0000-0000-0000BD010000}"/>
    <cellStyle name="Normal 2 25 4" xfId="457" xr:uid="{00000000-0005-0000-0000-0000BE010000}"/>
    <cellStyle name="Normal 2 25 5" xfId="458" xr:uid="{00000000-0005-0000-0000-0000BF010000}"/>
    <cellStyle name="Normal 2 25 6" xfId="459" xr:uid="{00000000-0005-0000-0000-0000C0010000}"/>
    <cellStyle name="Normal 2 25 7" xfId="460" xr:uid="{00000000-0005-0000-0000-0000C1010000}"/>
    <cellStyle name="Normal 2 25 8" xfId="461" xr:uid="{00000000-0005-0000-0000-0000C2010000}"/>
    <cellStyle name="Normal 2 25 9" xfId="462" xr:uid="{00000000-0005-0000-0000-0000C3010000}"/>
    <cellStyle name="Normal 2 26" xfId="463" xr:uid="{00000000-0005-0000-0000-0000C4010000}"/>
    <cellStyle name="Normal 2 26 10" xfId="464" xr:uid="{00000000-0005-0000-0000-0000C5010000}"/>
    <cellStyle name="Normal 2 26 11" xfId="465" xr:uid="{00000000-0005-0000-0000-0000C6010000}"/>
    <cellStyle name="Normal 2 26 12" xfId="466" xr:uid="{00000000-0005-0000-0000-0000C7010000}"/>
    <cellStyle name="Normal 2 26 13" xfId="467" xr:uid="{00000000-0005-0000-0000-0000C8010000}"/>
    <cellStyle name="Normal 2 26 14" xfId="468" xr:uid="{00000000-0005-0000-0000-0000C9010000}"/>
    <cellStyle name="Normal 2 26 15" xfId="469" xr:uid="{00000000-0005-0000-0000-0000CA010000}"/>
    <cellStyle name="Normal 2 26 16" xfId="470" xr:uid="{00000000-0005-0000-0000-0000CB010000}"/>
    <cellStyle name="Normal 2 26 17" xfId="471" xr:uid="{00000000-0005-0000-0000-0000CC010000}"/>
    <cellStyle name="Normal 2 26 18" xfId="472" xr:uid="{00000000-0005-0000-0000-0000CD010000}"/>
    <cellStyle name="Normal 2 26 19" xfId="473" xr:uid="{00000000-0005-0000-0000-0000CE010000}"/>
    <cellStyle name="Normal 2 26 2" xfId="474" xr:uid="{00000000-0005-0000-0000-0000CF010000}"/>
    <cellStyle name="Normal 2 26 20" xfId="475" xr:uid="{00000000-0005-0000-0000-0000D0010000}"/>
    <cellStyle name="Normal 2 26 21" xfId="476" xr:uid="{00000000-0005-0000-0000-0000D1010000}"/>
    <cellStyle name="Normal 2 26 22" xfId="477" xr:uid="{00000000-0005-0000-0000-0000D2010000}"/>
    <cellStyle name="Normal 2 26 23" xfId="478" xr:uid="{00000000-0005-0000-0000-0000D3010000}"/>
    <cellStyle name="Normal 2 26 3" xfId="479" xr:uid="{00000000-0005-0000-0000-0000D4010000}"/>
    <cellStyle name="Normal 2 26 4" xfId="480" xr:uid="{00000000-0005-0000-0000-0000D5010000}"/>
    <cellStyle name="Normal 2 26 5" xfId="481" xr:uid="{00000000-0005-0000-0000-0000D6010000}"/>
    <cellStyle name="Normal 2 26 6" xfId="482" xr:uid="{00000000-0005-0000-0000-0000D7010000}"/>
    <cellStyle name="Normal 2 26 7" xfId="483" xr:uid="{00000000-0005-0000-0000-0000D8010000}"/>
    <cellStyle name="Normal 2 26 8" xfId="484" xr:uid="{00000000-0005-0000-0000-0000D9010000}"/>
    <cellStyle name="Normal 2 26 9" xfId="485" xr:uid="{00000000-0005-0000-0000-0000DA010000}"/>
    <cellStyle name="Normal 2 27" xfId="486" xr:uid="{00000000-0005-0000-0000-0000DB010000}"/>
    <cellStyle name="Normal 2 27 10" xfId="487" xr:uid="{00000000-0005-0000-0000-0000DC010000}"/>
    <cellStyle name="Normal 2 27 11" xfId="488" xr:uid="{00000000-0005-0000-0000-0000DD010000}"/>
    <cellStyle name="Normal 2 27 12" xfId="489" xr:uid="{00000000-0005-0000-0000-0000DE010000}"/>
    <cellStyle name="Normal 2 27 13" xfId="490" xr:uid="{00000000-0005-0000-0000-0000DF010000}"/>
    <cellStyle name="Normal 2 27 14" xfId="491" xr:uid="{00000000-0005-0000-0000-0000E0010000}"/>
    <cellStyle name="Normal 2 27 15" xfId="492" xr:uid="{00000000-0005-0000-0000-0000E1010000}"/>
    <cellStyle name="Normal 2 27 16" xfId="493" xr:uid="{00000000-0005-0000-0000-0000E2010000}"/>
    <cellStyle name="Normal 2 27 17" xfId="494" xr:uid="{00000000-0005-0000-0000-0000E3010000}"/>
    <cellStyle name="Normal 2 27 18" xfId="495" xr:uid="{00000000-0005-0000-0000-0000E4010000}"/>
    <cellStyle name="Normal 2 27 19" xfId="496" xr:uid="{00000000-0005-0000-0000-0000E5010000}"/>
    <cellStyle name="Normal 2 27 2" xfId="497" xr:uid="{00000000-0005-0000-0000-0000E6010000}"/>
    <cellStyle name="Normal 2 27 20" xfId="498" xr:uid="{00000000-0005-0000-0000-0000E7010000}"/>
    <cellStyle name="Normal 2 27 21" xfId="499" xr:uid="{00000000-0005-0000-0000-0000E8010000}"/>
    <cellStyle name="Normal 2 27 22" xfId="500" xr:uid="{00000000-0005-0000-0000-0000E9010000}"/>
    <cellStyle name="Normal 2 27 23" xfId="501" xr:uid="{00000000-0005-0000-0000-0000EA010000}"/>
    <cellStyle name="Normal 2 27 3" xfId="502" xr:uid="{00000000-0005-0000-0000-0000EB010000}"/>
    <cellStyle name="Normal 2 27 4" xfId="503" xr:uid="{00000000-0005-0000-0000-0000EC010000}"/>
    <cellStyle name="Normal 2 27 5" xfId="504" xr:uid="{00000000-0005-0000-0000-0000ED010000}"/>
    <cellStyle name="Normal 2 27 6" xfId="505" xr:uid="{00000000-0005-0000-0000-0000EE010000}"/>
    <cellStyle name="Normal 2 27 7" xfId="506" xr:uid="{00000000-0005-0000-0000-0000EF010000}"/>
    <cellStyle name="Normal 2 27 8" xfId="507" xr:uid="{00000000-0005-0000-0000-0000F0010000}"/>
    <cellStyle name="Normal 2 27 9" xfId="508" xr:uid="{00000000-0005-0000-0000-0000F1010000}"/>
    <cellStyle name="Normal 2 28" xfId="509" xr:uid="{00000000-0005-0000-0000-0000F2010000}"/>
    <cellStyle name="Normal 2 28 10" xfId="510" xr:uid="{00000000-0005-0000-0000-0000F3010000}"/>
    <cellStyle name="Normal 2 28 11" xfId="511" xr:uid="{00000000-0005-0000-0000-0000F4010000}"/>
    <cellStyle name="Normal 2 28 12" xfId="512" xr:uid="{00000000-0005-0000-0000-0000F5010000}"/>
    <cellStyle name="Normal 2 28 13" xfId="513" xr:uid="{00000000-0005-0000-0000-0000F6010000}"/>
    <cellStyle name="Normal 2 28 14" xfId="514" xr:uid="{00000000-0005-0000-0000-0000F7010000}"/>
    <cellStyle name="Normal 2 28 15" xfId="515" xr:uid="{00000000-0005-0000-0000-0000F8010000}"/>
    <cellStyle name="Normal 2 28 16" xfId="516" xr:uid="{00000000-0005-0000-0000-0000F9010000}"/>
    <cellStyle name="Normal 2 28 17" xfId="517" xr:uid="{00000000-0005-0000-0000-0000FA010000}"/>
    <cellStyle name="Normal 2 28 18" xfId="518" xr:uid="{00000000-0005-0000-0000-0000FB010000}"/>
    <cellStyle name="Normal 2 28 19" xfId="519" xr:uid="{00000000-0005-0000-0000-0000FC010000}"/>
    <cellStyle name="Normal 2 28 2" xfId="520" xr:uid="{00000000-0005-0000-0000-0000FD010000}"/>
    <cellStyle name="Normal 2 28 20" xfId="521" xr:uid="{00000000-0005-0000-0000-0000FE010000}"/>
    <cellStyle name="Normal 2 28 21" xfId="522" xr:uid="{00000000-0005-0000-0000-0000FF010000}"/>
    <cellStyle name="Normal 2 28 22" xfId="523" xr:uid="{00000000-0005-0000-0000-000000020000}"/>
    <cellStyle name="Normal 2 28 23" xfId="524" xr:uid="{00000000-0005-0000-0000-000001020000}"/>
    <cellStyle name="Normal 2 28 3" xfId="525" xr:uid="{00000000-0005-0000-0000-000002020000}"/>
    <cellStyle name="Normal 2 28 4" xfId="526" xr:uid="{00000000-0005-0000-0000-000003020000}"/>
    <cellStyle name="Normal 2 28 5" xfId="527" xr:uid="{00000000-0005-0000-0000-000004020000}"/>
    <cellStyle name="Normal 2 28 6" xfId="528" xr:uid="{00000000-0005-0000-0000-000005020000}"/>
    <cellStyle name="Normal 2 28 7" xfId="529" xr:uid="{00000000-0005-0000-0000-000006020000}"/>
    <cellStyle name="Normal 2 28 8" xfId="530" xr:uid="{00000000-0005-0000-0000-000007020000}"/>
    <cellStyle name="Normal 2 28 9" xfId="531" xr:uid="{00000000-0005-0000-0000-000008020000}"/>
    <cellStyle name="Normal 2 29" xfId="532" xr:uid="{00000000-0005-0000-0000-000009020000}"/>
    <cellStyle name="Normal 2 29 10" xfId="533" xr:uid="{00000000-0005-0000-0000-00000A020000}"/>
    <cellStyle name="Normal 2 29 11" xfId="534" xr:uid="{00000000-0005-0000-0000-00000B020000}"/>
    <cellStyle name="Normal 2 29 12" xfId="535" xr:uid="{00000000-0005-0000-0000-00000C020000}"/>
    <cellStyle name="Normal 2 29 13" xfId="536" xr:uid="{00000000-0005-0000-0000-00000D020000}"/>
    <cellStyle name="Normal 2 29 14" xfId="537" xr:uid="{00000000-0005-0000-0000-00000E020000}"/>
    <cellStyle name="Normal 2 29 15" xfId="538" xr:uid="{00000000-0005-0000-0000-00000F020000}"/>
    <cellStyle name="Normal 2 29 16" xfId="539" xr:uid="{00000000-0005-0000-0000-000010020000}"/>
    <cellStyle name="Normal 2 29 17" xfId="540" xr:uid="{00000000-0005-0000-0000-000011020000}"/>
    <cellStyle name="Normal 2 29 18" xfId="541" xr:uid="{00000000-0005-0000-0000-000012020000}"/>
    <cellStyle name="Normal 2 29 19" xfId="542" xr:uid="{00000000-0005-0000-0000-000013020000}"/>
    <cellStyle name="Normal 2 29 2" xfId="543" xr:uid="{00000000-0005-0000-0000-000014020000}"/>
    <cellStyle name="Normal 2 29 20" xfId="544" xr:uid="{00000000-0005-0000-0000-000015020000}"/>
    <cellStyle name="Normal 2 29 21" xfId="545" xr:uid="{00000000-0005-0000-0000-000016020000}"/>
    <cellStyle name="Normal 2 29 22" xfId="546" xr:uid="{00000000-0005-0000-0000-000017020000}"/>
    <cellStyle name="Normal 2 29 23" xfId="547" xr:uid="{00000000-0005-0000-0000-000018020000}"/>
    <cellStyle name="Normal 2 29 3" xfId="548" xr:uid="{00000000-0005-0000-0000-000019020000}"/>
    <cellStyle name="Normal 2 29 4" xfId="549" xr:uid="{00000000-0005-0000-0000-00001A020000}"/>
    <cellStyle name="Normal 2 29 5" xfId="550" xr:uid="{00000000-0005-0000-0000-00001B020000}"/>
    <cellStyle name="Normal 2 29 6" xfId="551" xr:uid="{00000000-0005-0000-0000-00001C020000}"/>
    <cellStyle name="Normal 2 29 7" xfId="552" xr:uid="{00000000-0005-0000-0000-00001D020000}"/>
    <cellStyle name="Normal 2 29 8" xfId="553" xr:uid="{00000000-0005-0000-0000-00001E020000}"/>
    <cellStyle name="Normal 2 29 9" xfId="554" xr:uid="{00000000-0005-0000-0000-00001F020000}"/>
    <cellStyle name="Normal 2 3" xfId="555" xr:uid="{00000000-0005-0000-0000-000020020000}"/>
    <cellStyle name="Normal 2 30" xfId="556" xr:uid="{00000000-0005-0000-0000-000021020000}"/>
    <cellStyle name="Normal 2 30 10" xfId="557" xr:uid="{00000000-0005-0000-0000-000022020000}"/>
    <cellStyle name="Normal 2 30 11" xfId="558" xr:uid="{00000000-0005-0000-0000-000023020000}"/>
    <cellStyle name="Normal 2 30 12" xfId="559" xr:uid="{00000000-0005-0000-0000-000024020000}"/>
    <cellStyle name="Normal 2 30 13" xfId="560" xr:uid="{00000000-0005-0000-0000-000025020000}"/>
    <cellStyle name="Normal 2 30 14" xfId="561" xr:uid="{00000000-0005-0000-0000-000026020000}"/>
    <cellStyle name="Normal 2 30 15" xfId="562" xr:uid="{00000000-0005-0000-0000-000027020000}"/>
    <cellStyle name="Normal 2 30 16" xfId="563" xr:uid="{00000000-0005-0000-0000-000028020000}"/>
    <cellStyle name="Normal 2 30 17" xfId="564" xr:uid="{00000000-0005-0000-0000-000029020000}"/>
    <cellStyle name="Normal 2 30 18" xfId="565" xr:uid="{00000000-0005-0000-0000-00002A020000}"/>
    <cellStyle name="Normal 2 30 19" xfId="566" xr:uid="{00000000-0005-0000-0000-00002B020000}"/>
    <cellStyle name="Normal 2 30 2" xfId="567" xr:uid="{00000000-0005-0000-0000-00002C020000}"/>
    <cellStyle name="Normal 2 30 20" xfId="568" xr:uid="{00000000-0005-0000-0000-00002D020000}"/>
    <cellStyle name="Normal 2 30 21" xfId="569" xr:uid="{00000000-0005-0000-0000-00002E020000}"/>
    <cellStyle name="Normal 2 30 22" xfId="570" xr:uid="{00000000-0005-0000-0000-00002F020000}"/>
    <cellStyle name="Normal 2 30 23" xfId="571" xr:uid="{00000000-0005-0000-0000-000030020000}"/>
    <cellStyle name="Normal 2 30 3" xfId="572" xr:uid="{00000000-0005-0000-0000-000031020000}"/>
    <cellStyle name="Normal 2 30 4" xfId="573" xr:uid="{00000000-0005-0000-0000-000032020000}"/>
    <cellStyle name="Normal 2 30 5" xfId="574" xr:uid="{00000000-0005-0000-0000-000033020000}"/>
    <cellStyle name="Normal 2 30 6" xfId="575" xr:uid="{00000000-0005-0000-0000-000034020000}"/>
    <cellStyle name="Normal 2 30 7" xfId="576" xr:uid="{00000000-0005-0000-0000-000035020000}"/>
    <cellStyle name="Normal 2 30 8" xfId="577" xr:uid="{00000000-0005-0000-0000-000036020000}"/>
    <cellStyle name="Normal 2 30 9" xfId="578" xr:uid="{00000000-0005-0000-0000-000037020000}"/>
    <cellStyle name="Normal 2 31" xfId="579" xr:uid="{00000000-0005-0000-0000-000038020000}"/>
    <cellStyle name="Normal 2 31 10" xfId="580" xr:uid="{00000000-0005-0000-0000-000039020000}"/>
    <cellStyle name="Normal 2 31 11" xfId="581" xr:uid="{00000000-0005-0000-0000-00003A020000}"/>
    <cellStyle name="Normal 2 31 12" xfId="582" xr:uid="{00000000-0005-0000-0000-00003B020000}"/>
    <cellStyle name="Normal 2 31 13" xfId="583" xr:uid="{00000000-0005-0000-0000-00003C020000}"/>
    <cellStyle name="Normal 2 31 14" xfId="584" xr:uid="{00000000-0005-0000-0000-00003D020000}"/>
    <cellStyle name="Normal 2 31 15" xfId="585" xr:uid="{00000000-0005-0000-0000-00003E020000}"/>
    <cellStyle name="Normal 2 31 16" xfId="586" xr:uid="{00000000-0005-0000-0000-00003F020000}"/>
    <cellStyle name="Normal 2 31 17" xfId="587" xr:uid="{00000000-0005-0000-0000-000040020000}"/>
    <cellStyle name="Normal 2 31 18" xfId="588" xr:uid="{00000000-0005-0000-0000-000041020000}"/>
    <cellStyle name="Normal 2 31 19" xfId="589" xr:uid="{00000000-0005-0000-0000-000042020000}"/>
    <cellStyle name="Normal 2 31 2" xfId="590" xr:uid="{00000000-0005-0000-0000-000043020000}"/>
    <cellStyle name="Normal 2 31 20" xfId="591" xr:uid="{00000000-0005-0000-0000-000044020000}"/>
    <cellStyle name="Normal 2 31 21" xfId="592" xr:uid="{00000000-0005-0000-0000-000045020000}"/>
    <cellStyle name="Normal 2 31 22" xfId="593" xr:uid="{00000000-0005-0000-0000-000046020000}"/>
    <cellStyle name="Normal 2 31 23" xfId="594" xr:uid="{00000000-0005-0000-0000-000047020000}"/>
    <cellStyle name="Normal 2 31 3" xfId="595" xr:uid="{00000000-0005-0000-0000-000048020000}"/>
    <cellStyle name="Normal 2 31 4" xfId="596" xr:uid="{00000000-0005-0000-0000-000049020000}"/>
    <cellStyle name="Normal 2 31 5" xfId="597" xr:uid="{00000000-0005-0000-0000-00004A020000}"/>
    <cellStyle name="Normal 2 31 6" xfId="598" xr:uid="{00000000-0005-0000-0000-00004B020000}"/>
    <cellStyle name="Normal 2 31 7" xfId="599" xr:uid="{00000000-0005-0000-0000-00004C020000}"/>
    <cellStyle name="Normal 2 31 8" xfId="600" xr:uid="{00000000-0005-0000-0000-00004D020000}"/>
    <cellStyle name="Normal 2 31 9" xfId="601" xr:uid="{00000000-0005-0000-0000-00004E020000}"/>
    <cellStyle name="Normal 2 32" xfId="602" xr:uid="{00000000-0005-0000-0000-00004F020000}"/>
    <cellStyle name="Normal 2 32 10" xfId="603" xr:uid="{00000000-0005-0000-0000-000050020000}"/>
    <cellStyle name="Normal 2 32 11" xfId="604" xr:uid="{00000000-0005-0000-0000-000051020000}"/>
    <cellStyle name="Normal 2 32 12" xfId="605" xr:uid="{00000000-0005-0000-0000-000052020000}"/>
    <cellStyle name="Normal 2 32 13" xfId="606" xr:uid="{00000000-0005-0000-0000-000053020000}"/>
    <cellStyle name="Normal 2 32 14" xfId="607" xr:uid="{00000000-0005-0000-0000-000054020000}"/>
    <cellStyle name="Normal 2 32 15" xfId="608" xr:uid="{00000000-0005-0000-0000-000055020000}"/>
    <cellStyle name="Normal 2 32 16" xfId="609" xr:uid="{00000000-0005-0000-0000-000056020000}"/>
    <cellStyle name="Normal 2 32 17" xfId="610" xr:uid="{00000000-0005-0000-0000-000057020000}"/>
    <cellStyle name="Normal 2 32 18" xfId="611" xr:uid="{00000000-0005-0000-0000-000058020000}"/>
    <cellStyle name="Normal 2 32 19" xfId="612" xr:uid="{00000000-0005-0000-0000-000059020000}"/>
    <cellStyle name="Normal 2 32 2" xfId="613" xr:uid="{00000000-0005-0000-0000-00005A020000}"/>
    <cellStyle name="Normal 2 32 20" xfId="614" xr:uid="{00000000-0005-0000-0000-00005B020000}"/>
    <cellStyle name="Normal 2 32 21" xfId="615" xr:uid="{00000000-0005-0000-0000-00005C020000}"/>
    <cellStyle name="Normal 2 32 22" xfId="616" xr:uid="{00000000-0005-0000-0000-00005D020000}"/>
    <cellStyle name="Normal 2 32 23" xfId="617" xr:uid="{00000000-0005-0000-0000-00005E020000}"/>
    <cellStyle name="Normal 2 32 3" xfId="618" xr:uid="{00000000-0005-0000-0000-00005F020000}"/>
    <cellStyle name="Normal 2 32 4" xfId="619" xr:uid="{00000000-0005-0000-0000-000060020000}"/>
    <cellStyle name="Normal 2 32 5" xfId="620" xr:uid="{00000000-0005-0000-0000-000061020000}"/>
    <cellStyle name="Normal 2 32 6" xfId="621" xr:uid="{00000000-0005-0000-0000-000062020000}"/>
    <cellStyle name="Normal 2 32 7" xfId="622" xr:uid="{00000000-0005-0000-0000-000063020000}"/>
    <cellStyle name="Normal 2 32 8" xfId="623" xr:uid="{00000000-0005-0000-0000-000064020000}"/>
    <cellStyle name="Normal 2 32 9" xfId="624" xr:uid="{00000000-0005-0000-0000-000065020000}"/>
    <cellStyle name="Normal 2 33" xfId="625" xr:uid="{00000000-0005-0000-0000-000066020000}"/>
    <cellStyle name="Normal 2 33 10" xfId="626" xr:uid="{00000000-0005-0000-0000-000067020000}"/>
    <cellStyle name="Normal 2 33 11" xfId="627" xr:uid="{00000000-0005-0000-0000-000068020000}"/>
    <cellStyle name="Normal 2 33 12" xfId="628" xr:uid="{00000000-0005-0000-0000-000069020000}"/>
    <cellStyle name="Normal 2 33 13" xfId="629" xr:uid="{00000000-0005-0000-0000-00006A020000}"/>
    <cellStyle name="Normal 2 33 14" xfId="630" xr:uid="{00000000-0005-0000-0000-00006B020000}"/>
    <cellStyle name="Normal 2 33 15" xfId="631" xr:uid="{00000000-0005-0000-0000-00006C020000}"/>
    <cellStyle name="Normal 2 33 16" xfId="632" xr:uid="{00000000-0005-0000-0000-00006D020000}"/>
    <cellStyle name="Normal 2 33 17" xfId="633" xr:uid="{00000000-0005-0000-0000-00006E020000}"/>
    <cellStyle name="Normal 2 33 18" xfId="634" xr:uid="{00000000-0005-0000-0000-00006F020000}"/>
    <cellStyle name="Normal 2 33 19" xfId="635" xr:uid="{00000000-0005-0000-0000-000070020000}"/>
    <cellStyle name="Normal 2 33 2" xfId="636" xr:uid="{00000000-0005-0000-0000-000071020000}"/>
    <cellStyle name="Normal 2 33 20" xfId="637" xr:uid="{00000000-0005-0000-0000-000072020000}"/>
    <cellStyle name="Normal 2 33 21" xfId="638" xr:uid="{00000000-0005-0000-0000-000073020000}"/>
    <cellStyle name="Normal 2 33 22" xfId="639" xr:uid="{00000000-0005-0000-0000-000074020000}"/>
    <cellStyle name="Normal 2 33 23" xfId="640" xr:uid="{00000000-0005-0000-0000-000075020000}"/>
    <cellStyle name="Normal 2 33 3" xfId="641" xr:uid="{00000000-0005-0000-0000-000076020000}"/>
    <cellStyle name="Normal 2 33 4" xfId="642" xr:uid="{00000000-0005-0000-0000-000077020000}"/>
    <cellStyle name="Normal 2 33 5" xfId="643" xr:uid="{00000000-0005-0000-0000-000078020000}"/>
    <cellStyle name="Normal 2 33 6" xfId="644" xr:uid="{00000000-0005-0000-0000-000079020000}"/>
    <cellStyle name="Normal 2 33 7" xfId="645" xr:uid="{00000000-0005-0000-0000-00007A020000}"/>
    <cellStyle name="Normal 2 33 8" xfId="646" xr:uid="{00000000-0005-0000-0000-00007B020000}"/>
    <cellStyle name="Normal 2 33 9" xfId="647" xr:uid="{00000000-0005-0000-0000-00007C020000}"/>
    <cellStyle name="Normal 2 34" xfId="648" xr:uid="{00000000-0005-0000-0000-00007D020000}"/>
    <cellStyle name="Normal 2 34 10" xfId="649" xr:uid="{00000000-0005-0000-0000-00007E020000}"/>
    <cellStyle name="Normal 2 34 11" xfId="650" xr:uid="{00000000-0005-0000-0000-00007F020000}"/>
    <cellStyle name="Normal 2 34 12" xfId="651" xr:uid="{00000000-0005-0000-0000-000080020000}"/>
    <cellStyle name="Normal 2 34 13" xfId="652" xr:uid="{00000000-0005-0000-0000-000081020000}"/>
    <cellStyle name="Normal 2 34 14" xfId="653" xr:uid="{00000000-0005-0000-0000-000082020000}"/>
    <cellStyle name="Normal 2 34 15" xfId="654" xr:uid="{00000000-0005-0000-0000-000083020000}"/>
    <cellStyle name="Normal 2 34 16" xfId="655" xr:uid="{00000000-0005-0000-0000-000084020000}"/>
    <cellStyle name="Normal 2 34 17" xfId="656" xr:uid="{00000000-0005-0000-0000-000085020000}"/>
    <cellStyle name="Normal 2 34 18" xfId="657" xr:uid="{00000000-0005-0000-0000-000086020000}"/>
    <cellStyle name="Normal 2 34 19" xfId="658" xr:uid="{00000000-0005-0000-0000-000087020000}"/>
    <cellStyle name="Normal 2 34 2" xfId="659" xr:uid="{00000000-0005-0000-0000-000088020000}"/>
    <cellStyle name="Normal 2 34 20" xfId="660" xr:uid="{00000000-0005-0000-0000-000089020000}"/>
    <cellStyle name="Normal 2 34 21" xfId="661" xr:uid="{00000000-0005-0000-0000-00008A020000}"/>
    <cellStyle name="Normal 2 34 22" xfId="662" xr:uid="{00000000-0005-0000-0000-00008B020000}"/>
    <cellStyle name="Normal 2 34 23" xfId="663" xr:uid="{00000000-0005-0000-0000-00008C020000}"/>
    <cellStyle name="Normal 2 34 3" xfId="664" xr:uid="{00000000-0005-0000-0000-00008D020000}"/>
    <cellStyle name="Normal 2 34 4" xfId="665" xr:uid="{00000000-0005-0000-0000-00008E020000}"/>
    <cellStyle name="Normal 2 34 5" xfId="666" xr:uid="{00000000-0005-0000-0000-00008F020000}"/>
    <cellStyle name="Normal 2 34 6" xfId="667" xr:uid="{00000000-0005-0000-0000-000090020000}"/>
    <cellStyle name="Normal 2 34 7" xfId="668" xr:uid="{00000000-0005-0000-0000-000091020000}"/>
    <cellStyle name="Normal 2 34 8" xfId="669" xr:uid="{00000000-0005-0000-0000-000092020000}"/>
    <cellStyle name="Normal 2 34 9" xfId="670" xr:uid="{00000000-0005-0000-0000-000093020000}"/>
    <cellStyle name="Normal 2 35" xfId="671" xr:uid="{00000000-0005-0000-0000-000094020000}"/>
    <cellStyle name="Normal 2 35 10" xfId="672" xr:uid="{00000000-0005-0000-0000-000095020000}"/>
    <cellStyle name="Normal 2 35 11" xfId="673" xr:uid="{00000000-0005-0000-0000-000096020000}"/>
    <cellStyle name="Normal 2 35 12" xfId="674" xr:uid="{00000000-0005-0000-0000-000097020000}"/>
    <cellStyle name="Normal 2 35 13" xfId="675" xr:uid="{00000000-0005-0000-0000-000098020000}"/>
    <cellStyle name="Normal 2 35 14" xfId="676" xr:uid="{00000000-0005-0000-0000-000099020000}"/>
    <cellStyle name="Normal 2 35 15" xfId="677" xr:uid="{00000000-0005-0000-0000-00009A020000}"/>
    <cellStyle name="Normal 2 35 16" xfId="678" xr:uid="{00000000-0005-0000-0000-00009B020000}"/>
    <cellStyle name="Normal 2 35 17" xfId="679" xr:uid="{00000000-0005-0000-0000-00009C020000}"/>
    <cellStyle name="Normal 2 35 18" xfId="680" xr:uid="{00000000-0005-0000-0000-00009D020000}"/>
    <cellStyle name="Normal 2 35 19" xfId="681" xr:uid="{00000000-0005-0000-0000-00009E020000}"/>
    <cellStyle name="Normal 2 35 2" xfId="682" xr:uid="{00000000-0005-0000-0000-00009F020000}"/>
    <cellStyle name="Normal 2 35 20" xfId="683" xr:uid="{00000000-0005-0000-0000-0000A0020000}"/>
    <cellStyle name="Normal 2 35 21" xfId="684" xr:uid="{00000000-0005-0000-0000-0000A1020000}"/>
    <cellStyle name="Normal 2 35 22" xfId="685" xr:uid="{00000000-0005-0000-0000-0000A2020000}"/>
    <cellStyle name="Normal 2 35 23" xfId="686" xr:uid="{00000000-0005-0000-0000-0000A3020000}"/>
    <cellStyle name="Normal 2 35 3" xfId="687" xr:uid="{00000000-0005-0000-0000-0000A4020000}"/>
    <cellStyle name="Normal 2 35 4" xfId="688" xr:uid="{00000000-0005-0000-0000-0000A5020000}"/>
    <cellStyle name="Normal 2 35 5" xfId="689" xr:uid="{00000000-0005-0000-0000-0000A6020000}"/>
    <cellStyle name="Normal 2 35 6" xfId="690" xr:uid="{00000000-0005-0000-0000-0000A7020000}"/>
    <cellStyle name="Normal 2 35 7" xfId="691" xr:uid="{00000000-0005-0000-0000-0000A8020000}"/>
    <cellStyle name="Normal 2 35 8" xfId="692" xr:uid="{00000000-0005-0000-0000-0000A9020000}"/>
    <cellStyle name="Normal 2 35 9" xfId="693" xr:uid="{00000000-0005-0000-0000-0000AA020000}"/>
    <cellStyle name="Normal 2 36" xfId="694" xr:uid="{00000000-0005-0000-0000-0000AB020000}"/>
    <cellStyle name="Normal 2 36 10" xfId="695" xr:uid="{00000000-0005-0000-0000-0000AC020000}"/>
    <cellStyle name="Normal 2 36 11" xfId="696" xr:uid="{00000000-0005-0000-0000-0000AD020000}"/>
    <cellStyle name="Normal 2 36 12" xfId="697" xr:uid="{00000000-0005-0000-0000-0000AE020000}"/>
    <cellStyle name="Normal 2 36 13" xfId="698" xr:uid="{00000000-0005-0000-0000-0000AF020000}"/>
    <cellStyle name="Normal 2 36 14" xfId="699" xr:uid="{00000000-0005-0000-0000-0000B0020000}"/>
    <cellStyle name="Normal 2 36 15" xfId="700" xr:uid="{00000000-0005-0000-0000-0000B1020000}"/>
    <cellStyle name="Normal 2 36 16" xfId="701" xr:uid="{00000000-0005-0000-0000-0000B2020000}"/>
    <cellStyle name="Normal 2 36 17" xfId="702" xr:uid="{00000000-0005-0000-0000-0000B3020000}"/>
    <cellStyle name="Normal 2 36 18" xfId="703" xr:uid="{00000000-0005-0000-0000-0000B4020000}"/>
    <cellStyle name="Normal 2 36 19" xfId="704" xr:uid="{00000000-0005-0000-0000-0000B5020000}"/>
    <cellStyle name="Normal 2 36 2" xfId="705" xr:uid="{00000000-0005-0000-0000-0000B6020000}"/>
    <cellStyle name="Normal 2 36 20" xfId="706" xr:uid="{00000000-0005-0000-0000-0000B7020000}"/>
    <cellStyle name="Normal 2 36 21" xfId="707" xr:uid="{00000000-0005-0000-0000-0000B8020000}"/>
    <cellStyle name="Normal 2 36 22" xfId="708" xr:uid="{00000000-0005-0000-0000-0000B9020000}"/>
    <cellStyle name="Normal 2 36 23" xfId="709" xr:uid="{00000000-0005-0000-0000-0000BA020000}"/>
    <cellStyle name="Normal 2 36 3" xfId="710" xr:uid="{00000000-0005-0000-0000-0000BB020000}"/>
    <cellStyle name="Normal 2 36 4" xfId="711" xr:uid="{00000000-0005-0000-0000-0000BC020000}"/>
    <cellStyle name="Normal 2 36 5" xfId="712" xr:uid="{00000000-0005-0000-0000-0000BD020000}"/>
    <cellStyle name="Normal 2 36 6" xfId="713" xr:uid="{00000000-0005-0000-0000-0000BE020000}"/>
    <cellStyle name="Normal 2 36 7" xfId="714" xr:uid="{00000000-0005-0000-0000-0000BF020000}"/>
    <cellStyle name="Normal 2 36 8" xfId="715" xr:uid="{00000000-0005-0000-0000-0000C0020000}"/>
    <cellStyle name="Normal 2 36 9" xfId="716" xr:uid="{00000000-0005-0000-0000-0000C1020000}"/>
    <cellStyle name="Normal 2 37" xfId="717" xr:uid="{00000000-0005-0000-0000-0000C2020000}"/>
    <cellStyle name="Normal 2 37 10" xfId="718" xr:uid="{00000000-0005-0000-0000-0000C3020000}"/>
    <cellStyle name="Normal 2 37 11" xfId="719" xr:uid="{00000000-0005-0000-0000-0000C4020000}"/>
    <cellStyle name="Normal 2 37 12" xfId="720" xr:uid="{00000000-0005-0000-0000-0000C5020000}"/>
    <cellStyle name="Normal 2 37 13" xfId="721" xr:uid="{00000000-0005-0000-0000-0000C6020000}"/>
    <cellStyle name="Normal 2 37 14" xfId="722" xr:uid="{00000000-0005-0000-0000-0000C7020000}"/>
    <cellStyle name="Normal 2 37 15" xfId="723" xr:uid="{00000000-0005-0000-0000-0000C8020000}"/>
    <cellStyle name="Normal 2 37 16" xfId="724" xr:uid="{00000000-0005-0000-0000-0000C9020000}"/>
    <cellStyle name="Normal 2 37 17" xfId="725" xr:uid="{00000000-0005-0000-0000-0000CA020000}"/>
    <cellStyle name="Normal 2 37 18" xfId="726" xr:uid="{00000000-0005-0000-0000-0000CB020000}"/>
    <cellStyle name="Normal 2 37 19" xfId="727" xr:uid="{00000000-0005-0000-0000-0000CC020000}"/>
    <cellStyle name="Normal 2 37 2" xfId="728" xr:uid="{00000000-0005-0000-0000-0000CD020000}"/>
    <cellStyle name="Normal 2 37 20" xfId="729" xr:uid="{00000000-0005-0000-0000-0000CE020000}"/>
    <cellStyle name="Normal 2 37 21" xfId="730" xr:uid="{00000000-0005-0000-0000-0000CF020000}"/>
    <cellStyle name="Normal 2 37 22" xfId="731" xr:uid="{00000000-0005-0000-0000-0000D0020000}"/>
    <cellStyle name="Normal 2 37 23" xfId="732" xr:uid="{00000000-0005-0000-0000-0000D1020000}"/>
    <cellStyle name="Normal 2 37 3" xfId="733" xr:uid="{00000000-0005-0000-0000-0000D2020000}"/>
    <cellStyle name="Normal 2 37 4" xfId="734" xr:uid="{00000000-0005-0000-0000-0000D3020000}"/>
    <cellStyle name="Normal 2 37 5" xfId="735" xr:uid="{00000000-0005-0000-0000-0000D4020000}"/>
    <cellStyle name="Normal 2 37 6" xfId="736" xr:uid="{00000000-0005-0000-0000-0000D5020000}"/>
    <cellStyle name="Normal 2 37 7" xfId="737" xr:uid="{00000000-0005-0000-0000-0000D6020000}"/>
    <cellStyle name="Normal 2 37 8" xfId="738" xr:uid="{00000000-0005-0000-0000-0000D7020000}"/>
    <cellStyle name="Normal 2 37 9" xfId="739" xr:uid="{00000000-0005-0000-0000-0000D8020000}"/>
    <cellStyle name="Normal 2 38" xfId="740" xr:uid="{00000000-0005-0000-0000-0000D9020000}"/>
    <cellStyle name="Normal 2 38 10" xfId="741" xr:uid="{00000000-0005-0000-0000-0000DA020000}"/>
    <cellStyle name="Normal 2 38 11" xfId="742" xr:uid="{00000000-0005-0000-0000-0000DB020000}"/>
    <cellStyle name="Normal 2 38 12" xfId="743" xr:uid="{00000000-0005-0000-0000-0000DC020000}"/>
    <cellStyle name="Normal 2 38 13" xfId="744" xr:uid="{00000000-0005-0000-0000-0000DD020000}"/>
    <cellStyle name="Normal 2 38 14" xfId="745" xr:uid="{00000000-0005-0000-0000-0000DE020000}"/>
    <cellStyle name="Normal 2 38 15" xfId="746" xr:uid="{00000000-0005-0000-0000-0000DF020000}"/>
    <cellStyle name="Normal 2 38 16" xfId="747" xr:uid="{00000000-0005-0000-0000-0000E0020000}"/>
    <cellStyle name="Normal 2 38 17" xfId="748" xr:uid="{00000000-0005-0000-0000-0000E1020000}"/>
    <cellStyle name="Normal 2 38 18" xfId="749" xr:uid="{00000000-0005-0000-0000-0000E2020000}"/>
    <cellStyle name="Normal 2 38 19" xfId="750" xr:uid="{00000000-0005-0000-0000-0000E3020000}"/>
    <cellStyle name="Normal 2 38 2" xfId="751" xr:uid="{00000000-0005-0000-0000-0000E4020000}"/>
    <cellStyle name="Normal 2 38 20" xfId="752" xr:uid="{00000000-0005-0000-0000-0000E5020000}"/>
    <cellStyle name="Normal 2 38 21" xfId="753" xr:uid="{00000000-0005-0000-0000-0000E6020000}"/>
    <cellStyle name="Normal 2 38 22" xfId="754" xr:uid="{00000000-0005-0000-0000-0000E7020000}"/>
    <cellStyle name="Normal 2 38 23" xfId="755" xr:uid="{00000000-0005-0000-0000-0000E8020000}"/>
    <cellStyle name="Normal 2 38 3" xfId="756" xr:uid="{00000000-0005-0000-0000-0000E9020000}"/>
    <cellStyle name="Normal 2 38 4" xfId="757" xr:uid="{00000000-0005-0000-0000-0000EA020000}"/>
    <cellStyle name="Normal 2 38 5" xfId="758" xr:uid="{00000000-0005-0000-0000-0000EB020000}"/>
    <cellStyle name="Normal 2 38 6" xfId="759" xr:uid="{00000000-0005-0000-0000-0000EC020000}"/>
    <cellStyle name="Normal 2 38 7" xfId="760" xr:uid="{00000000-0005-0000-0000-0000ED020000}"/>
    <cellStyle name="Normal 2 38 8" xfId="761" xr:uid="{00000000-0005-0000-0000-0000EE020000}"/>
    <cellStyle name="Normal 2 38 9" xfId="762" xr:uid="{00000000-0005-0000-0000-0000EF020000}"/>
    <cellStyle name="Normal 2 39" xfId="763" xr:uid="{00000000-0005-0000-0000-0000F0020000}"/>
    <cellStyle name="Normal 2 39 10" xfId="764" xr:uid="{00000000-0005-0000-0000-0000F1020000}"/>
    <cellStyle name="Normal 2 39 11" xfId="765" xr:uid="{00000000-0005-0000-0000-0000F2020000}"/>
    <cellStyle name="Normal 2 39 12" xfId="766" xr:uid="{00000000-0005-0000-0000-0000F3020000}"/>
    <cellStyle name="Normal 2 39 13" xfId="767" xr:uid="{00000000-0005-0000-0000-0000F4020000}"/>
    <cellStyle name="Normal 2 39 14" xfId="768" xr:uid="{00000000-0005-0000-0000-0000F5020000}"/>
    <cellStyle name="Normal 2 39 15" xfId="769" xr:uid="{00000000-0005-0000-0000-0000F6020000}"/>
    <cellStyle name="Normal 2 39 16" xfId="770" xr:uid="{00000000-0005-0000-0000-0000F7020000}"/>
    <cellStyle name="Normal 2 39 17" xfId="771" xr:uid="{00000000-0005-0000-0000-0000F8020000}"/>
    <cellStyle name="Normal 2 39 18" xfId="772" xr:uid="{00000000-0005-0000-0000-0000F9020000}"/>
    <cellStyle name="Normal 2 39 19" xfId="773" xr:uid="{00000000-0005-0000-0000-0000FA020000}"/>
    <cellStyle name="Normal 2 39 2" xfId="774" xr:uid="{00000000-0005-0000-0000-0000FB020000}"/>
    <cellStyle name="Normal 2 39 20" xfId="775" xr:uid="{00000000-0005-0000-0000-0000FC020000}"/>
    <cellStyle name="Normal 2 39 21" xfId="776" xr:uid="{00000000-0005-0000-0000-0000FD020000}"/>
    <cellStyle name="Normal 2 39 22" xfId="777" xr:uid="{00000000-0005-0000-0000-0000FE020000}"/>
    <cellStyle name="Normal 2 39 23" xfId="778" xr:uid="{00000000-0005-0000-0000-0000FF020000}"/>
    <cellStyle name="Normal 2 39 3" xfId="779" xr:uid="{00000000-0005-0000-0000-000000030000}"/>
    <cellStyle name="Normal 2 39 4" xfId="780" xr:uid="{00000000-0005-0000-0000-000001030000}"/>
    <cellStyle name="Normal 2 39 5" xfId="781" xr:uid="{00000000-0005-0000-0000-000002030000}"/>
    <cellStyle name="Normal 2 39 6" xfId="782" xr:uid="{00000000-0005-0000-0000-000003030000}"/>
    <cellStyle name="Normal 2 39 7" xfId="783" xr:uid="{00000000-0005-0000-0000-000004030000}"/>
    <cellStyle name="Normal 2 39 8" xfId="784" xr:uid="{00000000-0005-0000-0000-000005030000}"/>
    <cellStyle name="Normal 2 39 9" xfId="785" xr:uid="{00000000-0005-0000-0000-000006030000}"/>
    <cellStyle name="Normal 2 4" xfId="786" xr:uid="{00000000-0005-0000-0000-000007030000}"/>
    <cellStyle name="Normal 2 40" xfId="787" xr:uid="{00000000-0005-0000-0000-000008030000}"/>
    <cellStyle name="Normal 2 41" xfId="788" xr:uid="{00000000-0005-0000-0000-000009030000}"/>
    <cellStyle name="Normal 2 42" xfId="789" xr:uid="{00000000-0005-0000-0000-00000A030000}"/>
    <cellStyle name="Normal 2 43" xfId="790" xr:uid="{00000000-0005-0000-0000-00000B030000}"/>
    <cellStyle name="Normal 2 44" xfId="791" xr:uid="{00000000-0005-0000-0000-00000C030000}"/>
    <cellStyle name="Normal 2 45" xfId="792" xr:uid="{00000000-0005-0000-0000-00000D030000}"/>
    <cellStyle name="Normal 2 46" xfId="793" xr:uid="{00000000-0005-0000-0000-00000E030000}"/>
    <cellStyle name="Normal 2 47" xfId="794" xr:uid="{00000000-0005-0000-0000-00000F030000}"/>
    <cellStyle name="Normal 2 48" xfId="795" xr:uid="{00000000-0005-0000-0000-000010030000}"/>
    <cellStyle name="Normal 2 49" xfId="796" xr:uid="{00000000-0005-0000-0000-000011030000}"/>
    <cellStyle name="Normal 2 5" xfId="797" xr:uid="{00000000-0005-0000-0000-000012030000}"/>
    <cellStyle name="Normal 2 5 10" xfId="798" xr:uid="{00000000-0005-0000-0000-000013030000}"/>
    <cellStyle name="Normal 2 5 11" xfId="799" xr:uid="{00000000-0005-0000-0000-000014030000}"/>
    <cellStyle name="Normal 2 5 12" xfId="800" xr:uid="{00000000-0005-0000-0000-000015030000}"/>
    <cellStyle name="Normal 2 5 13" xfId="801" xr:uid="{00000000-0005-0000-0000-000016030000}"/>
    <cellStyle name="Normal 2 5 14" xfId="802" xr:uid="{00000000-0005-0000-0000-000017030000}"/>
    <cellStyle name="Normal 2 5 15" xfId="803" xr:uid="{00000000-0005-0000-0000-000018030000}"/>
    <cellStyle name="Normal 2 5 16" xfId="804" xr:uid="{00000000-0005-0000-0000-000019030000}"/>
    <cellStyle name="Normal 2 5 17" xfId="805" xr:uid="{00000000-0005-0000-0000-00001A030000}"/>
    <cellStyle name="Normal 2 5 18" xfId="806" xr:uid="{00000000-0005-0000-0000-00001B030000}"/>
    <cellStyle name="Normal 2 5 19" xfId="807" xr:uid="{00000000-0005-0000-0000-00001C030000}"/>
    <cellStyle name="Normal 2 5 2" xfId="808" xr:uid="{00000000-0005-0000-0000-00001D030000}"/>
    <cellStyle name="Normal 2 5 2 10" xfId="809" xr:uid="{00000000-0005-0000-0000-00001E030000}"/>
    <cellStyle name="Normal 2 5 2 11" xfId="810" xr:uid="{00000000-0005-0000-0000-00001F030000}"/>
    <cellStyle name="Normal 2 5 2 12" xfId="811" xr:uid="{00000000-0005-0000-0000-000020030000}"/>
    <cellStyle name="Normal 2 5 2 13" xfId="812" xr:uid="{00000000-0005-0000-0000-000021030000}"/>
    <cellStyle name="Normal 2 5 2 14" xfId="813" xr:uid="{00000000-0005-0000-0000-000022030000}"/>
    <cellStyle name="Normal 2 5 2 15" xfId="814" xr:uid="{00000000-0005-0000-0000-000023030000}"/>
    <cellStyle name="Normal 2 5 2 16" xfId="815" xr:uid="{00000000-0005-0000-0000-000024030000}"/>
    <cellStyle name="Normal 2 5 2 17" xfId="816" xr:uid="{00000000-0005-0000-0000-000025030000}"/>
    <cellStyle name="Normal 2 5 2 18" xfId="817" xr:uid="{00000000-0005-0000-0000-000026030000}"/>
    <cellStyle name="Normal 2 5 2 19" xfId="818" xr:uid="{00000000-0005-0000-0000-000027030000}"/>
    <cellStyle name="Normal 2 5 2 2" xfId="819" xr:uid="{00000000-0005-0000-0000-000028030000}"/>
    <cellStyle name="Normal 2 5 2 2 10" xfId="820" xr:uid="{00000000-0005-0000-0000-000029030000}"/>
    <cellStyle name="Normal 2 5 2 2 11" xfId="821" xr:uid="{00000000-0005-0000-0000-00002A030000}"/>
    <cellStyle name="Normal 2 5 2 2 12" xfId="822" xr:uid="{00000000-0005-0000-0000-00002B030000}"/>
    <cellStyle name="Normal 2 5 2 2 13" xfId="823" xr:uid="{00000000-0005-0000-0000-00002C030000}"/>
    <cellStyle name="Normal 2 5 2 2 14" xfId="824" xr:uid="{00000000-0005-0000-0000-00002D030000}"/>
    <cellStyle name="Normal 2 5 2 2 15" xfId="825" xr:uid="{00000000-0005-0000-0000-00002E030000}"/>
    <cellStyle name="Normal 2 5 2 2 16" xfId="826" xr:uid="{00000000-0005-0000-0000-00002F030000}"/>
    <cellStyle name="Normal 2 5 2 2 17" xfId="827" xr:uid="{00000000-0005-0000-0000-000030030000}"/>
    <cellStyle name="Normal 2 5 2 2 18" xfId="828" xr:uid="{00000000-0005-0000-0000-000031030000}"/>
    <cellStyle name="Normal 2 5 2 2 19" xfId="829" xr:uid="{00000000-0005-0000-0000-000032030000}"/>
    <cellStyle name="Normal 2 5 2 2 2" xfId="830" xr:uid="{00000000-0005-0000-0000-000033030000}"/>
    <cellStyle name="Normal 2 5 2 2 20" xfId="831" xr:uid="{00000000-0005-0000-0000-000034030000}"/>
    <cellStyle name="Normal 2 5 2 2 21" xfId="832" xr:uid="{00000000-0005-0000-0000-000035030000}"/>
    <cellStyle name="Normal 2 5 2 2 22" xfId="833" xr:uid="{00000000-0005-0000-0000-000036030000}"/>
    <cellStyle name="Normal 2 5 2 2 23" xfId="834" xr:uid="{00000000-0005-0000-0000-000037030000}"/>
    <cellStyle name="Normal 2 5 2 2 24" xfId="835" xr:uid="{00000000-0005-0000-0000-000038030000}"/>
    <cellStyle name="Normal 2 5 2 2 25" xfId="836" xr:uid="{00000000-0005-0000-0000-000039030000}"/>
    <cellStyle name="Normal 2 5 2 2 26" xfId="837" xr:uid="{00000000-0005-0000-0000-00003A030000}"/>
    <cellStyle name="Normal 2 5 2 2 27" xfId="838" xr:uid="{00000000-0005-0000-0000-00003B030000}"/>
    <cellStyle name="Normal 2 5 2 2 28" xfId="839" xr:uid="{00000000-0005-0000-0000-00003C030000}"/>
    <cellStyle name="Normal 2 5 2 2 29" xfId="840" xr:uid="{00000000-0005-0000-0000-00003D030000}"/>
    <cellStyle name="Normal 2 5 2 2 3" xfId="841" xr:uid="{00000000-0005-0000-0000-00003E030000}"/>
    <cellStyle name="Normal 2 5 2 2 30" xfId="842" xr:uid="{00000000-0005-0000-0000-00003F030000}"/>
    <cellStyle name="Normal 2 5 2 2 31" xfId="843" xr:uid="{00000000-0005-0000-0000-000040030000}"/>
    <cellStyle name="Normal 2 5 2 2 32" xfId="844" xr:uid="{00000000-0005-0000-0000-000041030000}"/>
    <cellStyle name="Normal 2 5 2 2 33" xfId="845" xr:uid="{00000000-0005-0000-0000-000042030000}"/>
    <cellStyle name="Normal 2 5 2 2 34" xfId="846" xr:uid="{00000000-0005-0000-0000-000043030000}"/>
    <cellStyle name="Normal 2 5 2 2 35" xfId="847" xr:uid="{00000000-0005-0000-0000-000044030000}"/>
    <cellStyle name="Normal 2 5 2 2 36" xfId="848" xr:uid="{00000000-0005-0000-0000-000045030000}"/>
    <cellStyle name="Normal 2 5 2 2 37" xfId="849" xr:uid="{00000000-0005-0000-0000-000046030000}"/>
    <cellStyle name="Normal 2 5 2 2 38" xfId="850" xr:uid="{00000000-0005-0000-0000-000047030000}"/>
    <cellStyle name="Normal 2 5 2 2 39" xfId="851" xr:uid="{00000000-0005-0000-0000-000048030000}"/>
    <cellStyle name="Normal 2 5 2 2 4" xfId="852" xr:uid="{00000000-0005-0000-0000-000049030000}"/>
    <cellStyle name="Normal 2 5 2 2 40" xfId="853" xr:uid="{00000000-0005-0000-0000-00004A030000}"/>
    <cellStyle name="Normal 2 5 2 2 41" xfId="854" xr:uid="{00000000-0005-0000-0000-00004B030000}"/>
    <cellStyle name="Normal 2 5 2 2 42" xfId="855" xr:uid="{00000000-0005-0000-0000-00004C030000}"/>
    <cellStyle name="Normal 2 5 2 2 43" xfId="856" xr:uid="{00000000-0005-0000-0000-00004D030000}"/>
    <cellStyle name="Normal 2 5 2 2 44" xfId="857" xr:uid="{00000000-0005-0000-0000-00004E030000}"/>
    <cellStyle name="Normal 2 5 2 2 45" xfId="858" xr:uid="{00000000-0005-0000-0000-00004F030000}"/>
    <cellStyle name="Normal 2 5 2 2 46" xfId="859" xr:uid="{00000000-0005-0000-0000-000050030000}"/>
    <cellStyle name="Normal 2 5 2 2 47" xfId="860" xr:uid="{00000000-0005-0000-0000-000051030000}"/>
    <cellStyle name="Normal 2 5 2 2 48" xfId="861" xr:uid="{00000000-0005-0000-0000-000052030000}"/>
    <cellStyle name="Normal 2 5 2 2 49" xfId="862" xr:uid="{00000000-0005-0000-0000-000053030000}"/>
    <cellStyle name="Normal 2 5 2 2 5" xfId="863" xr:uid="{00000000-0005-0000-0000-000054030000}"/>
    <cellStyle name="Normal 2 5 2 2 50" xfId="864" xr:uid="{00000000-0005-0000-0000-000055030000}"/>
    <cellStyle name="Normal 2 5 2 2 51" xfId="865" xr:uid="{00000000-0005-0000-0000-000056030000}"/>
    <cellStyle name="Normal 2 5 2 2 52" xfId="866" xr:uid="{00000000-0005-0000-0000-000057030000}"/>
    <cellStyle name="Normal 2 5 2 2 53" xfId="867" xr:uid="{00000000-0005-0000-0000-000058030000}"/>
    <cellStyle name="Normal 2 5 2 2 54" xfId="868" xr:uid="{00000000-0005-0000-0000-000059030000}"/>
    <cellStyle name="Normal 2 5 2 2 55" xfId="869" xr:uid="{00000000-0005-0000-0000-00005A030000}"/>
    <cellStyle name="Normal 2 5 2 2 6" xfId="870" xr:uid="{00000000-0005-0000-0000-00005B030000}"/>
    <cellStyle name="Normal 2 5 2 2 7" xfId="871" xr:uid="{00000000-0005-0000-0000-00005C030000}"/>
    <cellStyle name="Normal 2 5 2 2 8" xfId="872" xr:uid="{00000000-0005-0000-0000-00005D030000}"/>
    <cellStyle name="Normal 2 5 2 2 9" xfId="873" xr:uid="{00000000-0005-0000-0000-00005E030000}"/>
    <cellStyle name="Normal 2 5 2 20" xfId="874" xr:uid="{00000000-0005-0000-0000-00005F030000}"/>
    <cellStyle name="Normal 2 5 2 21" xfId="875" xr:uid="{00000000-0005-0000-0000-000060030000}"/>
    <cellStyle name="Normal 2 5 2 22" xfId="876" xr:uid="{00000000-0005-0000-0000-000061030000}"/>
    <cellStyle name="Normal 2 5 2 23" xfId="877" xr:uid="{00000000-0005-0000-0000-000062030000}"/>
    <cellStyle name="Normal 2 5 2 24" xfId="878" xr:uid="{00000000-0005-0000-0000-000063030000}"/>
    <cellStyle name="Normal 2 5 2 25" xfId="879" xr:uid="{00000000-0005-0000-0000-000064030000}"/>
    <cellStyle name="Normal 2 5 2 26" xfId="880" xr:uid="{00000000-0005-0000-0000-000065030000}"/>
    <cellStyle name="Normal 2 5 2 27" xfId="881" xr:uid="{00000000-0005-0000-0000-000066030000}"/>
    <cellStyle name="Normal 2 5 2 28" xfId="882" xr:uid="{00000000-0005-0000-0000-000067030000}"/>
    <cellStyle name="Normal 2 5 2 29" xfId="883" xr:uid="{00000000-0005-0000-0000-000068030000}"/>
    <cellStyle name="Normal 2 5 2 3" xfId="884" xr:uid="{00000000-0005-0000-0000-000069030000}"/>
    <cellStyle name="Normal 2 5 2 30" xfId="885" xr:uid="{00000000-0005-0000-0000-00006A030000}"/>
    <cellStyle name="Normal 2 5 2 31" xfId="886" xr:uid="{00000000-0005-0000-0000-00006B030000}"/>
    <cellStyle name="Normal 2 5 2 32" xfId="887" xr:uid="{00000000-0005-0000-0000-00006C030000}"/>
    <cellStyle name="Normal 2 5 2 33" xfId="888" xr:uid="{00000000-0005-0000-0000-00006D030000}"/>
    <cellStyle name="Normal 2 5 2 4" xfId="889" xr:uid="{00000000-0005-0000-0000-00006E030000}"/>
    <cellStyle name="Normal 2 5 2 5" xfId="890" xr:uid="{00000000-0005-0000-0000-00006F030000}"/>
    <cellStyle name="Normal 2 5 2 6" xfId="891" xr:uid="{00000000-0005-0000-0000-000070030000}"/>
    <cellStyle name="Normal 2 5 2 7" xfId="892" xr:uid="{00000000-0005-0000-0000-000071030000}"/>
    <cellStyle name="Normal 2 5 2 8" xfId="893" xr:uid="{00000000-0005-0000-0000-000072030000}"/>
    <cellStyle name="Normal 2 5 2 9" xfId="894" xr:uid="{00000000-0005-0000-0000-000073030000}"/>
    <cellStyle name="Normal 2 5 20" xfId="895" xr:uid="{00000000-0005-0000-0000-000074030000}"/>
    <cellStyle name="Normal 2 5 21" xfId="896" xr:uid="{00000000-0005-0000-0000-000075030000}"/>
    <cellStyle name="Normal 2 5 22" xfId="897" xr:uid="{00000000-0005-0000-0000-000076030000}"/>
    <cellStyle name="Normal 2 5 23" xfId="898" xr:uid="{00000000-0005-0000-0000-000077030000}"/>
    <cellStyle name="Normal 2 5 24" xfId="899" xr:uid="{00000000-0005-0000-0000-000078030000}"/>
    <cellStyle name="Normal 2 5 25" xfId="900" xr:uid="{00000000-0005-0000-0000-000079030000}"/>
    <cellStyle name="Normal 2 5 26" xfId="901" xr:uid="{00000000-0005-0000-0000-00007A030000}"/>
    <cellStyle name="Normal 2 5 27" xfId="902" xr:uid="{00000000-0005-0000-0000-00007B030000}"/>
    <cellStyle name="Normal 2 5 28" xfId="903" xr:uid="{00000000-0005-0000-0000-00007C030000}"/>
    <cellStyle name="Normal 2 5 29" xfId="904" xr:uid="{00000000-0005-0000-0000-00007D030000}"/>
    <cellStyle name="Normal 2 5 3" xfId="905" xr:uid="{00000000-0005-0000-0000-00007E030000}"/>
    <cellStyle name="Normal 2 5 30" xfId="906" xr:uid="{00000000-0005-0000-0000-00007F030000}"/>
    <cellStyle name="Normal 2 5 31" xfId="907" xr:uid="{00000000-0005-0000-0000-000080030000}"/>
    <cellStyle name="Normal 2 5 32" xfId="908" xr:uid="{00000000-0005-0000-0000-000081030000}"/>
    <cellStyle name="Normal 2 5 33" xfId="909" xr:uid="{00000000-0005-0000-0000-000082030000}"/>
    <cellStyle name="Normal 2 5 34" xfId="910" xr:uid="{00000000-0005-0000-0000-000083030000}"/>
    <cellStyle name="Normal 2 5 35" xfId="911" xr:uid="{00000000-0005-0000-0000-000084030000}"/>
    <cellStyle name="Normal 2 5 36" xfId="912" xr:uid="{00000000-0005-0000-0000-000085030000}"/>
    <cellStyle name="Normal 2 5 37" xfId="913" xr:uid="{00000000-0005-0000-0000-000086030000}"/>
    <cellStyle name="Normal 2 5 38" xfId="914" xr:uid="{00000000-0005-0000-0000-000087030000}"/>
    <cellStyle name="Normal 2 5 39" xfId="915" xr:uid="{00000000-0005-0000-0000-000088030000}"/>
    <cellStyle name="Normal 2 5 4" xfId="916" xr:uid="{00000000-0005-0000-0000-000089030000}"/>
    <cellStyle name="Normal 2 5 40" xfId="917" xr:uid="{00000000-0005-0000-0000-00008A030000}"/>
    <cellStyle name="Normal 2 5 41" xfId="918" xr:uid="{00000000-0005-0000-0000-00008B030000}"/>
    <cellStyle name="Normal 2 5 42" xfId="919" xr:uid="{00000000-0005-0000-0000-00008C030000}"/>
    <cellStyle name="Normal 2 5 43" xfId="920" xr:uid="{00000000-0005-0000-0000-00008D030000}"/>
    <cellStyle name="Normal 2 5 44" xfId="921" xr:uid="{00000000-0005-0000-0000-00008E030000}"/>
    <cellStyle name="Normal 2 5 45" xfId="922" xr:uid="{00000000-0005-0000-0000-00008F030000}"/>
    <cellStyle name="Normal 2 5 46" xfId="923" xr:uid="{00000000-0005-0000-0000-000090030000}"/>
    <cellStyle name="Normal 2 5 47" xfId="924" xr:uid="{00000000-0005-0000-0000-000091030000}"/>
    <cellStyle name="Normal 2 5 48" xfId="925" xr:uid="{00000000-0005-0000-0000-000092030000}"/>
    <cellStyle name="Normal 2 5 49" xfId="926" xr:uid="{00000000-0005-0000-0000-000093030000}"/>
    <cellStyle name="Normal 2 5 5" xfId="927" xr:uid="{00000000-0005-0000-0000-000094030000}"/>
    <cellStyle name="Normal 2 5 50" xfId="928" xr:uid="{00000000-0005-0000-0000-000095030000}"/>
    <cellStyle name="Normal 2 5 51" xfId="929" xr:uid="{00000000-0005-0000-0000-000096030000}"/>
    <cellStyle name="Normal 2 5 52" xfId="930" xr:uid="{00000000-0005-0000-0000-000097030000}"/>
    <cellStyle name="Normal 2 5 53" xfId="931" xr:uid="{00000000-0005-0000-0000-000098030000}"/>
    <cellStyle name="Normal 2 5 54" xfId="932" xr:uid="{00000000-0005-0000-0000-000099030000}"/>
    <cellStyle name="Normal 2 5 55" xfId="933" xr:uid="{00000000-0005-0000-0000-00009A030000}"/>
    <cellStyle name="Normal 2 5 56" xfId="934" xr:uid="{00000000-0005-0000-0000-00009B030000}"/>
    <cellStyle name="Normal 2 5 57" xfId="935" xr:uid="{00000000-0005-0000-0000-00009C030000}"/>
    <cellStyle name="Normal 2 5 58" xfId="936" xr:uid="{00000000-0005-0000-0000-00009D030000}"/>
    <cellStyle name="Normal 2 5 59" xfId="937" xr:uid="{00000000-0005-0000-0000-00009E030000}"/>
    <cellStyle name="Normal 2 5 6" xfId="938" xr:uid="{00000000-0005-0000-0000-00009F030000}"/>
    <cellStyle name="Normal 2 5 60" xfId="939" xr:uid="{00000000-0005-0000-0000-0000A0030000}"/>
    <cellStyle name="Normal 2 5 61" xfId="940" xr:uid="{00000000-0005-0000-0000-0000A1030000}"/>
    <cellStyle name="Normal 2 5 62" xfId="941" xr:uid="{00000000-0005-0000-0000-0000A2030000}"/>
    <cellStyle name="Normal 2 5 63" xfId="942" xr:uid="{00000000-0005-0000-0000-0000A3030000}"/>
    <cellStyle name="Normal 2 5 64" xfId="943" xr:uid="{00000000-0005-0000-0000-0000A4030000}"/>
    <cellStyle name="Normal 2 5 65" xfId="944" xr:uid="{00000000-0005-0000-0000-0000A5030000}"/>
    <cellStyle name="Normal 2 5 66" xfId="945" xr:uid="{00000000-0005-0000-0000-0000A6030000}"/>
    <cellStyle name="Normal 2 5 67" xfId="946" xr:uid="{00000000-0005-0000-0000-0000A7030000}"/>
    <cellStyle name="Normal 2 5 68" xfId="947" xr:uid="{00000000-0005-0000-0000-0000A8030000}"/>
    <cellStyle name="Normal 2 5 69" xfId="948" xr:uid="{00000000-0005-0000-0000-0000A9030000}"/>
    <cellStyle name="Normal 2 5 7" xfId="949" xr:uid="{00000000-0005-0000-0000-0000AA030000}"/>
    <cellStyle name="Normal 2 5 70" xfId="950" xr:uid="{00000000-0005-0000-0000-0000AB030000}"/>
    <cellStyle name="Normal 2 5 71" xfId="951" xr:uid="{00000000-0005-0000-0000-0000AC030000}"/>
    <cellStyle name="Normal 2 5 72" xfId="952" xr:uid="{00000000-0005-0000-0000-0000AD030000}"/>
    <cellStyle name="Normal 2 5 73" xfId="953" xr:uid="{00000000-0005-0000-0000-0000AE030000}"/>
    <cellStyle name="Normal 2 5 74" xfId="954" xr:uid="{00000000-0005-0000-0000-0000AF030000}"/>
    <cellStyle name="Normal 2 5 75" xfId="955" xr:uid="{00000000-0005-0000-0000-0000B0030000}"/>
    <cellStyle name="Normal 2 5 76" xfId="956" xr:uid="{00000000-0005-0000-0000-0000B1030000}"/>
    <cellStyle name="Normal 2 5 77" xfId="957" xr:uid="{00000000-0005-0000-0000-0000B2030000}"/>
    <cellStyle name="Normal 2 5 78" xfId="958" xr:uid="{00000000-0005-0000-0000-0000B3030000}"/>
    <cellStyle name="Normal 2 5 79" xfId="959" xr:uid="{00000000-0005-0000-0000-0000B4030000}"/>
    <cellStyle name="Normal 2 5 8" xfId="960" xr:uid="{00000000-0005-0000-0000-0000B5030000}"/>
    <cellStyle name="Normal 2 5 80" xfId="961" xr:uid="{00000000-0005-0000-0000-0000B6030000}"/>
    <cellStyle name="Normal 2 5 81" xfId="962" xr:uid="{00000000-0005-0000-0000-0000B7030000}"/>
    <cellStyle name="Normal 2 5 82" xfId="963" xr:uid="{00000000-0005-0000-0000-0000B8030000}"/>
    <cellStyle name="Normal 2 5 83" xfId="964" xr:uid="{00000000-0005-0000-0000-0000B9030000}"/>
    <cellStyle name="Normal 2 5 84" xfId="965" xr:uid="{00000000-0005-0000-0000-0000BA030000}"/>
    <cellStyle name="Normal 2 5 85" xfId="966" xr:uid="{00000000-0005-0000-0000-0000BB030000}"/>
    <cellStyle name="Normal 2 5 86" xfId="967" xr:uid="{00000000-0005-0000-0000-0000BC030000}"/>
    <cellStyle name="Normal 2 5 87" xfId="968" xr:uid="{00000000-0005-0000-0000-0000BD030000}"/>
    <cellStyle name="Normal 2 5 9" xfId="969" xr:uid="{00000000-0005-0000-0000-0000BE030000}"/>
    <cellStyle name="Normal 2 5_DEER 032008 Cost Summary Delivery - Rev 4 (2)" xfId="970" xr:uid="{00000000-0005-0000-0000-0000BF030000}"/>
    <cellStyle name="Normal 2 50" xfId="971" xr:uid="{00000000-0005-0000-0000-0000C0030000}"/>
    <cellStyle name="Normal 2 51" xfId="972" xr:uid="{00000000-0005-0000-0000-0000C1030000}"/>
    <cellStyle name="Normal 2 52" xfId="973" xr:uid="{00000000-0005-0000-0000-0000C2030000}"/>
    <cellStyle name="Normal 2 53" xfId="974" xr:uid="{00000000-0005-0000-0000-0000C3030000}"/>
    <cellStyle name="Normal 2 54" xfId="975" xr:uid="{00000000-0005-0000-0000-0000C4030000}"/>
    <cellStyle name="Normal 2 55" xfId="976" xr:uid="{00000000-0005-0000-0000-0000C5030000}"/>
    <cellStyle name="Normal 2 56" xfId="977" xr:uid="{00000000-0005-0000-0000-0000C6030000}"/>
    <cellStyle name="Normal 2 57" xfId="978" xr:uid="{00000000-0005-0000-0000-0000C7030000}"/>
    <cellStyle name="Normal 2 58" xfId="979" xr:uid="{00000000-0005-0000-0000-0000C8030000}"/>
    <cellStyle name="Normal 2 59" xfId="980" xr:uid="{00000000-0005-0000-0000-0000C9030000}"/>
    <cellStyle name="Normal 2 6" xfId="981" xr:uid="{00000000-0005-0000-0000-0000CA030000}"/>
    <cellStyle name="Normal 2 60" xfId="982" xr:uid="{00000000-0005-0000-0000-0000CB030000}"/>
    <cellStyle name="Normal 2 61" xfId="983" xr:uid="{00000000-0005-0000-0000-0000CC030000}"/>
    <cellStyle name="Normal 2 62" xfId="984" xr:uid="{00000000-0005-0000-0000-0000CD030000}"/>
    <cellStyle name="Normal 2 63" xfId="985" xr:uid="{00000000-0005-0000-0000-0000CE030000}"/>
    <cellStyle name="Normal 2 64" xfId="986" xr:uid="{00000000-0005-0000-0000-0000CF030000}"/>
    <cellStyle name="Normal 2 65" xfId="987" xr:uid="{00000000-0005-0000-0000-0000D0030000}"/>
    <cellStyle name="Normal 2 66" xfId="988" xr:uid="{00000000-0005-0000-0000-0000D1030000}"/>
    <cellStyle name="Normal 2 67" xfId="989" xr:uid="{00000000-0005-0000-0000-0000D2030000}"/>
    <cellStyle name="Normal 2 68" xfId="990" xr:uid="{00000000-0005-0000-0000-0000D3030000}"/>
    <cellStyle name="Normal 2 69" xfId="991" xr:uid="{00000000-0005-0000-0000-0000D4030000}"/>
    <cellStyle name="Normal 2 7" xfId="992" xr:uid="{00000000-0005-0000-0000-0000D5030000}"/>
    <cellStyle name="Normal 2 70" xfId="993" xr:uid="{00000000-0005-0000-0000-0000D6030000}"/>
    <cellStyle name="Normal 2 71" xfId="994" xr:uid="{00000000-0005-0000-0000-0000D7030000}"/>
    <cellStyle name="Normal 2 72" xfId="995" xr:uid="{00000000-0005-0000-0000-0000D8030000}"/>
    <cellStyle name="Normal 2 73" xfId="996" xr:uid="{00000000-0005-0000-0000-0000D9030000}"/>
    <cellStyle name="Normal 2 74" xfId="997" xr:uid="{00000000-0005-0000-0000-0000DA030000}"/>
    <cellStyle name="Normal 2 75" xfId="998" xr:uid="{00000000-0005-0000-0000-0000DB030000}"/>
    <cellStyle name="Normal 2 76" xfId="999" xr:uid="{00000000-0005-0000-0000-0000DC030000}"/>
    <cellStyle name="Normal 2 77" xfId="1000" xr:uid="{00000000-0005-0000-0000-0000DD030000}"/>
    <cellStyle name="Normal 2 78" xfId="1001" xr:uid="{00000000-0005-0000-0000-0000DE030000}"/>
    <cellStyle name="Normal 2 79" xfId="1002" xr:uid="{00000000-0005-0000-0000-0000DF030000}"/>
    <cellStyle name="Normal 2 8" xfId="1003" xr:uid="{00000000-0005-0000-0000-0000E0030000}"/>
    <cellStyle name="Normal 2 8 10" xfId="1004" xr:uid="{00000000-0005-0000-0000-0000E1030000}"/>
    <cellStyle name="Normal 2 8 11" xfId="1005" xr:uid="{00000000-0005-0000-0000-0000E2030000}"/>
    <cellStyle name="Normal 2 8 12" xfId="1006" xr:uid="{00000000-0005-0000-0000-0000E3030000}"/>
    <cellStyle name="Normal 2 8 13" xfId="1007" xr:uid="{00000000-0005-0000-0000-0000E4030000}"/>
    <cellStyle name="Normal 2 8 14" xfId="1008" xr:uid="{00000000-0005-0000-0000-0000E5030000}"/>
    <cellStyle name="Normal 2 8 15" xfId="1009" xr:uid="{00000000-0005-0000-0000-0000E6030000}"/>
    <cellStyle name="Normal 2 8 16" xfId="1010" xr:uid="{00000000-0005-0000-0000-0000E7030000}"/>
    <cellStyle name="Normal 2 8 17" xfId="1011" xr:uid="{00000000-0005-0000-0000-0000E8030000}"/>
    <cellStyle name="Normal 2 8 18" xfId="1012" xr:uid="{00000000-0005-0000-0000-0000E9030000}"/>
    <cellStyle name="Normal 2 8 19" xfId="1013" xr:uid="{00000000-0005-0000-0000-0000EA030000}"/>
    <cellStyle name="Normal 2 8 2" xfId="1014" xr:uid="{00000000-0005-0000-0000-0000EB030000}"/>
    <cellStyle name="Normal 2 8 20" xfId="1015" xr:uid="{00000000-0005-0000-0000-0000EC030000}"/>
    <cellStyle name="Normal 2 8 21" xfId="1016" xr:uid="{00000000-0005-0000-0000-0000ED030000}"/>
    <cellStyle name="Normal 2 8 22" xfId="1017" xr:uid="{00000000-0005-0000-0000-0000EE030000}"/>
    <cellStyle name="Normal 2 8 23" xfId="1018" xr:uid="{00000000-0005-0000-0000-0000EF030000}"/>
    <cellStyle name="Normal 2 8 3" xfId="1019" xr:uid="{00000000-0005-0000-0000-0000F0030000}"/>
    <cellStyle name="Normal 2 8 4" xfId="1020" xr:uid="{00000000-0005-0000-0000-0000F1030000}"/>
    <cellStyle name="Normal 2 8 5" xfId="1021" xr:uid="{00000000-0005-0000-0000-0000F2030000}"/>
    <cellStyle name="Normal 2 8 6" xfId="1022" xr:uid="{00000000-0005-0000-0000-0000F3030000}"/>
    <cellStyle name="Normal 2 8 7" xfId="1023" xr:uid="{00000000-0005-0000-0000-0000F4030000}"/>
    <cellStyle name="Normal 2 8 8" xfId="1024" xr:uid="{00000000-0005-0000-0000-0000F5030000}"/>
    <cellStyle name="Normal 2 8 9" xfId="1025" xr:uid="{00000000-0005-0000-0000-0000F6030000}"/>
    <cellStyle name="Normal 2 80" xfId="1026" xr:uid="{00000000-0005-0000-0000-0000F7030000}"/>
    <cellStyle name="Normal 2 81" xfId="1027" xr:uid="{00000000-0005-0000-0000-0000F8030000}"/>
    <cellStyle name="Normal 2 82" xfId="1028" xr:uid="{00000000-0005-0000-0000-0000F9030000}"/>
    <cellStyle name="Normal 2 83" xfId="1029" xr:uid="{00000000-0005-0000-0000-0000FA030000}"/>
    <cellStyle name="Normal 2 84" xfId="1030" xr:uid="{00000000-0005-0000-0000-0000FB030000}"/>
    <cellStyle name="Normal 2 85" xfId="1031" xr:uid="{00000000-0005-0000-0000-0000FC030000}"/>
    <cellStyle name="Normal 2 86" xfId="1032" xr:uid="{00000000-0005-0000-0000-0000FD030000}"/>
    <cellStyle name="Normal 2 87" xfId="1033" xr:uid="{00000000-0005-0000-0000-0000FE030000}"/>
    <cellStyle name="Normal 2 88" xfId="1034" xr:uid="{00000000-0005-0000-0000-0000FF030000}"/>
    <cellStyle name="Normal 2 89" xfId="1035" xr:uid="{00000000-0005-0000-0000-000000040000}"/>
    <cellStyle name="Normal 2 9" xfId="1036" xr:uid="{00000000-0005-0000-0000-000001040000}"/>
    <cellStyle name="Normal 2 9 10" xfId="1037" xr:uid="{00000000-0005-0000-0000-000002040000}"/>
    <cellStyle name="Normal 2 9 11" xfId="1038" xr:uid="{00000000-0005-0000-0000-000003040000}"/>
    <cellStyle name="Normal 2 9 12" xfId="1039" xr:uid="{00000000-0005-0000-0000-000004040000}"/>
    <cellStyle name="Normal 2 9 13" xfId="1040" xr:uid="{00000000-0005-0000-0000-000005040000}"/>
    <cellStyle name="Normal 2 9 14" xfId="1041" xr:uid="{00000000-0005-0000-0000-000006040000}"/>
    <cellStyle name="Normal 2 9 15" xfId="1042" xr:uid="{00000000-0005-0000-0000-000007040000}"/>
    <cellStyle name="Normal 2 9 16" xfId="1043" xr:uid="{00000000-0005-0000-0000-000008040000}"/>
    <cellStyle name="Normal 2 9 17" xfId="1044" xr:uid="{00000000-0005-0000-0000-000009040000}"/>
    <cellStyle name="Normal 2 9 18" xfId="1045" xr:uid="{00000000-0005-0000-0000-00000A040000}"/>
    <cellStyle name="Normal 2 9 19" xfId="1046" xr:uid="{00000000-0005-0000-0000-00000B040000}"/>
    <cellStyle name="Normal 2 9 2" xfId="1047" xr:uid="{00000000-0005-0000-0000-00000C040000}"/>
    <cellStyle name="Normal 2 9 20" xfId="1048" xr:uid="{00000000-0005-0000-0000-00000D040000}"/>
    <cellStyle name="Normal 2 9 21" xfId="1049" xr:uid="{00000000-0005-0000-0000-00000E040000}"/>
    <cellStyle name="Normal 2 9 22" xfId="1050" xr:uid="{00000000-0005-0000-0000-00000F040000}"/>
    <cellStyle name="Normal 2 9 23" xfId="1051" xr:uid="{00000000-0005-0000-0000-000010040000}"/>
    <cellStyle name="Normal 2 9 3" xfId="1052" xr:uid="{00000000-0005-0000-0000-000011040000}"/>
    <cellStyle name="Normal 2 9 4" xfId="1053" xr:uid="{00000000-0005-0000-0000-000012040000}"/>
    <cellStyle name="Normal 2 9 5" xfId="1054" xr:uid="{00000000-0005-0000-0000-000013040000}"/>
    <cellStyle name="Normal 2 9 6" xfId="1055" xr:uid="{00000000-0005-0000-0000-000014040000}"/>
    <cellStyle name="Normal 2 9 7" xfId="1056" xr:uid="{00000000-0005-0000-0000-000015040000}"/>
    <cellStyle name="Normal 2 9 8" xfId="1057" xr:uid="{00000000-0005-0000-0000-000016040000}"/>
    <cellStyle name="Normal 2 9 9" xfId="1058" xr:uid="{00000000-0005-0000-0000-000017040000}"/>
    <cellStyle name="Normal 2 90" xfId="1059" xr:uid="{00000000-0005-0000-0000-000018040000}"/>
    <cellStyle name="Normal 2 91" xfId="1060" xr:uid="{00000000-0005-0000-0000-000019040000}"/>
    <cellStyle name="Normal 2 92" xfId="1061" xr:uid="{00000000-0005-0000-0000-00001A040000}"/>
    <cellStyle name="Normal 2 93" xfId="1062" xr:uid="{00000000-0005-0000-0000-00001B040000}"/>
    <cellStyle name="Normal 2 94" xfId="55" xr:uid="{00000000-0005-0000-0000-00001C040000}"/>
    <cellStyle name="Normal 2_DEER 032008 Cost Summary Delivery - Rev 4 (2)" xfId="1063" xr:uid="{00000000-0005-0000-0000-00001D040000}"/>
    <cellStyle name="Normal 3" xfId="51" xr:uid="{00000000-0005-0000-0000-00001E040000}"/>
    <cellStyle name="Normal 3 10" xfId="1065" xr:uid="{00000000-0005-0000-0000-00001F040000}"/>
    <cellStyle name="Normal 3 10 10" xfId="1066" xr:uid="{00000000-0005-0000-0000-000020040000}"/>
    <cellStyle name="Normal 3 10 11" xfId="1067" xr:uid="{00000000-0005-0000-0000-000021040000}"/>
    <cellStyle name="Normal 3 10 12" xfId="1068" xr:uid="{00000000-0005-0000-0000-000022040000}"/>
    <cellStyle name="Normal 3 10 13" xfId="1069" xr:uid="{00000000-0005-0000-0000-000023040000}"/>
    <cellStyle name="Normal 3 10 14" xfId="1070" xr:uid="{00000000-0005-0000-0000-000024040000}"/>
    <cellStyle name="Normal 3 10 15" xfId="1071" xr:uid="{00000000-0005-0000-0000-000025040000}"/>
    <cellStyle name="Normal 3 10 16" xfId="1072" xr:uid="{00000000-0005-0000-0000-000026040000}"/>
    <cellStyle name="Normal 3 10 17" xfId="1073" xr:uid="{00000000-0005-0000-0000-000027040000}"/>
    <cellStyle name="Normal 3 10 18" xfId="1074" xr:uid="{00000000-0005-0000-0000-000028040000}"/>
    <cellStyle name="Normal 3 10 19" xfId="1075" xr:uid="{00000000-0005-0000-0000-000029040000}"/>
    <cellStyle name="Normal 3 10 2" xfId="1076" xr:uid="{00000000-0005-0000-0000-00002A040000}"/>
    <cellStyle name="Normal 3 10 20" xfId="1077" xr:uid="{00000000-0005-0000-0000-00002B040000}"/>
    <cellStyle name="Normal 3 10 21" xfId="1078" xr:uid="{00000000-0005-0000-0000-00002C040000}"/>
    <cellStyle name="Normal 3 10 22" xfId="1079" xr:uid="{00000000-0005-0000-0000-00002D040000}"/>
    <cellStyle name="Normal 3 10 23" xfId="1080" xr:uid="{00000000-0005-0000-0000-00002E040000}"/>
    <cellStyle name="Normal 3 10 3" xfId="1081" xr:uid="{00000000-0005-0000-0000-00002F040000}"/>
    <cellStyle name="Normal 3 10 4" xfId="1082" xr:uid="{00000000-0005-0000-0000-000030040000}"/>
    <cellStyle name="Normal 3 10 5" xfId="1083" xr:uid="{00000000-0005-0000-0000-000031040000}"/>
    <cellStyle name="Normal 3 10 6" xfId="1084" xr:uid="{00000000-0005-0000-0000-000032040000}"/>
    <cellStyle name="Normal 3 10 7" xfId="1085" xr:uid="{00000000-0005-0000-0000-000033040000}"/>
    <cellStyle name="Normal 3 10 8" xfId="1086" xr:uid="{00000000-0005-0000-0000-000034040000}"/>
    <cellStyle name="Normal 3 10 9" xfId="1087" xr:uid="{00000000-0005-0000-0000-000035040000}"/>
    <cellStyle name="Normal 3 11" xfId="1088" xr:uid="{00000000-0005-0000-0000-000036040000}"/>
    <cellStyle name="Normal 3 11 10" xfId="1089" xr:uid="{00000000-0005-0000-0000-000037040000}"/>
    <cellStyle name="Normal 3 11 11" xfId="1090" xr:uid="{00000000-0005-0000-0000-000038040000}"/>
    <cellStyle name="Normal 3 11 12" xfId="1091" xr:uid="{00000000-0005-0000-0000-000039040000}"/>
    <cellStyle name="Normal 3 11 13" xfId="1092" xr:uid="{00000000-0005-0000-0000-00003A040000}"/>
    <cellStyle name="Normal 3 11 14" xfId="1093" xr:uid="{00000000-0005-0000-0000-00003B040000}"/>
    <cellStyle name="Normal 3 11 15" xfId="1094" xr:uid="{00000000-0005-0000-0000-00003C040000}"/>
    <cellStyle name="Normal 3 11 16" xfId="1095" xr:uid="{00000000-0005-0000-0000-00003D040000}"/>
    <cellStyle name="Normal 3 11 17" xfId="1096" xr:uid="{00000000-0005-0000-0000-00003E040000}"/>
    <cellStyle name="Normal 3 11 18" xfId="1097" xr:uid="{00000000-0005-0000-0000-00003F040000}"/>
    <cellStyle name="Normal 3 11 19" xfId="1098" xr:uid="{00000000-0005-0000-0000-000040040000}"/>
    <cellStyle name="Normal 3 11 2" xfId="1099" xr:uid="{00000000-0005-0000-0000-000041040000}"/>
    <cellStyle name="Normal 3 11 20" xfId="1100" xr:uid="{00000000-0005-0000-0000-000042040000}"/>
    <cellStyle name="Normal 3 11 21" xfId="1101" xr:uid="{00000000-0005-0000-0000-000043040000}"/>
    <cellStyle name="Normal 3 11 22" xfId="1102" xr:uid="{00000000-0005-0000-0000-000044040000}"/>
    <cellStyle name="Normal 3 11 23" xfId="1103" xr:uid="{00000000-0005-0000-0000-000045040000}"/>
    <cellStyle name="Normal 3 11 3" xfId="1104" xr:uid="{00000000-0005-0000-0000-000046040000}"/>
    <cellStyle name="Normal 3 11 4" xfId="1105" xr:uid="{00000000-0005-0000-0000-000047040000}"/>
    <cellStyle name="Normal 3 11 5" xfId="1106" xr:uid="{00000000-0005-0000-0000-000048040000}"/>
    <cellStyle name="Normal 3 11 6" xfId="1107" xr:uid="{00000000-0005-0000-0000-000049040000}"/>
    <cellStyle name="Normal 3 11 7" xfId="1108" xr:uid="{00000000-0005-0000-0000-00004A040000}"/>
    <cellStyle name="Normal 3 11 8" xfId="1109" xr:uid="{00000000-0005-0000-0000-00004B040000}"/>
    <cellStyle name="Normal 3 11 9" xfId="1110" xr:uid="{00000000-0005-0000-0000-00004C040000}"/>
    <cellStyle name="Normal 3 12" xfId="1111" xr:uid="{00000000-0005-0000-0000-00004D040000}"/>
    <cellStyle name="Normal 3 12 10" xfId="1112" xr:uid="{00000000-0005-0000-0000-00004E040000}"/>
    <cellStyle name="Normal 3 12 11" xfId="1113" xr:uid="{00000000-0005-0000-0000-00004F040000}"/>
    <cellStyle name="Normal 3 12 12" xfId="1114" xr:uid="{00000000-0005-0000-0000-000050040000}"/>
    <cellStyle name="Normal 3 12 13" xfId="1115" xr:uid="{00000000-0005-0000-0000-000051040000}"/>
    <cellStyle name="Normal 3 12 14" xfId="1116" xr:uid="{00000000-0005-0000-0000-000052040000}"/>
    <cellStyle name="Normal 3 12 15" xfId="1117" xr:uid="{00000000-0005-0000-0000-000053040000}"/>
    <cellStyle name="Normal 3 12 16" xfId="1118" xr:uid="{00000000-0005-0000-0000-000054040000}"/>
    <cellStyle name="Normal 3 12 17" xfId="1119" xr:uid="{00000000-0005-0000-0000-000055040000}"/>
    <cellStyle name="Normal 3 12 18" xfId="1120" xr:uid="{00000000-0005-0000-0000-000056040000}"/>
    <cellStyle name="Normal 3 12 19" xfId="1121" xr:uid="{00000000-0005-0000-0000-000057040000}"/>
    <cellStyle name="Normal 3 12 2" xfId="1122" xr:uid="{00000000-0005-0000-0000-000058040000}"/>
    <cellStyle name="Normal 3 12 20" xfId="1123" xr:uid="{00000000-0005-0000-0000-000059040000}"/>
    <cellStyle name="Normal 3 12 21" xfId="1124" xr:uid="{00000000-0005-0000-0000-00005A040000}"/>
    <cellStyle name="Normal 3 12 22" xfId="1125" xr:uid="{00000000-0005-0000-0000-00005B040000}"/>
    <cellStyle name="Normal 3 12 23" xfId="1126" xr:uid="{00000000-0005-0000-0000-00005C040000}"/>
    <cellStyle name="Normal 3 12 3" xfId="1127" xr:uid="{00000000-0005-0000-0000-00005D040000}"/>
    <cellStyle name="Normal 3 12 4" xfId="1128" xr:uid="{00000000-0005-0000-0000-00005E040000}"/>
    <cellStyle name="Normal 3 12 5" xfId="1129" xr:uid="{00000000-0005-0000-0000-00005F040000}"/>
    <cellStyle name="Normal 3 12 6" xfId="1130" xr:uid="{00000000-0005-0000-0000-000060040000}"/>
    <cellStyle name="Normal 3 12 7" xfId="1131" xr:uid="{00000000-0005-0000-0000-000061040000}"/>
    <cellStyle name="Normal 3 12 8" xfId="1132" xr:uid="{00000000-0005-0000-0000-000062040000}"/>
    <cellStyle name="Normal 3 12 9" xfId="1133" xr:uid="{00000000-0005-0000-0000-000063040000}"/>
    <cellStyle name="Normal 3 13" xfId="1134" xr:uid="{00000000-0005-0000-0000-000064040000}"/>
    <cellStyle name="Normal 3 13 10" xfId="1135" xr:uid="{00000000-0005-0000-0000-000065040000}"/>
    <cellStyle name="Normal 3 13 11" xfId="1136" xr:uid="{00000000-0005-0000-0000-000066040000}"/>
    <cellStyle name="Normal 3 13 12" xfId="1137" xr:uid="{00000000-0005-0000-0000-000067040000}"/>
    <cellStyle name="Normal 3 13 13" xfId="1138" xr:uid="{00000000-0005-0000-0000-000068040000}"/>
    <cellStyle name="Normal 3 13 14" xfId="1139" xr:uid="{00000000-0005-0000-0000-000069040000}"/>
    <cellStyle name="Normal 3 13 15" xfId="1140" xr:uid="{00000000-0005-0000-0000-00006A040000}"/>
    <cellStyle name="Normal 3 13 16" xfId="1141" xr:uid="{00000000-0005-0000-0000-00006B040000}"/>
    <cellStyle name="Normal 3 13 17" xfId="1142" xr:uid="{00000000-0005-0000-0000-00006C040000}"/>
    <cellStyle name="Normal 3 13 18" xfId="1143" xr:uid="{00000000-0005-0000-0000-00006D040000}"/>
    <cellStyle name="Normal 3 13 19" xfId="1144" xr:uid="{00000000-0005-0000-0000-00006E040000}"/>
    <cellStyle name="Normal 3 13 2" xfId="1145" xr:uid="{00000000-0005-0000-0000-00006F040000}"/>
    <cellStyle name="Normal 3 13 20" xfId="1146" xr:uid="{00000000-0005-0000-0000-000070040000}"/>
    <cellStyle name="Normal 3 13 21" xfId="1147" xr:uid="{00000000-0005-0000-0000-000071040000}"/>
    <cellStyle name="Normal 3 13 22" xfId="1148" xr:uid="{00000000-0005-0000-0000-000072040000}"/>
    <cellStyle name="Normal 3 13 23" xfId="1149" xr:uid="{00000000-0005-0000-0000-000073040000}"/>
    <cellStyle name="Normal 3 13 3" xfId="1150" xr:uid="{00000000-0005-0000-0000-000074040000}"/>
    <cellStyle name="Normal 3 13 4" xfId="1151" xr:uid="{00000000-0005-0000-0000-000075040000}"/>
    <cellStyle name="Normal 3 13 5" xfId="1152" xr:uid="{00000000-0005-0000-0000-000076040000}"/>
    <cellStyle name="Normal 3 13 6" xfId="1153" xr:uid="{00000000-0005-0000-0000-000077040000}"/>
    <cellStyle name="Normal 3 13 7" xfId="1154" xr:uid="{00000000-0005-0000-0000-000078040000}"/>
    <cellStyle name="Normal 3 13 8" xfId="1155" xr:uid="{00000000-0005-0000-0000-000079040000}"/>
    <cellStyle name="Normal 3 13 9" xfId="1156" xr:uid="{00000000-0005-0000-0000-00007A040000}"/>
    <cellStyle name="Normal 3 14" xfId="1157" xr:uid="{00000000-0005-0000-0000-00007B040000}"/>
    <cellStyle name="Normal 3 14 10" xfId="1158" xr:uid="{00000000-0005-0000-0000-00007C040000}"/>
    <cellStyle name="Normal 3 14 11" xfId="1159" xr:uid="{00000000-0005-0000-0000-00007D040000}"/>
    <cellStyle name="Normal 3 14 12" xfId="1160" xr:uid="{00000000-0005-0000-0000-00007E040000}"/>
    <cellStyle name="Normal 3 14 13" xfId="1161" xr:uid="{00000000-0005-0000-0000-00007F040000}"/>
    <cellStyle name="Normal 3 14 14" xfId="1162" xr:uid="{00000000-0005-0000-0000-000080040000}"/>
    <cellStyle name="Normal 3 14 15" xfId="1163" xr:uid="{00000000-0005-0000-0000-000081040000}"/>
    <cellStyle name="Normal 3 14 16" xfId="1164" xr:uid="{00000000-0005-0000-0000-000082040000}"/>
    <cellStyle name="Normal 3 14 17" xfId="1165" xr:uid="{00000000-0005-0000-0000-000083040000}"/>
    <cellStyle name="Normal 3 14 18" xfId="1166" xr:uid="{00000000-0005-0000-0000-000084040000}"/>
    <cellStyle name="Normal 3 14 19" xfId="1167" xr:uid="{00000000-0005-0000-0000-000085040000}"/>
    <cellStyle name="Normal 3 14 2" xfId="1168" xr:uid="{00000000-0005-0000-0000-000086040000}"/>
    <cellStyle name="Normal 3 14 20" xfId="1169" xr:uid="{00000000-0005-0000-0000-000087040000}"/>
    <cellStyle name="Normal 3 14 21" xfId="1170" xr:uid="{00000000-0005-0000-0000-000088040000}"/>
    <cellStyle name="Normal 3 14 22" xfId="1171" xr:uid="{00000000-0005-0000-0000-000089040000}"/>
    <cellStyle name="Normal 3 14 23" xfId="1172" xr:uid="{00000000-0005-0000-0000-00008A040000}"/>
    <cellStyle name="Normal 3 14 3" xfId="1173" xr:uid="{00000000-0005-0000-0000-00008B040000}"/>
    <cellStyle name="Normal 3 14 4" xfId="1174" xr:uid="{00000000-0005-0000-0000-00008C040000}"/>
    <cellStyle name="Normal 3 14 5" xfId="1175" xr:uid="{00000000-0005-0000-0000-00008D040000}"/>
    <cellStyle name="Normal 3 14 6" xfId="1176" xr:uid="{00000000-0005-0000-0000-00008E040000}"/>
    <cellStyle name="Normal 3 14 7" xfId="1177" xr:uid="{00000000-0005-0000-0000-00008F040000}"/>
    <cellStyle name="Normal 3 14 8" xfId="1178" xr:uid="{00000000-0005-0000-0000-000090040000}"/>
    <cellStyle name="Normal 3 14 9" xfId="1179" xr:uid="{00000000-0005-0000-0000-000091040000}"/>
    <cellStyle name="Normal 3 15" xfId="1180" xr:uid="{00000000-0005-0000-0000-000092040000}"/>
    <cellStyle name="Normal 3 15 10" xfId="1181" xr:uid="{00000000-0005-0000-0000-000093040000}"/>
    <cellStyle name="Normal 3 15 11" xfId="1182" xr:uid="{00000000-0005-0000-0000-000094040000}"/>
    <cellStyle name="Normal 3 15 12" xfId="1183" xr:uid="{00000000-0005-0000-0000-000095040000}"/>
    <cellStyle name="Normal 3 15 13" xfId="1184" xr:uid="{00000000-0005-0000-0000-000096040000}"/>
    <cellStyle name="Normal 3 15 14" xfId="1185" xr:uid="{00000000-0005-0000-0000-000097040000}"/>
    <cellStyle name="Normal 3 15 15" xfId="1186" xr:uid="{00000000-0005-0000-0000-000098040000}"/>
    <cellStyle name="Normal 3 15 16" xfId="1187" xr:uid="{00000000-0005-0000-0000-000099040000}"/>
    <cellStyle name="Normal 3 15 17" xfId="1188" xr:uid="{00000000-0005-0000-0000-00009A040000}"/>
    <cellStyle name="Normal 3 15 18" xfId="1189" xr:uid="{00000000-0005-0000-0000-00009B040000}"/>
    <cellStyle name="Normal 3 15 19" xfId="1190" xr:uid="{00000000-0005-0000-0000-00009C040000}"/>
    <cellStyle name="Normal 3 15 2" xfId="1191" xr:uid="{00000000-0005-0000-0000-00009D040000}"/>
    <cellStyle name="Normal 3 15 20" xfId="1192" xr:uid="{00000000-0005-0000-0000-00009E040000}"/>
    <cellStyle name="Normal 3 15 21" xfId="1193" xr:uid="{00000000-0005-0000-0000-00009F040000}"/>
    <cellStyle name="Normal 3 15 22" xfId="1194" xr:uid="{00000000-0005-0000-0000-0000A0040000}"/>
    <cellStyle name="Normal 3 15 23" xfId="1195" xr:uid="{00000000-0005-0000-0000-0000A1040000}"/>
    <cellStyle name="Normal 3 15 3" xfId="1196" xr:uid="{00000000-0005-0000-0000-0000A2040000}"/>
    <cellStyle name="Normal 3 15 4" xfId="1197" xr:uid="{00000000-0005-0000-0000-0000A3040000}"/>
    <cellStyle name="Normal 3 15 5" xfId="1198" xr:uid="{00000000-0005-0000-0000-0000A4040000}"/>
    <cellStyle name="Normal 3 15 6" xfId="1199" xr:uid="{00000000-0005-0000-0000-0000A5040000}"/>
    <cellStyle name="Normal 3 15 7" xfId="1200" xr:uid="{00000000-0005-0000-0000-0000A6040000}"/>
    <cellStyle name="Normal 3 15 8" xfId="1201" xr:uid="{00000000-0005-0000-0000-0000A7040000}"/>
    <cellStyle name="Normal 3 15 9" xfId="1202" xr:uid="{00000000-0005-0000-0000-0000A8040000}"/>
    <cellStyle name="Normal 3 16" xfId="1203" xr:uid="{00000000-0005-0000-0000-0000A9040000}"/>
    <cellStyle name="Normal 3 16 10" xfId="1204" xr:uid="{00000000-0005-0000-0000-0000AA040000}"/>
    <cellStyle name="Normal 3 16 11" xfId="1205" xr:uid="{00000000-0005-0000-0000-0000AB040000}"/>
    <cellStyle name="Normal 3 16 12" xfId="1206" xr:uid="{00000000-0005-0000-0000-0000AC040000}"/>
    <cellStyle name="Normal 3 16 13" xfId="1207" xr:uid="{00000000-0005-0000-0000-0000AD040000}"/>
    <cellStyle name="Normal 3 16 14" xfId="1208" xr:uid="{00000000-0005-0000-0000-0000AE040000}"/>
    <cellStyle name="Normal 3 16 15" xfId="1209" xr:uid="{00000000-0005-0000-0000-0000AF040000}"/>
    <cellStyle name="Normal 3 16 16" xfId="1210" xr:uid="{00000000-0005-0000-0000-0000B0040000}"/>
    <cellStyle name="Normal 3 16 17" xfId="1211" xr:uid="{00000000-0005-0000-0000-0000B1040000}"/>
    <cellStyle name="Normal 3 16 18" xfId="1212" xr:uid="{00000000-0005-0000-0000-0000B2040000}"/>
    <cellStyle name="Normal 3 16 19" xfId="1213" xr:uid="{00000000-0005-0000-0000-0000B3040000}"/>
    <cellStyle name="Normal 3 16 2" xfId="1214" xr:uid="{00000000-0005-0000-0000-0000B4040000}"/>
    <cellStyle name="Normal 3 16 20" xfId="1215" xr:uid="{00000000-0005-0000-0000-0000B5040000}"/>
    <cellStyle name="Normal 3 16 21" xfId="1216" xr:uid="{00000000-0005-0000-0000-0000B6040000}"/>
    <cellStyle name="Normal 3 16 22" xfId="1217" xr:uid="{00000000-0005-0000-0000-0000B7040000}"/>
    <cellStyle name="Normal 3 16 23" xfId="1218" xr:uid="{00000000-0005-0000-0000-0000B8040000}"/>
    <cellStyle name="Normal 3 16 3" xfId="1219" xr:uid="{00000000-0005-0000-0000-0000B9040000}"/>
    <cellStyle name="Normal 3 16 4" xfId="1220" xr:uid="{00000000-0005-0000-0000-0000BA040000}"/>
    <cellStyle name="Normal 3 16 5" xfId="1221" xr:uid="{00000000-0005-0000-0000-0000BB040000}"/>
    <cellStyle name="Normal 3 16 6" xfId="1222" xr:uid="{00000000-0005-0000-0000-0000BC040000}"/>
    <cellStyle name="Normal 3 16 7" xfId="1223" xr:uid="{00000000-0005-0000-0000-0000BD040000}"/>
    <cellStyle name="Normal 3 16 8" xfId="1224" xr:uid="{00000000-0005-0000-0000-0000BE040000}"/>
    <cellStyle name="Normal 3 16 9" xfId="1225" xr:uid="{00000000-0005-0000-0000-0000BF040000}"/>
    <cellStyle name="Normal 3 17" xfId="1226" xr:uid="{00000000-0005-0000-0000-0000C0040000}"/>
    <cellStyle name="Normal 3 17 10" xfId="1227" xr:uid="{00000000-0005-0000-0000-0000C1040000}"/>
    <cellStyle name="Normal 3 17 11" xfId="1228" xr:uid="{00000000-0005-0000-0000-0000C2040000}"/>
    <cellStyle name="Normal 3 17 12" xfId="1229" xr:uid="{00000000-0005-0000-0000-0000C3040000}"/>
    <cellStyle name="Normal 3 17 13" xfId="1230" xr:uid="{00000000-0005-0000-0000-0000C4040000}"/>
    <cellStyle name="Normal 3 17 14" xfId="1231" xr:uid="{00000000-0005-0000-0000-0000C5040000}"/>
    <cellStyle name="Normal 3 17 15" xfId="1232" xr:uid="{00000000-0005-0000-0000-0000C6040000}"/>
    <cellStyle name="Normal 3 17 16" xfId="1233" xr:uid="{00000000-0005-0000-0000-0000C7040000}"/>
    <cellStyle name="Normal 3 17 17" xfId="1234" xr:uid="{00000000-0005-0000-0000-0000C8040000}"/>
    <cellStyle name="Normal 3 17 18" xfId="1235" xr:uid="{00000000-0005-0000-0000-0000C9040000}"/>
    <cellStyle name="Normal 3 17 19" xfId="1236" xr:uid="{00000000-0005-0000-0000-0000CA040000}"/>
    <cellStyle name="Normal 3 17 2" xfId="1237" xr:uid="{00000000-0005-0000-0000-0000CB040000}"/>
    <cellStyle name="Normal 3 17 20" xfId="1238" xr:uid="{00000000-0005-0000-0000-0000CC040000}"/>
    <cellStyle name="Normal 3 17 21" xfId="1239" xr:uid="{00000000-0005-0000-0000-0000CD040000}"/>
    <cellStyle name="Normal 3 17 22" xfId="1240" xr:uid="{00000000-0005-0000-0000-0000CE040000}"/>
    <cellStyle name="Normal 3 17 23" xfId="1241" xr:uid="{00000000-0005-0000-0000-0000CF040000}"/>
    <cellStyle name="Normal 3 17 3" xfId="1242" xr:uid="{00000000-0005-0000-0000-0000D0040000}"/>
    <cellStyle name="Normal 3 17 4" xfId="1243" xr:uid="{00000000-0005-0000-0000-0000D1040000}"/>
    <cellStyle name="Normal 3 17 5" xfId="1244" xr:uid="{00000000-0005-0000-0000-0000D2040000}"/>
    <cellStyle name="Normal 3 17 6" xfId="1245" xr:uid="{00000000-0005-0000-0000-0000D3040000}"/>
    <cellStyle name="Normal 3 17 7" xfId="1246" xr:uid="{00000000-0005-0000-0000-0000D4040000}"/>
    <cellStyle name="Normal 3 17 8" xfId="1247" xr:uid="{00000000-0005-0000-0000-0000D5040000}"/>
    <cellStyle name="Normal 3 17 9" xfId="1248" xr:uid="{00000000-0005-0000-0000-0000D6040000}"/>
    <cellStyle name="Normal 3 18" xfId="1249" xr:uid="{00000000-0005-0000-0000-0000D7040000}"/>
    <cellStyle name="Normal 3 18 10" xfId="1250" xr:uid="{00000000-0005-0000-0000-0000D8040000}"/>
    <cellStyle name="Normal 3 18 11" xfId="1251" xr:uid="{00000000-0005-0000-0000-0000D9040000}"/>
    <cellStyle name="Normal 3 18 12" xfId="1252" xr:uid="{00000000-0005-0000-0000-0000DA040000}"/>
    <cellStyle name="Normal 3 18 13" xfId="1253" xr:uid="{00000000-0005-0000-0000-0000DB040000}"/>
    <cellStyle name="Normal 3 18 14" xfId="1254" xr:uid="{00000000-0005-0000-0000-0000DC040000}"/>
    <cellStyle name="Normal 3 18 15" xfId="1255" xr:uid="{00000000-0005-0000-0000-0000DD040000}"/>
    <cellStyle name="Normal 3 18 16" xfId="1256" xr:uid="{00000000-0005-0000-0000-0000DE040000}"/>
    <cellStyle name="Normal 3 18 17" xfId="1257" xr:uid="{00000000-0005-0000-0000-0000DF040000}"/>
    <cellStyle name="Normal 3 18 18" xfId="1258" xr:uid="{00000000-0005-0000-0000-0000E0040000}"/>
    <cellStyle name="Normal 3 18 19" xfId="1259" xr:uid="{00000000-0005-0000-0000-0000E1040000}"/>
    <cellStyle name="Normal 3 18 2" xfId="1260" xr:uid="{00000000-0005-0000-0000-0000E2040000}"/>
    <cellStyle name="Normal 3 18 20" xfId="1261" xr:uid="{00000000-0005-0000-0000-0000E3040000}"/>
    <cellStyle name="Normal 3 18 21" xfId="1262" xr:uid="{00000000-0005-0000-0000-0000E4040000}"/>
    <cellStyle name="Normal 3 18 22" xfId="1263" xr:uid="{00000000-0005-0000-0000-0000E5040000}"/>
    <cellStyle name="Normal 3 18 23" xfId="1264" xr:uid="{00000000-0005-0000-0000-0000E6040000}"/>
    <cellStyle name="Normal 3 18 3" xfId="1265" xr:uid="{00000000-0005-0000-0000-0000E7040000}"/>
    <cellStyle name="Normal 3 18 4" xfId="1266" xr:uid="{00000000-0005-0000-0000-0000E8040000}"/>
    <cellStyle name="Normal 3 18 5" xfId="1267" xr:uid="{00000000-0005-0000-0000-0000E9040000}"/>
    <cellStyle name="Normal 3 18 6" xfId="1268" xr:uid="{00000000-0005-0000-0000-0000EA040000}"/>
    <cellStyle name="Normal 3 18 7" xfId="1269" xr:uid="{00000000-0005-0000-0000-0000EB040000}"/>
    <cellStyle name="Normal 3 18 8" xfId="1270" xr:uid="{00000000-0005-0000-0000-0000EC040000}"/>
    <cellStyle name="Normal 3 18 9" xfId="1271" xr:uid="{00000000-0005-0000-0000-0000ED040000}"/>
    <cellStyle name="Normal 3 19" xfId="1272" xr:uid="{00000000-0005-0000-0000-0000EE040000}"/>
    <cellStyle name="Normal 3 19 10" xfId="1273" xr:uid="{00000000-0005-0000-0000-0000EF040000}"/>
    <cellStyle name="Normal 3 19 11" xfId="1274" xr:uid="{00000000-0005-0000-0000-0000F0040000}"/>
    <cellStyle name="Normal 3 19 12" xfId="1275" xr:uid="{00000000-0005-0000-0000-0000F1040000}"/>
    <cellStyle name="Normal 3 19 13" xfId="1276" xr:uid="{00000000-0005-0000-0000-0000F2040000}"/>
    <cellStyle name="Normal 3 19 14" xfId="1277" xr:uid="{00000000-0005-0000-0000-0000F3040000}"/>
    <cellStyle name="Normal 3 19 15" xfId="1278" xr:uid="{00000000-0005-0000-0000-0000F4040000}"/>
    <cellStyle name="Normal 3 19 16" xfId="1279" xr:uid="{00000000-0005-0000-0000-0000F5040000}"/>
    <cellStyle name="Normal 3 19 17" xfId="1280" xr:uid="{00000000-0005-0000-0000-0000F6040000}"/>
    <cellStyle name="Normal 3 19 18" xfId="1281" xr:uid="{00000000-0005-0000-0000-0000F7040000}"/>
    <cellStyle name="Normal 3 19 19" xfId="1282" xr:uid="{00000000-0005-0000-0000-0000F8040000}"/>
    <cellStyle name="Normal 3 19 2" xfId="1283" xr:uid="{00000000-0005-0000-0000-0000F9040000}"/>
    <cellStyle name="Normal 3 19 20" xfId="1284" xr:uid="{00000000-0005-0000-0000-0000FA040000}"/>
    <cellStyle name="Normal 3 19 21" xfId="1285" xr:uid="{00000000-0005-0000-0000-0000FB040000}"/>
    <cellStyle name="Normal 3 19 22" xfId="1286" xr:uid="{00000000-0005-0000-0000-0000FC040000}"/>
    <cellStyle name="Normal 3 19 23" xfId="1287" xr:uid="{00000000-0005-0000-0000-0000FD040000}"/>
    <cellStyle name="Normal 3 19 3" xfId="1288" xr:uid="{00000000-0005-0000-0000-0000FE040000}"/>
    <cellStyle name="Normal 3 19 4" xfId="1289" xr:uid="{00000000-0005-0000-0000-0000FF040000}"/>
    <cellStyle name="Normal 3 19 5" xfId="1290" xr:uid="{00000000-0005-0000-0000-000000050000}"/>
    <cellStyle name="Normal 3 19 6" xfId="1291" xr:uid="{00000000-0005-0000-0000-000001050000}"/>
    <cellStyle name="Normal 3 19 7" xfId="1292" xr:uid="{00000000-0005-0000-0000-000002050000}"/>
    <cellStyle name="Normal 3 19 8" xfId="1293" xr:uid="{00000000-0005-0000-0000-000003050000}"/>
    <cellStyle name="Normal 3 19 9" xfId="1294" xr:uid="{00000000-0005-0000-0000-000004050000}"/>
    <cellStyle name="Normal 3 2" xfId="1295" xr:uid="{00000000-0005-0000-0000-000005050000}"/>
    <cellStyle name="Normal 3 2 10" xfId="1296" xr:uid="{00000000-0005-0000-0000-000006050000}"/>
    <cellStyle name="Normal 3 2 11" xfId="1297" xr:uid="{00000000-0005-0000-0000-000007050000}"/>
    <cellStyle name="Normal 3 2 12" xfId="1298" xr:uid="{00000000-0005-0000-0000-000008050000}"/>
    <cellStyle name="Normal 3 2 13" xfId="1299" xr:uid="{00000000-0005-0000-0000-000009050000}"/>
    <cellStyle name="Normal 3 2 14" xfId="1300" xr:uid="{00000000-0005-0000-0000-00000A050000}"/>
    <cellStyle name="Normal 3 2 15" xfId="1301" xr:uid="{00000000-0005-0000-0000-00000B050000}"/>
    <cellStyle name="Normal 3 2 16" xfId="1302" xr:uid="{00000000-0005-0000-0000-00000C050000}"/>
    <cellStyle name="Normal 3 2 17" xfId="1303" xr:uid="{00000000-0005-0000-0000-00000D050000}"/>
    <cellStyle name="Normal 3 2 18" xfId="1304" xr:uid="{00000000-0005-0000-0000-00000E050000}"/>
    <cellStyle name="Normal 3 2 19" xfId="1305" xr:uid="{00000000-0005-0000-0000-00000F050000}"/>
    <cellStyle name="Normal 3 2 2" xfId="1306" xr:uid="{00000000-0005-0000-0000-000010050000}"/>
    <cellStyle name="Normal 3 2 2 10" xfId="1307" xr:uid="{00000000-0005-0000-0000-000011050000}"/>
    <cellStyle name="Normal 3 2 2 11" xfId="1308" xr:uid="{00000000-0005-0000-0000-000012050000}"/>
    <cellStyle name="Normal 3 2 2 12" xfId="1309" xr:uid="{00000000-0005-0000-0000-000013050000}"/>
    <cellStyle name="Normal 3 2 2 13" xfId="1310" xr:uid="{00000000-0005-0000-0000-000014050000}"/>
    <cellStyle name="Normal 3 2 2 14" xfId="1311" xr:uid="{00000000-0005-0000-0000-000015050000}"/>
    <cellStyle name="Normal 3 2 2 15" xfId="1312" xr:uid="{00000000-0005-0000-0000-000016050000}"/>
    <cellStyle name="Normal 3 2 2 16" xfId="1313" xr:uid="{00000000-0005-0000-0000-000017050000}"/>
    <cellStyle name="Normal 3 2 2 17" xfId="1314" xr:uid="{00000000-0005-0000-0000-000018050000}"/>
    <cellStyle name="Normal 3 2 2 18" xfId="1315" xr:uid="{00000000-0005-0000-0000-000019050000}"/>
    <cellStyle name="Normal 3 2 2 19" xfId="1316" xr:uid="{00000000-0005-0000-0000-00001A050000}"/>
    <cellStyle name="Normal 3 2 2 2" xfId="1317" xr:uid="{00000000-0005-0000-0000-00001B050000}"/>
    <cellStyle name="Normal 3 2 2 20" xfId="1318" xr:uid="{00000000-0005-0000-0000-00001C050000}"/>
    <cellStyle name="Normal 3 2 2 21" xfId="1319" xr:uid="{00000000-0005-0000-0000-00001D050000}"/>
    <cellStyle name="Normal 3 2 2 22" xfId="1320" xr:uid="{00000000-0005-0000-0000-00001E050000}"/>
    <cellStyle name="Normal 3 2 2 23" xfId="1321" xr:uid="{00000000-0005-0000-0000-00001F050000}"/>
    <cellStyle name="Normal 3 2 2 24" xfId="1322" xr:uid="{00000000-0005-0000-0000-000020050000}"/>
    <cellStyle name="Normal 3 2 2 25" xfId="1323" xr:uid="{00000000-0005-0000-0000-000021050000}"/>
    <cellStyle name="Normal 3 2 2 26" xfId="1324" xr:uid="{00000000-0005-0000-0000-000022050000}"/>
    <cellStyle name="Normal 3 2 2 27" xfId="1325" xr:uid="{00000000-0005-0000-0000-000023050000}"/>
    <cellStyle name="Normal 3 2 2 28" xfId="1326" xr:uid="{00000000-0005-0000-0000-000024050000}"/>
    <cellStyle name="Normal 3 2 2 29" xfId="1327" xr:uid="{00000000-0005-0000-0000-000025050000}"/>
    <cellStyle name="Normal 3 2 2 3" xfId="1328" xr:uid="{00000000-0005-0000-0000-000026050000}"/>
    <cellStyle name="Normal 3 2 2 30" xfId="1329" xr:uid="{00000000-0005-0000-0000-000027050000}"/>
    <cellStyle name="Normal 3 2 2 31" xfId="1330" xr:uid="{00000000-0005-0000-0000-000028050000}"/>
    <cellStyle name="Normal 3 2 2 32" xfId="1331" xr:uid="{00000000-0005-0000-0000-000029050000}"/>
    <cellStyle name="Normal 3 2 2 33" xfId="1332" xr:uid="{00000000-0005-0000-0000-00002A050000}"/>
    <cellStyle name="Normal 3 2 2 4" xfId="1333" xr:uid="{00000000-0005-0000-0000-00002B050000}"/>
    <cellStyle name="Normal 3 2 2 5" xfId="1334" xr:uid="{00000000-0005-0000-0000-00002C050000}"/>
    <cellStyle name="Normal 3 2 2 6" xfId="1335" xr:uid="{00000000-0005-0000-0000-00002D050000}"/>
    <cellStyle name="Normal 3 2 2 7" xfId="1336" xr:uid="{00000000-0005-0000-0000-00002E050000}"/>
    <cellStyle name="Normal 3 2 2 8" xfId="1337" xr:uid="{00000000-0005-0000-0000-00002F050000}"/>
    <cellStyle name="Normal 3 2 2 9" xfId="1338" xr:uid="{00000000-0005-0000-0000-000030050000}"/>
    <cellStyle name="Normal 3 2 20" xfId="1339" xr:uid="{00000000-0005-0000-0000-000031050000}"/>
    <cellStyle name="Normal 3 2 21" xfId="1340" xr:uid="{00000000-0005-0000-0000-000032050000}"/>
    <cellStyle name="Normal 3 2 22" xfId="1341" xr:uid="{00000000-0005-0000-0000-000033050000}"/>
    <cellStyle name="Normal 3 2 23" xfId="1342" xr:uid="{00000000-0005-0000-0000-000034050000}"/>
    <cellStyle name="Normal 3 2 24" xfId="1343" xr:uid="{00000000-0005-0000-0000-000035050000}"/>
    <cellStyle name="Normal 3 2 25" xfId="1344" xr:uid="{00000000-0005-0000-0000-000036050000}"/>
    <cellStyle name="Normal 3 2 26" xfId="1345" xr:uid="{00000000-0005-0000-0000-000037050000}"/>
    <cellStyle name="Normal 3 2 27" xfId="1346" xr:uid="{00000000-0005-0000-0000-000038050000}"/>
    <cellStyle name="Normal 3 2 28" xfId="1347" xr:uid="{00000000-0005-0000-0000-000039050000}"/>
    <cellStyle name="Normal 3 2 29" xfId="1348" xr:uid="{00000000-0005-0000-0000-00003A050000}"/>
    <cellStyle name="Normal 3 2 3" xfId="1349" xr:uid="{00000000-0005-0000-0000-00003B050000}"/>
    <cellStyle name="Normal 3 2 30" xfId="1350" xr:uid="{00000000-0005-0000-0000-00003C050000}"/>
    <cellStyle name="Normal 3 2 31" xfId="1351" xr:uid="{00000000-0005-0000-0000-00003D050000}"/>
    <cellStyle name="Normal 3 2 32" xfId="1352" xr:uid="{00000000-0005-0000-0000-00003E050000}"/>
    <cellStyle name="Normal 3 2 33" xfId="1353" xr:uid="{00000000-0005-0000-0000-00003F050000}"/>
    <cellStyle name="Normal 3 2 34" xfId="1354" xr:uid="{00000000-0005-0000-0000-000040050000}"/>
    <cellStyle name="Normal 3 2 35" xfId="1355" xr:uid="{00000000-0005-0000-0000-000041050000}"/>
    <cellStyle name="Normal 3 2 36" xfId="1356" xr:uid="{00000000-0005-0000-0000-000042050000}"/>
    <cellStyle name="Normal 3 2 37" xfId="1357" xr:uid="{00000000-0005-0000-0000-000043050000}"/>
    <cellStyle name="Normal 3 2 38" xfId="1358" xr:uid="{00000000-0005-0000-0000-000044050000}"/>
    <cellStyle name="Normal 3 2 39" xfId="1359" xr:uid="{00000000-0005-0000-0000-000045050000}"/>
    <cellStyle name="Normal 3 2 4" xfId="1360" xr:uid="{00000000-0005-0000-0000-000046050000}"/>
    <cellStyle name="Normal 3 2 40" xfId="1361" xr:uid="{00000000-0005-0000-0000-000047050000}"/>
    <cellStyle name="Normal 3 2 41" xfId="1362" xr:uid="{00000000-0005-0000-0000-000048050000}"/>
    <cellStyle name="Normal 3 2 42" xfId="1363" xr:uid="{00000000-0005-0000-0000-000049050000}"/>
    <cellStyle name="Normal 3 2 43" xfId="1364" xr:uid="{00000000-0005-0000-0000-00004A050000}"/>
    <cellStyle name="Normal 3 2 44" xfId="1365" xr:uid="{00000000-0005-0000-0000-00004B050000}"/>
    <cellStyle name="Normal 3 2 45" xfId="1366" xr:uid="{00000000-0005-0000-0000-00004C050000}"/>
    <cellStyle name="Normal 3 2 46" xfId="1367" xr:uid="{00000000-0005-0000-0000-00004D050000}"/>
    <cellStyle name="Normal 3 2 47" xfId="1368" xr:uid="{00000000-0005-0000-0000-00004E050000}"/>
    <cellStyle name="Normal 3 2 48" xfId="1369" xr:uid="{00000000-0005-0000-0000-00004F050000}"/>
    <cellStyle name="Normal 3 2 49" xfId="1370" xr:uid="{00000000-0005-0000-0000-000050050000}"/>
    <cellStyle name="Normal 3 2 5" xfId="1371" xr:uid="{00000000-0005-0000-0000-000051050000}"/>
    <cellStyle name="Normal 3 2 50" xfId="1372" xr:uid="{00000000-0005-0000-0000-000052050000}"/>
    <cellStyle name="Normal 3 2 51" xfId="1373" xr:uid="{00000000-0005-0000-0000-000053050000}"/>
    <cellStyle name="Normal 3 2 52" xfId="1374" xr:uid="{00000000-0005-0000-0000-000054050000}"/>
    <cellStyle name="Normal 3 2 53" xfId="1375" xr:uid="{00000000-0005-0000-0000-000055050000}"/>
    <cellStyle name="Normal 3 2 54" xfId="1376" xr:uid="{00000000-0005-0000-0000-000056050000}"/>
    <cellStyle name="Normal 3 2 55" xfId="1377" xr:uid="{00000000-0005-0000-0000-000057050000}"/>
    <cellStyle name="Normal 3 2 6" xfId="1378" xr:uid="{00000000-0005-0000-0000-000058050000}"/>
    <cellStyle name="Normal 3 2 7" xfId="1379" xr:uid="{00000000-0005-0000-0000-000059050000}"/>
    <cellStyle name="Normal 3 2 8" xfId="1380" xr:uid="{00000000-0005-0000-0000-00005A050000}"/>
    <cellStyle name="Normal 3 2 9" xfId="1381" xr:uid="{00000000-0005-0000-0000-00005B050000}"/>
    <cellStyle name="Normal 3 20" xfId="1382" xr:uid="{00000000-0005-0000-0000-00005C050000}"/>
    <cellStyle name="Normal 3 20 10" xfId="1383" xr:uid="{00000000-0005-0000-0000-00005D050000}"/>
    <cellStyle name="Normal 3 20 11" xfId="1384" xr:uid="{00000000-0005-0000-0000-00005E050000}"/>
    <cellStyle name="Normal 3 20 12" xfId="1385" xr:uid="{00000000-0005-0000-0000-00005F050000}"/>
    <cellStyle name="Normal 3 20 13" xfId="1386" xr:uid="{00000000-0005-0000-0000-000060050000}"/>
    <cellStyle name="Normal 3 20 14" xfId="1387" xr:uid="{00000000-0005-0000-0000-000061050000}"/>
    <cellStyle name="Normal 3 20 15" xfId="1388" xr:uid="{00000000-0005-0000-0000-000062050000}"/>
    <cellStyle name="Normal 3 20 16" xfId="1389" xr:uid="{00000000-0005-0000-0000-000063050000}"/>
    <cellStyle name="Normal 3 20 17" xfId="1390" xr:uid="{00000000-0005-0000-0000-000064050000}"/>
    <cellStyle name="Normal 3 20 18" xfId="1391" xr:uid="{00000000-0005-0000-0000-000065050000}"/>
    <cellStyle name="Normal 3 20 19" xfId="1392" xr:uid="{00000000-0005-0000-0000-000066050000}"/>
    <cellStyle name="Normal 3 20 2" xfId="1393" xr:uid="{00000000-0005-0000-0000-000067050000}"/>
    <cellStyle name="Normal 3 20 20" xfId="1394" xr:uid="{00000000-0005-0000-0000-000068050000}"/>
    <cellStyle name="Normal 3 20 21" xfId="1395" xr:uid="{00000000-0005-0000-0000-000069050000}"/>
    <cellStyle name="Normal 3 20 22" xfId="1396" xr:uid="{00000000-0005-0000-0000-00006A050000}"/>
    <cellStyle name="Normal 3 20 23" xfId="1397" xr:uid="{00000000-0005-0000-0000-00006B050000}"/>
    <cellStyle name="Normal 3 20 3" xfId="1398" xr:uid="{00000000-0005-0000-0000-00006C050000}"/>
    <cellStyle name="Normal 3 20 4" xfId="1399" xr:uid="{00000000-0005-0000-0000-00006D050000}"/>
    <cellStyle name="Normal 3 20 5" xfId="1400" xr:uid="{00000000-0005-0000-0000-00006E050000}"/>
    <cellStyle name="Normal 3 20 6" xfId="1401" xr:uid="{00000000-0005-0000-0000-00006F050000}"/>
    <cellStyle name="Normal 3 20 7" xfId="1402" xr:uid="{00000000-0005-0000-0000-000070050000}"/>
    <cellStyle name="Normal 3 20 8" xfId="1403" xr:uid="{00000000-0005-0000-0000-000071050000}"/>
    <cellStyle name="Normal 3 20 9" xfId="1404" xr:uid="{00000000-0005-0000-0000-000072050000}"/>
    <cellStyle name="Normal 3 21" xfId="1405" xr:uid="{00000000-0005-0000-0000-000073050000}"/>
    <cellStyle name="Normal 3 21 10" xfId="1406" xr:uid="{00000000-0005-0000-0000-000074050000}"/>
    <cellStyle name="Normal 3 21 11" xfId="1407" xr:uid="{00000000-0005-0000-0000-000075050000}"/>
    <cellStyle name="Normal 3 21 12" xfId="1408" xr:uid="{00000000-0005-0000-0000-000076050000}"/>
    <cellStyle name="Normal 3 21 13" xfId="1409" xr:uid="{00000000-0005-0000-0000-000077050000}"/>
    <cellStyle name="Normal 3 21 14" xfId="1410" xr:uid="{00000000-0005-0000-0000-000078050000}"/>
    <cellStyle name="Normal 3 21 15" xfId="1411" xr:uid="{00000000-0005-0000-0000-000079050000}"/>
    <cellStyle name="Normal 3 21 16" xfId="1412" xr:uid="{00000000-0005-0000-0000-00007A050000}"/>
    <cellStyle name="Normal 3 21 17" xfId="1413" xr:uid="{00000000-0005-0000-0000-00007B050000}"/>
    <cellStyle name="Normal 3 21 18" xfId="1414" xr:uid="{00000000-0005-0000-0000-00007C050000}"/>
    <cellStyle name="Normal 3 21 19" xfId="1415" xr:uid="{00000000-0005-0000-0000-00007D050000}"/>
    <cellStyle name="Normal 3 21 2" xfId="1416" xr:uid="{00000000-0005-0000-0000-00007E050000}"/>
    <cellStyle name="Normal 3 21 20" xfId="1417" xr:uid="{00000000-0005-0000-0000-00007F050000}"/>
    <cellStyle name="Normal 3 21 21" xfId="1418" xr:uid="{00000000-0005-0000-0000-000080050000}"/>
    <cellStyle name="Normal 3 21 22" xfId="1419" xr:uid="{00000000-0005-0000-0000-000081050000}"/>
    <cellStyle name="Normal 3 21 23" xfId="1420" xr:uid="{00000000-0005-0000-0000-000082050000}"/>
    <cellStyle name="Normal 3 21 3" xfId="1421" xr:uid="{00000000-0005-0000-0000-000083050000}"/>
    <cellStyle name="Normal 3 21 4" xfId="1422" xr:uid="{00000000-0005-0000-0000-000084050000}"/>
    <cellStyle name="Normal 3 21 5" xfId="1423" xr:uid="{00000000-0005-0000-0000-000085050000}"/>
    <cellStyle name="Normal 3 21 6" xfId="1424" xr:uid="{00000000-0005-0000-0000-000086050000}"/>
    <cellStyle name="Normal 3 21 7" xfId="1425" xr:uid="{00000000-0005-0000-0000-000087050000}"/>
    <cellStyle name="Normal 3 21 8" xfId="1426" xr:uid="{00000000-0005-0000-0000-000088050000}"/>
    <cellStyle name="Normal 3 21 9" xfId="1427" xr:uid="{00000000-0005-0000-0000-000089050000}"/>
    <cellStyle name="Normal 3 22" xfId="1428" xr:uid="{00000000-0005-0000-0000-00008A050000}"/>
    <cellStyle name="Normal 3 22 10" xfId="1429" xr:uid="{00000000-0005-0000-0000-00008B050000}"/>
    <cellStyle name="Normal 3 22 11" xfId="1430" xr:uid="{00000000-0005-0000-0000-00008C050000}"/>
    <cellStyle name="Normal 3 22 12" xfId="1431" xr:uid="{00000000-0005-0000-0000-00008D050000}"/>
    <cellStyle name="Normal 3 22 13" xfId="1432" xr:uid="{00000000-0005-0000-0000-00008E050000}"/>
    <cellStyle name="Normal 3 22 14" xfId="1433" xr:uid="{00000000-0005-0000-0000-00008F050000}"/>
    <cellStyle name="Normal 3 22 15" xfId="1434" xr:uid="{00000000-0005-0000-0000-000090050000}"/>
    <cellStyle name="Normal 3 22 16" xfId="1435" xr:uid="{00000000-0005-0000-0000-000091050000}"/>
    <cellStyle name="Normal 3 22 17" xfId="1436" xr:uid="{00000000-0005-0000-0000-000092050000}"/>
    <cellStyle name="Normal 3 22 18" xfId="1437" xr:uid="{00000000-0005-0000-0000-000093050000}"/>
    <cellStyle name="Normal 3 22 19" xfId="1438" xr:uid="{00000000-0005-0000-0000-000094050000}"/>
    <cellStyle name="Normal 3 22 2" xfId="1439" xr:uid="{00000000-0005-0000-0000-000095050000}"/>
    <cellStyle name="Normal 3 22 20" xfId="1440" xr:uid="{00000000-0005-0000-0000-000096050000}"/>
    <cellStyle name="Normal 3 22 21" xfId="1441" xr:uid="{00000000-0005-0000-0000-000097050000}"/>
    <cellStyle name="Normal 3 22 22" xfId="1442" xr:uid="{00000000-0005-0000-0000-000098050000}"/>
    <cellStyle name="Normal 3 22 23" xfId="1443" xr:uid="{00000000-0005-0000-0000-000099050000}"/>
    <cellStyle name="Normal 3 22 3" xfId="1444" xr:uid="{00000000-0005-0000-0000-00009A050000}"/>
    <cellStyle name="Normal 3 22 4" xfId="1445" xr:uid="{00000000-0005-0000-0000-00009B050000}"/>
    <cellStyle name="Normal 3 22 5" xfId="1446" xr:uid="{00000000-0005-0000-0000-00009C050000}"/>
    <cellStyle name="Normal 3 22 6" xfId="1447" xr:uid="{00000000-0005-0000-0000-00009D050000}"/>
    <cellStyle name="Normal 3 22 7" xfId="1448" xr:uid="{00000000-0005-0000-0000-00009E050000}"/>
    <cellStyle name="Normal 3 22 8" xfId="1449" xr:uid="{00000000-0005-0000-0000-00009F050000}"/>
    <cellStyle name="Normal 3 22 9" xfId="1450" xr:uid="{00000000-0005-0000-0000-0000A0050000}"/>
    <cellStyle name="Normal 3 23" xfId="1451" xr:uid="{00000000-0005-0000-0000-0000A1050000}"/>
    <cellStyle name="Normal 3 23 10" xfId="1452" xr:uid="{00000000-0005-0000-0000-0000A2050000}"/>
    <cellStyle name="Normal 3 23 11" xfId="1453" xr:uid="{00000000-0005-0000-0000-0000A3050000}"/>
    <cellStyle name="Normal 3 23 12" xfId="1454" xr:uid="{00000000-0005-0000-0000-0000A4050000}"/>
    <cellStyle name="Normal 3 23 13" xfId="1455" xr:uid="{00000000-0005-0000-0000-0000A5050000}"/>
    <cellStyle name="Normal 3 23 14" xfId="1456" xr:uid="{00000000-0005-0000-0000-0000A6050000}"/>
    <cellStyle name="Normal 3 23 15" xfId="1457" xr:uid="{00000000-0005-0000-0000-0000A7050000}"/>
    <cellStyle name="Normal 3 23 16" xfId="1458" xr:uid="{00000000-0005-0000-0000-0000A8050000}"/>
    <cellStyle name="Normal 3 23 17" xfId="1459" xr:uid="{00000000-0005-0000-0000-0000A9050000}"/>
    <cellStyle name="Normal 3 23 18" xfId="1460" xr:uid="{00000000-0005-0000-0000-0000AA050000}"/>
    <cellStyle name="Normal 3 23 19" xfId="1461" xr:uid="{00000000-0005-0000-0000-0000AB050000}"/>
    <cellStyle name="Normal 3 23 2" xfId="1462" xr:uid="{00000000-0005-0000-0000-0000AC050000}"/>
    <cellStyle name="Normal 3 23 20" xfId="1463" xr:uid="{00000000-0005-0000-0000-0000AD050000}"/>
    <cellStyle name="Normal 3 23 21" xfId="1464" xr:uid="{00000000-0005-0000-0000-0000AE050000}"/>
    <cellStyle name="Normal 3 23 22" xfId="1465" xr:uid="{00000000-0005-0000-0000-0000AF050000}"/>
    <cellStyle name="Normal 3 23 23" xfId="1466" xr:uid="{00000000-0005-0000-0000-0000B0050000}"/>
    <cellStyle name="Normal 3 23 3" xfId="1467" xr:uid="{00000000-0005-0000-0000-0000B1050000}"/>
    <cellStyle name="Normal 3 23 4" xfId="1468" xr:uid="{00000000-0005-0000-0000-0000B2050000}"/>
    <cellStyle name="Normal 3 23 5" xfId="1469" xr:uid="{00000000-0005-0000-0000-0000B3050000}"/>
    <cellStyle name="Normal 3 23 6" xfId="1470" xr:uid="{00000000-0005-0000-0000-0000B4050000}"/>
    <cellStyle name="Normal 3 23 7" xfId="1471" xr:uid="{00000000-0005-0000-0000-0000B5050000}"/>
    <cellStyle name="Normal 3 23 8" xfId="1472" xr:uid="{00000000-0005-0000-0000-0000B6050000}"/>
    <cellStyle name="Normal 3 23 9" xfId="1473" xr:uid="{00000000-0005-0000-0000-0000B7050000}"/>
    <cellStyle name="Normal 3 24" xfId="1474" xr:uid="{00000000-0005-0000-0000-0000B8050000}"/>
    <cellStyle name="Normal 3 24 10" xfId="1475" xr:uid="{00000000-0005-0000-0000-0000B9050000}"/>
    <cellStyle name="Normal 3 24 11" xfId="1476" xr:uid="{00000000-0005-0000-0000-0000BA050000}"/>
    <cellStyle name="Normal 3 24 12" xfId="1477" xr:uid="{00000000-0005-0000-0000-0000BB050000}"/>
    <cellStyle name="Normal 3 24 13" xfId="1478" xr:uid="{00000000-0005-0000-0000-0000BC050000}"/>
    <cellStyle name="Normal 3 24 14" xfId="1479" xr:uid="{00000000-0005-0000-0000-0000BD050000}"/>
    <cellStyle name="Normal 3 24 15" xfId="1480" xr:uid="{00000000-0005-0000-0000-0000BE050000}"/>
    <cellStyle name="Normal 3 24 16" xfId="1481" xr:uid="{00000000-0005-0000-0000-0000BF050000}"/>
    <cellStyle name="Normal 3 24 17" xfId="1482" xr:uid="{00000000-0005-0000-0000-0000C0050000}"/>
    <cellStyle name="Normal 3 24 18" xfId="1483" xr:uid="{00000000-0005-0000-0000-0000C1050000}"/>
    <cellStyle name="Normal 3 24 19" xfId="1484" xr:uid="{00000000-0005-0000-0000-0000C2050000}"/>
    <cellStyle name="Normal 3 24 2" xfId="1485" xr:uid="{00000000-0005-0000-0000-0000C3050000}"/>
    <cellStyle name="Normal 3 24 20" xfId="1486" xr:uid="{00000000-0005-0000-0000-0000C4050000}"/>
    <cellStyle name="Normal 3 24 21" xfId="1487" xr:uid="{00000000-0005-0000-0000-0000C5050000}"/>
    <cellStyle name="Normal 3 24 22" xfId="1488" xr:uid="{00000000-0005-0000-0000-0000C6050000}"/>
    <cellStyle name="Normal 3 24 23" xfId="1489" xr:uid="{00000000-0005-0000-0000-0000C7050000}"/>
    <cellStyle name="Normal 3 24 3" xfId="1490" xr:uid="{00000000-0005-0000-0000-0000C8050000}"/>
    <cellStyle name="Normal 3 24 4" xfId="1491" xr:uid="{00000000-0005-0000-0000-0000C9050000}"/>
    <cellStyle name="Normal 3 24 5" xfId="1492" xr:uid="{00000000-0005-0000-0000-0000CA050000}"/>
    <cellStyle name="Normal 3 24 6" xfId="1493" xr:uid="{00000000-0005-0000-0000-0000CB050000}"/>
    <cellStyle name="Normal 3 24 7" xfId="1494" xr:uid="{00000000-0005-0000-0000-0000CC050000}"/>
    <cellStyle name="Normal 3 24 8" xfId="1495" xr:uid="{00000000-0005-0000-0000-0000CD050000}"/>
    <cellStyle name="Normal 3 24 9" xfId="1496" xr:uid="{00000000-0005-0000-0000-0000CE050000}"/>
    <cellStyle name="Normal 3 25" xfId="1497" xr:uid="{00000000-0005-0000-0000-0000CF050000}"/>
    <cellStyle name="Normal 3 25 10" xfId="1498" xr:uid="{00000000-0005-0000-0000-0000D0050000}"/>
    <cellStyle name="Normal 3 25 11" xfId="1499" xr:uid="{00000000-0005-0000-0000-0000D1050000}"/>
    <cellStyle name="Normal 3 25 12" xfId="1500" xr:uid="{00000000-0005-0000-0000-0000D2050000}"/>
    <cellStyle name="Normal 3 25 13" xfId="1501" xr:uid="{00000000-0005-0000-0000-0000D3050000}"/>
    <cellStyle name="Normal 3 25 14" xfId="1502" xr:uid="{00000000-0005-0000-0000-0000D4050000}"/>
    <cellStyle name="Normal 3 25 15" xfId="1503" xr:uid="{00000000-0005-0000-0000-0000D5050000}"/>
    <cellStyle name="Normal 3 25 16" xfId="1504" xr:uid="{00000000-0005-0000-0000-0000D6050000}"/>
    <cellStyle name="Normal 3 25 17" xfId="1505" xr:uid="{00000000-0005-0000-0000-0000D7050000}"/>
    <cellStyle name="Normal 3 25 18" xfId="1506" xr:uid="{00000000-0005-0000-0000-0000D8050000}"/>
    <cellStyle name="Normal 3 25 19" xfId="1507" xr:uid="{00000000-0005-0000-0000-0000D9050000}"/>
    <cellStyle name="Normal 3 25 2" xfId="1508" xr:uid="{00000000-0005-0000-0000-0000DA050000}"/>
    <cellStyle name="Normal 3 25 20" xfId="1509" xr:uid="{00000000-0005-0000-0000-0000DB050000}"/>
    <cellStyle name="Normal 3 25 21" xfId="1510" xr:uid="{00000000-0005-0000-0000-0000DC050000}"/>
    <cellStyle name="Normal 3 25 22" xfId="1511" xr:uid="{00000000-0005-0000-0000-0000DD050000}"/>
    <cellStyle name="Normal 3 25 23" xfId="1512" xr:uid="{00000000-0005-0000-0000-0000DE050000}"/>
    <cellStyle name="Normal 3 25 3" xfId="1513" xr:uid="{00000000-0005-0000-0000-0000DF050000}"/>
    <cellStyle name="Normal 3 25 4" xfId="1514" xr:uid="{00000000-0005-0000-0000-0000E0050000}"/>
    <cellStyle name="Normal 3 25 5" xfId="1515" xr:uid="{00000000-0005-0000-0000-0000E1050000}"/>
    <cellStyle name="Normal 3 25 6" xfId="1516" xr:uid="{00000000-0005-0000-0000-0000E2050000}"/>
    <cellStyle name="Normal 3 25 7" xfId="1517" xr:uid="{00000000-0005-0000-0000-0000E3050000}"/>
    <cellStyle name="Normal 3 25 8" xfId="1518" xr:uid="{00000000-0005-0000-0000-0000E4050000}"/>
    <cellStyle name="Normal 3 25 9" xfId="1519" xr:uid="{00000000-0005-0000-0000-0000E5050000}"/>
    <cellStyle name="Normal 3 26" xfId="1520" xr:uid="{00000000-0005-0000-0000-0000E6050000}"/>
    <cellStyle name="Normal 3 26 10" xfId="1521" xr:uid="{00000000-0005-0000-0000-0000E7050000}"/>
    <cellStyle name="Normal 3 26 11" xfId="1522" xr:uid="{00000000-0005-0000-0000-0000E8050000}"/>
    <cellStyle name="Normal 3 26 12" xfId="1523" xr:uid="{00000000-0005-0000-0000-0000E9050000}"/>
    <cellStyle name="Normal 3 26 13" xfId="1524" xr:uid="{00000000-0005-0000-0000-0000EA050000}"/>
    <cellStyle name="Normal 3 26 14" xfId="1525" xr:uid="{00000000-0005-0000-0000-0000EB050000}"/>
    <cellStyle name="Normal 3 26 15" xfId="1526" xr:uid="{00000000-0005-0000-0000-0000EC050000}"/>
    <cellStyle name="Normal 3 26 16" xfId="1527" xr:uid="{00000000-0005-0000-0000-0000ED050000}"/>
    <cellStyle name="Normal 3 26 17" xfId="1528" xr:uid="{00000000-0005-0000-0000-0000EE050000}"/>
    <cellStyle name="Normal 3 26 18" xfId="1529" xr:uid="{00000000-0005-0000-0000-0000EF050000}"/>
    <cellStyle name="Normal 3 26 19" xfId="1530" xr:uid="{00000000-0005-0000-0000-0000F0050000}"/>
    <cellStyle name="Normal 3 26 2" xfId="1531" xr:uid="{00000000-0005-0000-0000-0000F1050000}"/>
    <cellStyle name="Normal 3 26 20" xfId="1532" xr:uid="{00000000-0005-0000-0000-0000F2050000}"/>
    <cellStyle name="Normal 3 26 21" xfId="1533" xr:uid="{00000000-0005-0000-0000-0000F3050000}"/>
    <cellStyle name="Normal 3 26 22" xfId="1534" xr:uid="{00000000-0005-0000-0000-0000F4050000}"/>
    <cellStyle name="Normal 3 26 23" xfId="1535" xr:uid="{00000000-0005-0000-0000-0000F5050000}"/>
    <cellStyle name="Normal 3 26 3" xfId="1536" xr:uid="{00000000-0005-0000-0000-0000F6050000}"/>
    <cellStyle name="Normal 3 26 4" xfId="1537" xr:uid="{00000000-0005-0000-0000-0000F7050000}"/>
    <cellStyle name="Normal 3 26 5" xfId="1538" xr:uid="{00000000-0005-0000-0000-0000F8050000}"/>
    <cellStyle name="Normal 3 26 6" xfId="1539" xr:uid="{00000000-0005-0000-0000-0000F9050000}"/>
    <cellStyle name="Normal 3 26 7" xfId="1540" xr:uid="{00000000-0005-0000-0000-0000FA050000}"/>
    <cellStyle name="Normal 3 26 8" xfId="1541" xr:uid="{00000000-0005-0000-0000-0000FB050000}"/>
    <cellStyle name="Normal 3 26 9" xfId="1542" xr:uid="{00000000-0005-0000-0000-0000FC050000}"/>
    <cellStyle name="Normal 3 27" xfId="1543" xr:uid="{00000000-0005-0000-0000-0000FD050000}"/>
    <cellStyle name="Normal 3 27 10" xfId="1544" xr:uid="{00000000-0005-0000-0000-0000FE050000}"/>
    <cellStyle name="Normal 3 27 11" xfId="1545" xr:uid="{00000000-0005-0000-0000-0000FF050000}"/>
    <cellStyle name="Normal 3 27 12" xfId="1546" xr:uid="{00000000-0005-0000-0000-000000060000}"/>
    <cellStyle name="Normal 3 27 13" xfId="1547" xr:uid="{00000000-0005-0000-0000-000001060000}"/>
    <cellStyle name="Normal 3 27 14" xfId="1548" xr:uid="{00000000-0005-0000-0000-000002060000}"/>
    <cellStyle name="Normal 3 27 15" xfId="1549" xr:uid="{00000000-0005-0000-0000-000003060000}"/>
    <cellStyle name="Normal 3 27 16" xfId="1550" xr:uid="{00000000-0005-0000-0000-000004060000}"/>
    <cellStyle name="Normal 3 27 17" xfId="1551" xr:uid="{00000000-0005-0000-0000-000005060000}"/>
    <cellStyle name="Normal 3 27 18" xfId="1552" xr:uid="{00000000-0005-0000-0000-000006060000}"/>
    <cellStyle name="Normal 3 27 19" xfId="1553" xr:uid="{00000000-0005-0000-0000-000007060000}"/>
    <cellStyle name="Normal 3 27 2" xfId="1554" xr:uid="{00000000-0005-0000-0000-000008060000}"/>
    <cellStyle name="Normal 3 27 20" xfId="1555" xr:uid="{00000000-0005-0000-0000-000009060000}"/>
    <cellStyle name="Normal 3 27 21" xfId="1556" xr:uid="{00000000-0005-0000-0000-00000A060000}"/>
    <cellStyle name="Normal 3 27 22" xfId="1557" xr:uid="{00000000-0005-0000-0000-00000B060000}"/>
    <cellStyle name="Normal 3 27 23" xfId="1558" xr:uid="{00000000-0005-0000-0000-00000C060000}"/>
    <cellStyle name="Normal 3 27 3" xfId="1559" xr:uid="{00000000-0005-0000-0000-00000D060000}"/>
    <cellStyle name="Normal 3 27 4" xfId="1560" xr:uid="{00000000-0005-0000-0000-00000E060000}"/>
    <cellStyle name="Normal 3 27 5" xfId="1561" xr:uid="{00000000-0005-0000-0000-00000F060000}"/>
    <cellStyle name="Normal 3 27 6" xfId="1562" xr:uid="{00000000-0005-0000-0000-000010060000}"/>
    <cellStyle name="Normal 3 27 7" xfId="1563" xr:uid="{00000000-0005-0000-0000-000011060000}"/>
    <cellStyle name="Normal 3 27 8" xfId="1564" xr:uid="{00000000-0005-0000-0000-000012060000}"/>
    <cellStyle name="Normal 3 27 9" xfId="1565" xr:uid="{00000000-0005-0000-0000-000013060000}"/>
    <cellStyle name="Normal 3 28" xfId="1566" xr:uid="{00000000-0005-0000-0000-000014060000}"/>
    <cellStyle name="Normal 3 28 10" xfId="1567" xr:uid="{00000000-0005-0000-0000-000015060000}"/>
    <cellStyle name="Normal 3 28 11" xfId="1568" xr:uid="{00000000-0005-0000-0000-000016060000}"/>
    <cellStyle name="Normal 3 28 12" xfId="1569" xr:uid="{00000000-0005-0000-0000-000017060000}"/>
    <cellStyle name="Normal 3 28 13" xfId="1570" xr:uid="{00000000-0005-0000-0000-000018060000}"/>
    <cellStyle name="Normal 3 28 14" xfId="1571" xr:uid="{00000000-0005-0000-0000-000019060000}"/>
    <cellStyle name="Normal 3 28 15" xfId="1572" xr:uid="{00000000-0005-0000-0000-00001A060000}"/>
    <cellStyle name="Normal 3 28 16" xfId="1573" xr:uid="{00000000-0005-0000-0000-00001B060000}"/>
    <cellStyle name="Normal 3 28 17" xfId="1574" xr:uid="{00000000-0005-0000-0000-00001C060000}"/>
    <cellStyle name="Normal 3 28 18" xfId="1575" xr:uid="{00000000-0005-0000-0000-00001D060000}"/>
    <cellStyle name="Normal 3 28 19" xfId="1576" xr:uid="{00000000-0005-0000-0000-00001E060000}"/>
    <cellStyle name="Normal 3 28 2" xfId="1577" xr:uid="{00000000-0005-0000-0000-00001F060000}"/>
    <cellStyle name="Normal 3 28 20" xfId="1578" xr:uid="{00000000-0005-0000-0000-000020060000}"/>
    <cellStyle name="Normal 3 28 21" xfId="1579" xr:uid="{00000000-0005-0000-0000-000021060000}"/>
    <cellStyle name="Normal 3 28 22" xfId="1580" xr:uid="{00000000-0005-0000-0000-000022060000}"/>
    <cellStyle name="Normal 3 28 23" xfId="1581" xr:uid="{00000000-0005-0000-0000-000023060000}"/>
    <cellStyle name="Normal 3 28 3" xfId="1582" xr:uid="{00000000-0005-0000-0000-000024060000}"/>
    <cellStyle name="Normal 3 28 4" xfId="1583" xr:uid="{00000000-0005-0000-0000-000025060000}"/>
    <cellStyle name="Normal 3 28 5" xfId="1584" xr:uid="{00000000-0005-0000-0000-000026060000}"/>
    <cellStyle name="Normal 3 28 6" xfId="1585" xr:uid="{00000000-0005-0000-0000-000027060000}"/>
    <cellStyle name="Normal 3 28 7" xfId="1586" xr:uid="{00000000-0005-0000-0000-000028060000}"/>
    <cellStyle name="Normal 3 28 8" xfId="1587" xr:uid="{00000000-0005-0000-0000-000029060000}"/>
    <cellStyle name="Normal 3 28 9" xfId="1588" xr:uid="{00000000-0005-0000-0000-00002A060000}"/>
    <cellStyle name="Normal 3 29" xfId="1589" xr:uid="{00000000-0005-0000-0000-00002B060000}"/>
    <cellStyle name="Normal 3 29 10" xfId="1590" xr:uid="{00000000-0005-0000-0000-00002C060000}"/>
    <cellStyle name="Normal 3 29 11" xfId="1591" xr:uid="{00000000-0005-0000-0000-00002D060000}"/>
    <cellStyle name="Normal 3 29 12" xfId="1592" xr:uid="{00000000-0005-0000-0000-00002E060000}"/>
    <cellStyle name="Normal 3 29 13" xfId="1593" xr:uid="{00000000-0005-0000-0000-00002F060000}"/>
    <cellStyle name="Normal 3 29 14" xfId="1594" xr:uid="{00000000-0005-0000-0000-000030060000}"/>
    <cellStyle name="Normal 3 29 15" xfId="1595" xr:uid="{00000000-0005-0000-0000-000031060000}"/>
    <cellStyle name="Normal 3 29 16" xfId="1596" xr:uid="{00000000-0005-0000-0000-000032060000}"/>
    <cellStyle name="Normal 3 29 17" xfId="1597" xr:uid="{00000000-0005-0000-0000-000033060000}"/>
    <cellStyle name="Normal 3 29 18" xfId="1598" xr:uid="{00000000-0005-0000-0000-000034060000}"/>
    <cellStyle name="Normal 3 29 19" xfId="1599" xr:uid="{00000000-0005-0000-0000-000035060000}"/>
    <cellStyle name="Normal 3 29 2" xfId="1600" xr:uid="{00000000-0005-0000-0000-000036060000}"/>
    <cellStyle name="Normal 3 29 20" xfId="1601" xr:uid="{00000000-0005-0000-0000-000037060000}"/>
    <cellStyle name="Normal 3 29 21" xfId="1602" xr:uid="{00000000-0005-0000-0000-000038060000}"/>
    <cellStyle name="Normal 3 29 22" xfId="1603" xr:uid="{00000000-0005-0000-0000-000039060000}"/>
    <cellStyle name="Normal 3 29 23" xfId="1604" xr:uid="{00000000-0005-0000-0000-00003A060000}"/>
    <cellStyle name="Normal 3 29 3" xfId="1605" xr:uid="{00000000-0005-0000-0000-00003B060000}"/>
    <cellStyle name="Normal 3 29 4" xfId="1606" xr:uid="{00000000-0005-0000-0000-00003C060000}"/>
    <cellStyle name="Normal 3 29 5" xfId="1607" xr:uid="{00000000-0005-0000-0000-00003D060000}"/>
    <cellStyle name="Normal 3 29 6" xfId="1608" xr:uid="{00000000-0005-0000-0000-00003E060000}"/>
    <cellStyle name="Normal 3 29 7" xfId="1609" xr:uid="{00000000-0005-0000-0000-00003F060000}"/>
    <cellStyle name="Normal 3 29 8" xfId="1610" xr:uid="{00000000-0005-0000-0000-000040060000}"/>
    <cellStyle name="Normal 3 29 9" xfId="1611" xr:uid="{00000000-0005-0000-0000-000041060000}"/>
    <cellStyle name="Normal 3 3" xfId="1612" xr:uid="{00000000-0005-0000-0000-000042060000}"/>
    <cellStyle name="Normal 3 3 10" xfId="1613" xr:uid="{00000000-0005-0000-0000-000043060000}"/>
    <cellStyle name="Normal 3 3 11" xfId="1614" xr:uid="{00000000-0005-0000-0000-000044060000}"/>
    <cellStyle name="Normal 3 3 12" xfId="1615" xr:uid="{00000000-0005-0000-0000-000045060000}"/>
    <cellStyle name="Normal 3 3 13" xfId="1616" xr:uid="{00000000-0005-0000-0000-000046060000}"/>
    <cellStyle name="Normal 3 3 14" xfId="1617" xr:uid="{00000000-0005-0000-0000-000047060000}"/>
    <cellStyle name="Normal 3 3 15" xfId="1618" xr:uid="{00000000-0005-0000-0000-000048060000}"/>
    <cellStyle name="Normal 3 3 16" xfId="1619" xr:uid="{00000000-0005-0000-0000-000049060000}"/>
    <cellStyle name="Normal 3 3 17" xfId="1620" xr:uid="{00000000-0005-0000-0000-00004A060000}"/>
    <cellStyle name="Normal 3 3 18" xfId="1621" xr:uid="{00000000-0005-0000-0000-00004B060000}"/>
    <cellStyle name="Normal 3 3 19" xfId="1622" xr:uid="{00000000-0005-0000-0000-00004C060000}"/>
    <cellStyle name="Normal 3 3 2" xfId="1623" xr:uid="{00000000-0005-0000-0000-00004D060000}"/>
    <cellStyle name="Normal 3 3 20" xfId="1624" xr:uid="{00000000-0005-0000-0000-00004E060000}"/>
    <cellStyle name="Normal 3 3 21" xfId="1625" xr:uid="{00000000-0005-0000-0000-00004F060000}"/>
    <cellStyle name="Normal 3 3 22" xfId="1626" xr:uid="{00000000-0005-0000-0000-000050060000}"/>
    <cellStyle name="Normal 3 3 23" xfId="1627" xr:uid="{00000000-0005-0000-0000-000051060000}"/>
    <cellStyle name="Normal 3 3 3" xfId="1628" xr:uid="{00000000-0005-0000-0000-000052060000}"/>
    <cellStyle name="Normal 3 3 4" xfId="1629" xr:uid="{00000000-0005-0000-0000-000053060000}"/>
    <cellStyle name="Normal 3 3 5" xfId="1630" xr:uid="{00000000-0005-0000-0000-000054060000}"/>
    <cellStyle name="Normal 3 3 6" xfId="1631" xr:uid="{00000000-0005-0000-0000-000055060000}"/>
    <cellStyle name="Normal 3 3 7" xfId="1632" xr:uid="{00000000-0005-0000-0000-000056060000}"/>
    <cellStyle name="Normal 3 3 8" xfId="1633" xr:uid="{00000000-0005-0000-0000-000057060000}"/>
    <cellStyle name="Normal 3 3 9" xfId="1634" xr:uid="{00000000-0005-0000-0000-000058060000}"/>
    <cellStyle name="Normal 3 30" xfId="1635" xr:uid="{00000000-0005-0000-0000-000059060000}"/>
    <cellStyle name="Normal 3 30 10" xfId="1636" xr:uid="{00000000-0005-0000-0000-00005A060000}"/>
    <cellStyle name="Normal 3 30 11" xfId="1637" xr:uid="{00000000-0005-0000-0000-00005B060000}"/>
    <cellStyle name="Normal 3 30 12" xfId="1638" xr:uid="{00000000-0005-0000-0000-00005C060000}"/>
    <cellStyle name="Normal 3 30 13" xfId="1639" xr:uid="{00000000-0005-0000-0000-00005D060000}"/>
    <cellStyle name="Normal 3 30 14" xfId="1640" xr:uid="{00000000-0005-0000-0000-00005E060000}"/>
    <cellStyle name="Normal 3 30 15" xfId="1641" xr:uid="{00000000-0005-0000-0000-00005F060000}"/>
    <cellStyle name="Normal 3 30 16" xfId="1642" xr:uid="{00000000-0005-0000-0000-000060060000}"/>
    <cellStyle name="Normal 3 30 17" xfId="1643" xr:uid="{00000000-0005-0000-0000-000061060000}"/>
    <cellStyle name="Normal 3 30 18" xfId="1644" xr:uid="{00000000-0005-0000-0000-000062060000}"/>
    <cellStyle name="Normal 3 30 19" xfId="1645" xr:uid="{00000000-0005-0000-0000-000063060000}"/>
    <cellStyle name="Normal 3 30 2" xfId="1646" xr:uid="{00000000-0005-0000-0000-000064060000}"/>
    <cellStyle name="Normal 3 30 20" xfId="1647" xr:uid="{00000000-0005-0000-0000-000065060000}"/>
    <cellStyle name="Normal 3 30 21" xfId="1648" xr:uid="{00000000-0005-0000-0000-000066060000}"/>
    <cellStyle name="Normal 3 30 22" xfId="1649" xr:uid="{00000000-0005-0000-0000-000067060000}"/>
    <cellStyle name="Normal 3 30 23" xfId="1650" xr:uid="{00000000-0005-0000-0000-000068060000}"/>
    <cellStyle name="Normal 3 30 3" xfId="1651" xr:uid="{00000000-0005-0000-0000-000069060000}"/>
    <cellStyle name="Normal 3 30 4" xfId="1652" xr:uid="{00000000-0005-0000-0000-00006A060000}"/>
    <cellStyle name="Normal 3 30 5" xfId="1653" xr:uid="{00000000-0005-0000-0000-00006B060000}"/>
    <cellStyle name="Normal 3 30 6" xfId="1654" xr:uid="{00000000-0005-0000-0000-00006C060000}"/>
    <cellStyle name="Normal 3 30 7" xfId="1655" xr:uid="{00000000-0005-0000-0000-00006D060000}"/>
    <cellStyle name="Normal 3 30 8" xfId="1656" xr:uid="{00000000-0005-0000-0000-00006E060000}"/>
    <cellStyle name="Normal 3 30 9" xfId="1657" xr:uid="{00000000-0005-0000-0000-00006F060000}"/>
    <cellStyle name="Normal 3 31" xfId="1658" xr:uid="{00000000-0005-0000-0000-000070060000}"/>
    <cellStyle name="Normal 3 31 10" xfId="1659" xr:uid="{00000000-0005-0000-0000-000071060000}"/>
    <cellStyle name="Normal 3 31 11" xfId="1660" xr:uid="{00000000-0005-0000-0000-000072060000}"/>
    <cellStyle name="Normal 3 31 12" xfId="1661" xr:uid="{00000000-0005-0000-0000-000073060000}"/>
    <cellStyle name="Normal 3 31 13" xfId="1662" xr:uid="{00000000-0005-0000-0000-000074060000}"/>
    <cellStyle name="Normal 3 31 14" xfId="1663" xr:uid="{00000000-0005-0000-0000-000075060000}"/>
    <cellStyle name="Normal 3 31 15" xfId="1664" xr:uid="{00000000-0005-0000-0000-000076060000}"/>
    <cellStyle name="Normal 3 31 16" xfId="1665" xr:uid="{00000000-0005-0000-0000-000077060000}"/>
    <cellStyle name="Normal 3 31 17" xfId="1666" xr:uid="{00000000-0005-0000-0000-000078060000}"/>
    <cellStyle name="Normal 3 31 18" xfId="1667" xr:uid="{00000000-0005-0000-0000-000079060000}"/>
    <cellStyle name="Normal 3 31 19" xfId="1668" xr:uid="{00000000-0005-0000-0000-00007A060000}"/>
    <cellStyle name="Normal 3 31 2" xfId="1669" xr:uid="{00000000-0005-0000-0000-00007B060000}"/>
    <cellStyle name="Normal 3 31 20" xfId="1670" xr:uid="{00000000-0005-0000-0000-00007C060000}"/>
    <cellStyle name="Normal 3 31 21" xfId="1671" xr:uid="{00000000-0005-0000-0000-00007D060000}"/>
    <cellStyle name="Normal 3 31 22" xfId="1672" xr:uid="{00000000-0005-0000-0000-00007E060000}"/>
    <cellStyle name="Normal 3 31 23" xfId="1673" xr:uid="{00000000-0005-0000-0000-00007F060000}"/>
    <cellStyle name="Normal 3 31 3" xfId="1674" xr:uid="{00000000-0005-0000-0000-000080060000}"/>
    <cellStyle name="Normal 3 31 4" xfId="1675" xr:uid="{00000000-0005-0000-0000-000081060000}"/>
    <cellStyle name="Normal 3 31 5" xfId="1676" xr:uid="{00000000-0005-0000-0000-000082060000}"/>
    <cellStyle name="Normal 3 31 6" xfId="1677" xr:uid="{00000000-0005-0000-0000-000083060000}"/>
    <cellStyle name="Normal 3 31 7" xfId="1678" xr:uid="{00000000-0005-0000-0000-000084060000}"/>
    <cellStyle name="Normal 3 31 8" xfId="1679" xr:uid="{00000000-0005-0000-0000-000085060000}"/>
    <cellStyle name="Normal 3 31 9" xfId="1680" xr:uid="{00000000-0005-0000-0000-000086060000}"/>
    <cellStyle name="Normal 3 32" xfId="1681" xr:uid="{00000000-0005-0000-0000-000087060000}"/>
    <cellStyle name="Normal 3 32 10" xfId="1682" xr:uid="{00000000-0005-0000-0000-000088060000}"/>
    <cellStyle name="Normal 3 32 11" xfId="1683" xr:uid="{00000000-0005-0000-0000-000089060000}"/>
    <cellStyle name="Normal 3 32 12" xfId="1684" xr:uid="{00000000-0005-0000-0000-00008A060000}"/>
    <cellStyle name="Normal 3 32 13" xfId="1685" xr:uid="{00000000-0005-0000-0000-00008B060000}"/>
    <cellStyle name="Normal 3 32 14" xfId="1686" xr:uid="{00000000-0005-0000-0000-00008C060000}"/>
    <cellStyle name="Normal 3 32 15" xfId="1687" xr:uid="{00000000-0005-0000-0000-00008D060000}"/>
    <cellStyle name="Normal 3 32 16" xfId="1688" xr:uid="{00000000-0005-0000-0000-00008E060000}"/>
    <cellStyle name="Normal 3 32 17" xfId="1689" xr:uid="{00000000-0005-0000-0000-00008F060000}"/>
    <cellStyle name="Normal 3 32 18" xfId="1690" xr:uid="{00000000-0005-0000-0000-000090060000}"/>
    <cellStyle name="Normal 3 32 19" xfId="1691" xr:uid="{00000000-0005-0000-0000-000091060000}"/>
    <cellStyle name="Normal 3 32 2" xfId="1692" xr:uid="{00000000-0005-0000-0000-000092060000}"/>
    <cellStyle name="Normal 3 32 20" xfId="1693" xr:uid="{00000000-0005-0000-0000-000093060000}"/>
    <cellStyle name="Normal 3 32 21" xfId="1694" xr:uid="{00000000-0005-0000-0000-000094060000}"/>
    <cellStyle name="Normal 3 32 22" xfId="1695" xr:uid="{00000000-0005-0000-0000-000095060000}"/>
    <cellStyle name="Normal 3 32 23" xfId="1696" xr:uid="{00000000-0005-0000-0000-000096060000}"/>
    <cellStyle name="Normal 3 32 3" xfId="1697" xr:uid="{00000000-0005-0000-0000-000097060000}"/>
    <cellStyle name="Normal 3 32 4" xfId="1698" xr:uid="{00000000-0005-0000-0000-000098060000}"/>
    <cellStyle name="Normal 3 32 5" xfId="1699" xr:uid="{00000000-0005-0000-0000-000099060000}"/>
    <cellStyle name="Normal 3 32 6" xfId="1700" xr:uid="{00000000-0005-0000-0000-00009A060000}"/>
    <cellStyle name="Normal 3 32 7" xfId="1701" xr:uid="{00000000-0005-0000-0000-00009B060000}"/>
    <cellStyle name="Normal 3 32 8" xfId="1702" xr:uid="{00000000-0005-0000-0000-00009C060000}"/>
    <cellStyle name="Normal 3 32 9" xfId="1703" xr:uid="{00000000-0005-0000-0000-00009D060000}"/>
    <cellStyle name="Normal 3 33" xfId="1704" xr:uid="{00000000-0005-0000-0000-00009E060000}"/>
    <cellStyle name="Normal 3 33 10" xfId="1705" xr:uid="{00000000-0005-0000-0000-00009F060000}"/>
    <cellStyle name="Normal 3 33 11" xfId="1706" xr:uid="{00000000-0005-0000-0000-0000A0060000}"/>
    <cellStyle name="Normal 3 33 12" xfId="1707" xr:uid="{00000000-0005-0000-0000-0000A1060000}"/>
    <cellStyle name="Normal 3 33 13" xfId="1708" xr:uid="{00000000-0005-0000-0000-0000A2060000}"/>
    <cellStyle name="Normal 3 33 14" xfId="1709" xr:uid="{00000000-0005-0000-0000-0000A3060000}"/>
    <cellStyle name="Normal 3 33 15" xfId="1710" xr:uid="{00000000-0005-0000-0000-0000A4060000}"/>
    <cellStyle name="Normal 3 33 16" xfId="1711" xr:uid="{00000000-0005-0000-0000-0000A5060000}"/>
    <cellStyle name="Normal 3 33 17" xfId="1712" xr:uid="{00000000-0005-0000-0000-0000A6060000}"/>
    <cellStyle name="Normal 3 33 18" xfId="1713" xr:uid="{00000000-0005-0000-0000-0000A7060000}"/>
    <cellStyle name="Normal 3 33 19" xfId="1714" xr:uid="{00000000-0005-0000-0000-0000A8060000}"/>
    <cellStyle name="Normal 3 33 2" xfId="1715" xr:uid="{00000000-0005-0000-0000-0000A9060000}"/>
    <cellStyle name="Normal 3 33 20" xfId="1716" xr:uid="{00000000-0005-0000-0000-0000AA060000}"/>
    <cellStyle name="Normal 3 33 21" xfId="1717" xr:uid="{00000000-0005-0000-0000-0000AB060000}"/>
    <cellStyle name="Normal 3 33 22" xfId="1718" xr:uid="{00000000-0005-0000-0000-0000AC060000}"/>
    <cellStyle name="Normal 3 33 23" xfId="1719" xr:uid="{00000000-0005-0000-0000-0000AD060000}"/>
    <cellStyle name="Normal 3 33 3" xfId="1720" xr:uid="{00000000-0005-0000-0000-0000AE060000}"/>
    <cellStyle name="Normal 3 33 4" xfId="1721" xr:uid="{00000000-0005-0000-0000-0000AF060000}"/>
    <cellStyle name="Normal 3 33 5" xfId="1722" xr:uid="{00000000-0005-0000-0000-0000B0060000}"/>
    <cellStyle name="Normal 3 33 6" xfId="1723" xr:uid="{00000000-0005-0000-0000-0000B1060000}"/>
    <cellStyle name="Normal 3 33 7" xfId="1724" xr:uid="{00000000-0005-0000-0000-0000B2060000}"/>
    <cellStyle name="Normal 3 33 8" xfId="1725" xr:uid="{00000000-0005-0000-0000-0000B3060000}"/>
    <cellStyle name="Normal 3 33 9" xfId="1726" xr:uid="{00000000-0005-0000-0000-0000B4060000}"/>
    <cellStyle name="Normal 3 34" xfId="1727" xr:uid="{00000000-0005-0000-0000-0000B5060000}"/>
    <cellStyle name="Normal 3 35" xfId="1728" xr:uid="{00000000-0005-0000-0000-0000B6060000}"/>
    <cellStyle name="Normal 3 36" xfId="1729" xr:uid="{00000000-0005-0000-0000-0000B7060000}"/>
    <cellStyle name="Normal 3 37" xfId="1730" xr:uid="{00000000-0005-0000-0000-0000B8060000}"/>
    <cellStyle name="Normal 3 38" xfId="1731" xr:uid="{00000000-0005-0000-0000-0000B9060000}"/>
    <cellStyle name="Normal 3 39" xfId="1732" xr:uid="{00000000-0005-0000-0000-0000BA060000}"/>
    <cellStyle name="Normal 3 4" xfId="1733" xr:uid="{00000000-0005-0000-0000-0000BB060000}"/>
    <cellStyle name="Normal 3 4 10" xfId="1734" xr:uid="{00000000-0005-0000-0000-0000BC060000}"/>
    <cellStyle name="Normal 3 4 11" xfId="1735" xr:uid="{00000000-0005-0000-0000-0000BD060000}"/>
    <cellStyle name="Normal 3 4 12" xfId="1736" xr:uid="{00000000-0005-0000-0000-0000BE060000}"/>
    <cellStyle name="Normal 3 4 13" xfId="1737" xr:uid="{00000000-0005-0000-0000-0000BF060000}"/>
    <cellStyle name="Normal 3 4 14" xfId="1738" xr:uid="{00000000-0005-0000-0000-0000C0060000}"/>
    <cellStyle name="Normal 3 4 15" xfId="1739" xr:uid="{00000000-0005-0000-0000-0000C1060000}"/>
    <cellStyle name="Normal 3 4 16" xfId="1740" xr:uid="{00000000-0005-0000-0000-0000C2060000}"/>
    <cellStyle name="Normal 3 4 17" xfId="1741" xr:uid="{00000000-0005-0000-0000-0000C3060000}"/>
    <cellStyle name="Normal 3 4 18" xfId="1742" xr:uid="{00000000-0005-0000-0000-0000C4060000}"/>
    <cellStyle name="Normal 3 4 19" xfId="1743" xr:uid="{00000000-0005-0000-0000-0000C5060000}"/>
    <cellStyle name="Normal 3 4 2" xfId="1744" xr:uid="{00000000-0005-0000-0000-0000C6060000}"/>
    <cellStyle name="Normal 3 4 20" xfId="1745" xr:uid="{00000000-0005-0000-0000-0000C7060000}"/>
    <cellStyle name="Normal 3 4 21" xfId="1746" xr:uid="{00000000-0005-0000-0000-0000C8060000}"/>
    <cellStyle name="Normal 3 4 22" xfId="1747" xr:uid="{00000000-0005-0000-0000-0000C9060000}"/>
    <cellStyle name="Normal 3 4 23" xfId="1748" xr:uid="{00000000-0005-0000-0000-0000CA060000}"/>
    <cellStyle name="Normal 3 4 3" xfId="1749" xr:uid="{00000000-0005-0000-0000-0000CB060000}"/>
    <cellStyle name="Normal 3 4 4" xfId="1750" xr:uid="{00000000-0005-0000-0000-0000CC060000}"/>
    <cellStyle name="Normal 3 4 5" xfId="1751" xr:uid="{00000000-0005-0000-0000-0000CD060000}"/>
    <cellStyle name="Normal 3 4 6" xfId="1752" xr:uid="{00000000-0005-0000-0000-0000CE060000}"/>
    <cellStyle name="Normal 3 4 7" xfId="1753" xr:uid="{00000000-0005-0000-0000-0000CF060000}"/>
    <cellStyle name="Normal 3 4 8" xfId="1754" xr:uid="{00000000-0005-0000-0000-0000D0060000}"/>
    <cellStyle name="Normal 3 4 9" xfId="1755" xr:uid="{00000000-0005-0000-0000-0000D1060000}"/>
    <cellStyle name="Normal 3 40" xfId="1756" xr:uid="{00000000-0005-0000-0000-0000D2060000}"/>
    <cellStyle name="Normal 3 41" xfId="1757" xr:uid="{00000000-0005-0000-0000-0000D3060000}"/>
    <cellStyle name="Normal 3 42" xfId="1758" xr:uid="{00000000-0005-0000-0000-0000D4060000}"/>
    <cellStyle name="Normal 3 43" xfId="1759" xr:uid="{00000000-0005-0000-0000-0000D5060000}"/>
    <cellStyle name="Normal 3 44" xfId="1760" xr:uid="{00000000-0005-0000-0000-0000D6060000}"/>
    <cellStyle name="Normal 3 45" xfId="1761" xr:uid="{00000000-0005-0000-0000-0000D7060000}"/>
    <cellStyle name="Normal 3 46" xfId="1762" xr:uid="{00000000-0005-0000-0000-0000D8060000}"/>
    <cellStyle name="Normal 3 47" xfId="1763" xr:uid="{00000000-0005-0000-0000-0000D9060000}"/>
    <cellStyle name="Normal 3 48" xfId="1764" xr:uid="{00000000-0005-0000-0000-0000DA060000}"/>
    <cellStyle name="Normal 3 49" xfId="1765" xr:uid="{00000000-0005-0000-0000-0000DB060000}"/>
    <cellStyle name="Normal 3 5" xfId="1766" xr:uid="{00000000-0005-0000-0000-0000DC060000}"/>
    <cellStyle name="Normal 3 5 10" xfId="1767" xr:uid="{00000000-0005-0000-0000-0000DD060000}"/>
    <cellStyle name="Normal 3 5 11" xfId="1768" xr:uid="{00000000-0005-0000-0000-0000DE060000}"/>
    <cellStyle name="Normal 3 5 12" xfId="1769" xr:uid="{00000000-0005-0000-0000-0000DF060000}"/>
    <cellStyle name="Normal 3 5 13" xfId="1770" xr:uid="{00000000-0005-0000-0000-0000E0060000}"/>
    <cellStyle name="Normal 3 5 14" xfId="1771" xr:uid="{00000000-0005-0000-0000-0000E1060000}"/>
    <cellStyle name="Normal 3 5 15" xfId="1772" xr:uid="{00000000-0005-0000-0000-0000E2060000}"/>
    <cellStyle name="Normal 3 5 16" xfId="1773" xr:uid="{00000000-0005-0000-0000-0000E3060000}"/>
    <cellStyle name="Normal 3 5 17" xfId="1774" xr:uid="{00000000-0005-0000-0000-0000E4060000}"/>
    <cellStyle name="Normal 3 5 18" xfId="1775" xr:uid="{00000000-0005-0000-0000-0000E5060000}"/>
    <cellStyle name="Normal 3 5 19" xfId="1776" xr:uid="{00000000-0005-0000-0000-0000E6060000}"/>
    <cellStyle name="Normal 3 5 2" xfId="1777" xr:uid="{00000000-0005-0000-0000-0000E7060000}"/>
    <cellStyle name="Normal 3 5 20" xfId="1778" xr:uid="{00000000-0005-0000-0000-0000E8060000}"/>
    <cellStyle name="Normal 3 5 21" xfId="1779" xr:uid="{00000000-0005-0000-0000-0000E9060000}"/>
    <cellStyle name="Normal 3 5 22" xfId="1780" xr:uid="{00000000-0005-0000-0000-0000EA060000}"/>
    <cellStyle name="Normal 3 5 23" xfId="1781" xr:uid="{00000000-0005-0000-0000-0000EB060000}"/>
    <cellStyle name="Normal 3 5 3" xfId="1782" xr:uid="{00000000-0005-0000-0000-0000EC060000}"/>
    <cellStyle name="Normal 3 5 4" xfId="1783" xr:uid="{00000000-0005-0000-0000-0000ED060000}"/>
    <cellStyle name="Normal 3 5 5" xfId="1784" xr:uid="{00000000-0005-0000-0000-0000EE060000}"/>
    <cellStyle name="Normal 3 5 6" xfId="1785" xr:uid="{00000000-0005-0000-0000-0000EF060000}"/>
    <cellStyle name="Normal 3 5 7" xfId="1786" xr:uid="{00000000-0005-0000-0000-0000F0060000}"/>
    <cellStyle name="Normal 3 5 8" xfId="1787" xr:uid="{00000000-0005-0000-0000-0000F1060000}"/>
    <cellStyle name="Normal 3 5 9" xfId="1788" xr:uid="{00000000-0005-0000-0000-0000F2060000}"/>
    <cellStyle name="Normal 3 50" xfId="1789" xr:uid="{00000000-0005-0000-0000-0000F3060000}"/>
    <cellStyle name="Normal 3 51" xfId="1790" xr:uid="{00000000-0005-0000-0000-0000F4060000}"/>
    <cellStyle name="Normal 3 52" xfId="1791" xr:uid="{00000000-0005-0000-0000-0000F5060000}"/>
    <cellStyle name="Normal 3 53" xfId="1792" xr:uid="{00000000-0005-0000-0000-0000F6060000}"/>
    <cellStyle name="Normal 3 54" xfId="1793" xr:uid="{00000000-0005-0000-0000-0000F7060000}"/>
    <cellStyle name="Normal 3 55" xfId="1794" xr:uid="{00000000-0005-0000-0000-0000F8060000}"/>
    <cellStyle name="Normal 3 56" xfId="1795" xr:uid="{00000000-0005-0000-0000-0000F9060000}"/>
    <cellStyle name="Normal 3 57" xfId="1796" xr:uid="{00000000-0005-0000-0000-0000FA060000}"/>
    <cellStyle name="Normal 3 58" xfId="1797" xr:uid="{00000000-0005-0000-0000-0000FB060000}"/>
    <cellStyle name="Normal 3 59" xfId="1798" xr:uid="{00000000-0005-0000-0000-0000FC060000}"/>
    <cellStyle name="Normal 3 6" xfId="1799" xr:uid="{00000000-0005-0000-0000-0000FD060000}"/>
    <cellStyle name="Normal 3 6 10" xfId="1800" xr:uid="{00000000-0005-0000-0000-0000FE060000}"/>
    <cellStyle name="Normal 3 6 11" xfId="1801" xr:uid="{00000000-0005-0000-0000-0000FF060000}"/>
    <cellStyle name="Normal 3 6 12" xfId="1802" xr:uid="{00000000-0005-0000-0000-000000070000}"/>
    <cellStyle name="Normal 3 6 13" xfId="1803" xr:uid="{00000000-0005-0000-0000-000001070000}"/>
    <cellStyle name="Normal 3 6 14" xfId="1804" xr:uid="{00000000-0005-0000-0000-000002070000}"/>
    <cellStyle name="Normal 3 6 15" xfId="1805" xr:uid="{00000000-0005-0000-0000-000003070000}"/>
    <cellStyle name="Normal 3 6 16" xfId="1806" xr:uid="{00000000-0005-0000-0000-000004070000}"/>
    <cellStyle name="Normal 3 6 17" xfId="1807" xr:uid="{00000000-0005-0000-0000-000005070000}"/>
    <cellStyle name="Normal 3 6 18" xfId="1808" xr:uid="{00000000-0005-0000-0000-000006070000}"/>
    <cellStyle name="Normal 3 6 19" xfId="1809" xr:uid="{00000000-0005-0000-0000-000007070000}"/>
    <cellStyle name="Normal 3 6 2" xfId="1810" xr:uid="{00000000-0005-0000-0000-000008070000}"/>
    <cellStyle name="Normal 3 6 20" xfId="1811" xr:uid="{00000000-0005-0000-0000-000009070000}"/>
    <cellStyle name="Normal 3 6 21" xfId="1812" xr:uid="{00000000-0005-0000-0000-00000A070000}"/>
    <cellStyle name="Normal 3 6 22" xfId="1813" xr:uid="{00000000-0005-0000-0000-00000B070000}"/>
    <cellStyle name="Normal 3 6 23" xfId="1814" xr:uid="{00000000-0005-0000-0000-00000C070000}"/>
    <cellStyle name="Normal 3 6 3" xfId="1815" xr:uid="{00000000-0005-0000-0000-00000D070000}"/>
    <cellStyle name="Normal 3 6 4" xfId="1816" xr:uid="{00000000-0005-0000-0000-00000E070000}"/>
    <cellStyle name="Normal 3 6 5" xfId="1817" xr:uid="{00000000-0005-0000-0000-00000F070000}"/>
    <cellStyle name="Normal 3 6 6" xfId="1818" xr:uid="{00000000-0005-0000-0000-000010070000}"/>
    <cellStyle name="Normal 3 6 7" xfId="1819" xr:uid="{00000000-0005-0000-0000-000011070000}"/>
    <cellStyle name="Normal 3 6 8" xfId="1820" xr:uid="{00000000-0005-0000-0000-000012070000}"/>
    <cellStyle name="Normal 3 6 9" xfId="1821" xr:uid="{00000000-0005-0000-0000-000013070000}"/>
    <cellStyle name="Normal 3 60" xfId="1822" xr:uid="{00000000-0005-0000-0000-000014070000}"/>
    <cellStyle name="Normal 3 61" xfId="1823" xr:uid="{00000000-0005-0000-0000-000015070000}"/>
    <cellStyle name="Normal 3 62" xfId="1824" xr:uid="{00000000-0005-0000-0000-000016070000}"/>
    <cellStyle name="Normal 3 63" xfId="1825" xr:uid="{00000000-0005-0000-0000-000017070000}"/>
    <cellStyle name="Normal 3 64" xfId="1826" xr:uid="{00000000-0005-0000-0000-000018070000}"/>
    <cellStyle name="Normal 3 65" xfId="1827" xr:uid="{00000000-0005-0000-0000-000019070000}"/>
    <cellStyle name="Normal 3 66" xfId="1064" xr:uid="{00000000-0005-0000-0000-00001A070000}"/>
    <cellStyle name="Normal 3 7" xfId="1828" xr:uid="{00000000-0005-0000-0000-00001B070000}"/>
    <cellStyle name="Normal 3 7 10" xfId="1829" xr:uid="{00000000-0005-0000-0000-00001C070000}"/>
    <cellStyle name="Normal 3 7 11" xfId="1830" xr:uid="{00000000-0005-0000-0000-00001D070000}"/>
    <cellStyle name="Normal 3 7 12" xfId="1831" xr:uid="{00000000-0005-0000-0000-00001E070000}"/>
    <cellStyle name="Normal 3 7 13" xfId="1832" xr:uid="{00000000-0005-0000-0000-00001F070000}"/>
    <cellStyle name="Normal 3 7 14" xfId="1833" xr:uid="{00000000-0005-0000-0000-000020070000}"/>
    <cellStyle name="Normal 3 7 15" xfId="1834" xr:uid="{00000000-0005-0000-0000-000021070000}"/>
    <cellStyle name="Normal 3 7 16" xfId="1835" xr:uid="{00000000-0005-0000-0000-000022070000}"/>
    <cellStyle name="Normal 3 7 17" xfId="1836" xr:uid="{00000000-0005-0000-0000-000023070000}"/>
    <cellStyle name="Normal 3 7 18" xfId="1837" xr:uid="{00000000-0005-0000-0000-000024070000}"/>
    <cellStyle name="Normal 3 7 19" xfId="1838" xr:uid="{00000000-0005-0000-0000-000025070000}"/>
    <cellStyle name="Normal 3 7 2" xfId="1839" xr:uid="{00000000-0005-0000-0000-000026070000}"/>
    <cellStyle name="Normal 3 7 20" xfId="1840" xr:uid="{00000000-0005-0000-0000-000027070000}"/>
    <cellStyle name="Normal 3 7 21" xfId="1841" xr:uid="{00000000-0005-0000-0000-000028070000}"/>
    <cellStyle name="Normal 3 7 22" xfId="1842" xr:uid="{00000000-0005-0000-0000-000029070000}"/>
    <cellStyle name="Normal 3 7 23" xfId="1843" xr:uid="{00000000-0005-0000-0000-00002A070000}"/>
    <cellStyle name="Normal 3 7 3" xfId="1844" xr:uid="{00000000-0005-0000-0000-00002B070000}"/>
    <cellStyle name="Normal 3 7 4" xfId="1845" xr:uid="{00000000-0005-0000-0000-00002C070000}"/>
    <cellStyle name="Normal 3 7 5" xfId="1846" xr:uid="{00000000-0005-0000-0000-00002D070000}"/>
    <cellStyle name="Normal 3 7 6" xfId="1847" xr:uid="{00000000-0005-0000-0000-00002E070000}"/>
    <cellStyle name="Normal 3 7 7" xfId="1848" xr:uid="{00000000-0005-0000-0000-00002F070000}"/>
    <cellStyle name="Normal 3 7 8" xfId="1849" xr:uid="{00000000-0005-0000-0000-000030070000}"/>
    <cellStyle name="Normal 3 7 9" xfId="1850" xr:uid="{00000000-0005-0000-0000-000031070000}"/>
    <cellStyle name="Normal 3 8" xfId="1851" xr:uid="{00000000-0005-0000-0000-000032070000}"/>
    <cellStyle name="Normal 3 8 10" xfId="1852" xr:uid="{00000000-0005-0000-0000-000033070000}"/>
    <cellStyle name="Normal 3 8 11" xfId="1853" xr:uid="{00000000-0005-0000-0000-000034070000}"/>
    <cellStyle name="Normal 3 8 12" xfId="1854" xr:uid="{00000000-0005-0000-0000-000035070000}"/>
    <cellStyle name="Normal 3 8 13" xfId="1855" xr:uid="{00000000-0005-0000-0000-000036070000}"/>
    <cellStyle name="Normal 3 8 14" xfId="1856" xr:uid="{00000000-0005-0000-0000-000037070000}"/>
    <cellStyle name="Normal 3 8 15" xfId="1857" xr:uid="{00000000-0005-0000-0000-000038070000}"/>
    <cellStyle name="Normal 3 8 16" xfId="1858" xr:uid="{00000000-0005-0000-0000-000039070000}"/>
    <cellStyle name="Normal 3 8 17" xfId="1859" xr:uid="{00000000-0005-0000-0000-00003A070000}"/>
    <cellStyle name="Normal 3 8 18" xfId="1860" xr:uid="{00000000-0005-0000-0000-00003B070000}"/>
    <cellStyle name="Normal 3 8 19" xfId="1861" xr:uid="{00000000-0005-0000-0000-00003C070000}"/>
    <cellStyle name="Normal 3 8 2" xfId="1862" xr:uid="{00000000-0005-0000-0000-00003D070000}"/>
    <cellStyle name="Normal 3 8 20" xfId="1863" xr:uid="{00000000-0005-0000-0000-00003E070000}"/>
    <cellStyle name="Normal 3 8 21" xfId="1864" xr:uid="{00000000-0005-0000-0000-00003F070000}"/>
    <cellStyle name="Normal 3 8 22" xfId="1865" xr:uid="{00000000-0005-0000-0000-000040070000}"/>
    <cellStyle name="Normal 3 8 23" xfId="1866" xr:uid="{00000000-0005-0000-0000-000041070000}"/>
    <cellStyle name="Normal 3 8 3" xfId="1867" xr:uid="{00000000-0005-0000-0000-000042070000}"/>
    <cellStyle name="Normal 3 8 4" xfId="1868" xr:uid="{00000000-0005-0000-0000-000043070000}"/>
    <cellStyle name="Normal 3 8 5" xfId="1869" xr:uid="{00000000-0005-0000-0000-000044070000}"/>
    <cellStyle name="Normal 3 8 6" xfId="1870" xr:uid="{00000000-0005-0000-0000-000045070000}"/>
    <cellStyle name="Normal 3 8 7" xfId="1871" xr:uid="{00000000-0005-0000-0000-000046070000}"/>
    <cellStyle name="Normal 3 8 8" xfId="1872" xr:uid="{00000000-0005-0000-0000-000047070000}"/>
    <cellStyle name="Normal 3 8 9" xfId="1873" xr:uid="{00000000-0005-0000-0000-000048070000}"/>
    <cellStyle name="Normal 3 9" xfId="1874" xr:uid="{00000000-0005-0000-0000-000049070000}"/>
    <cellStyle name="Normal 3 9 10" xfId="1875" xr:uid="{00000000-0005-0000-0000-00004A070000}"/>
    <cellStyle name="Normal 3 9 11" xfId="1876" xr:uid="{00000000-0005-0000-0000-00004B070000}"/>
    <cellStyle name="Normal 3 9 12" xfId="1877" xr:uid="{00000000-0005-0000-0000-00004C070000}"/>
    <cellStyle name="Normal 3 9 13" xfId="1878" xr:uid="{00000000-0005-0000-0000-00004D070000}"/>
    <cellStyle name="Normal 3 9 14" xfId="1879" xr:uid="{00000000-0005-0000-0000-00004E070000}"/>
    <cellStyle name="Normal 3 9 15" xfId="1880" xr:uid="{00000000-0005-0000-0000-00004F070000}"/>
    <cellStyle name="Normal 3 9 16" xfId="1881" xr:uid="{00000000-0005-0000-0000-000050070000}"/>
    <cellStyle name="Normal 3 9 17" xfId="1882" xr:uid="{00000000-0005-0000-0000-000051070000}"/>
    <cellStyle name="Normal 3 9 18" xfId="1883" xr:uid="{00000000-0005-0000-0000-000052070000}"/>
    <cellStyle name="Normal 3 9 19" xfId="1884" xr:uid="{00000000-0005-0000-0000-000053070000}"/>
    <cellStyle name="Normal 3 9 2" xfId="1885" xr:uid="{00000000-0005-0000-0000-000054070000}"/>
    <cellStyle name="Normal 3 9 20" xfId="1886" xr:uid="{00000000-0005-0000-0000-000055070000}"/>
    <cellStyle name="Normal 3 9 21" xfId="1887" xr:uid="{00000000-0005-0000-0000-000056070000}"/>
    <cellStyle name="Normal 3 9 22" xfId="1888" xr:uid="{00000000-0005-0000-0000-000057070000}"/>
    <cellStyle name="Normal 3 9 23" xfId="1889" xr:uid="{00000000-0005-0000-0000-000058070000}"/>
    <cellStyle name="Normal 3 9 3" xfId="1890" xr:uid="{00000000-0005-0000-0000-000059070000}"/>
    <cellStyle name="Normal 3 9 4" xfId="1891" xr:uid="{00000000-0005-0000-0000-00005A070000}"/>
    <cellStyle name="Normal 3 9 5" xfId="1892" xr:uid="{00000000-0005-0000-0000-00005B070000}"/>
    <cellStyle name="Normal 3 9 6" xfId="1893" xr:uid="{00000000-0005-0000-0000-00005C070000}"/>
    <cellStyle name="Normal 3 9 7" xfId="1894" xr:uid="{00000000-0005-0000-0000-00005D070000}"/>
    <cellStyle name="Normal 3 9 8" xfId="1895" xr:uid="{00000000-0005-0000-0000-00005E070000}"/>
    <cellStyle name="Normal 3 9 9" xfId="1896" xr:uid="{00000000-0005-0000-0000-00005F070000}"/>
    <cellStyle name="Normal 4" xfId="52" xr:uid="{00000000-0005-0000-0000-000060070000}"/>
    <cellStyle name="Normal 4 2" xfId="1898" xr:uid="{00000000-0005-0000-0000-000061070000}"/>
    <cellStyle name="Normal 4 3" xfId="1897" xr:uid="{00000000-0005-0000-0000-000062070000}"/>
    <cellStyle name="Normal 5" xfId="43" xr:uid="{00000000-0005-0000-0000-000063070000}"/>
    <cellStyle name="Normal 5 10" xfId="1899" xr:uid="{00000000-0005-0000-0000-000064070000}"/>
    <cellStyle name="Normal 5 11" xfId="1900" xr:uid="{00000000-0005-0000-0000-000065070000}"/>
    <cellStyle name="Normal 5 12" xfId="1901" xr:uid="{00000000-0005-0000-0000-000066070000}"/>
    <cellStyle name="Normal 5 13" xfId="1902" xr:uid="{00000000-0005-0000-0000-000067070000}"/>
    <cellStyle name="Normal 5 14" xfId="1903" xr:uid="{00000000-0005-0000-0000-000068070000}"/>
    <cellStyle name="Normal 5 15" xfId="1904" xr:uid="{00000000-0005-0000-0000-000069070000}"/>
    <cellStyle name="Normal 5 16" xfId="1905" xr:uid="{00000000-0005-0000-0000-00006A070000}"/>
    <cellStyle name="Normal 5 17" xfId="1906" xr:uid="{00000000-0005-0000-0000-00006B070000}"/>
    <cellStyle name="Normal 5 18" xfId="1907" xr:uid="{00000000-0005-0000-0000-00006C070000}"/>
    <cellStyle name="Normal 5 19" xfId="1908" xr:uid="{00000000-0005-0000-0000-00006D070000}"/>
    <cellStyle name="Normal 5 2" xfId="1909" xr:uid="{00000000-0005-0000-0000-00006E070000}"/>
    <cellStyle name="Normal 5 2 10" xfId="1910" xr:uid="{00000000-0005-0000-0000-00006F070000}"/>
    <cellStyle name="Normal 5 2 11" xfId="1911" xr:uid="{00000000-0005-0000-0000-000070070000}"/>
    <cellStyle name="Normal 5 2 12" xfId="1912" xr:uid="{00000000-0005-0000-0000-000071070000}"/>
    <cellStyle name="Normal 5 2 13" xfId="1913" xr:uid="{00000000-0005-0000-0000-000072070000}"/>
    <cellStyle name="Normal 5 2 14" xfId="1914" xr:uid="{00000000-0005-0000-0000-000073070000}"/>
    <cellStyle name="Normal 5 2 15" xfId="1915" xr:uid="{00000000-0005-0000-0000-000074070000}"/>
    <cellStyle name="Normal 5 2 16" xfId="1916" xr:uid="{00000000-0005-0000-0000-000075070000}"/>
    <cellStyle name="Normal 5 2 17" xfId="1917" xr:uid="{00000000-0005-0000-0000-000076070000}"/>
    <cellStyle name="Normal 5 2 18" xfId="1918" xr:uid="{00000000-0005-0000-0000-000077070000}"/>
    <cellStyle name="Normal 5 2 19" xfId="1919" xr:uid="{00000000-0005-0000-0000-000078070000}"/>
    <cellStyle name="Normal 5 2 2" xfId="1920" xr:uid="{00000000-0005-0000-0000-000079070000}"/>
    <cellStyle name="Normal 5 2 20" xfId="1921" xr:uid="{00000000-0005-0000-0000-00007A070000}"/>
    <cellStyle name="Normal 5 2 21" xfId="1922" xr:uid="{00000000-0005-0000-0000-00007B070000}"/>
    <cellStyle name="Normal 5 2 22" xfId="1923" xr:uid="{00000000-0005-0000-0000-00007C070000}"/>
    <cellStyle name="Normal 5 2 23" xfId="1924" xr:uid="{00000000-0005-0000-0000-00007D070000}"/>
    <cellStyle name="Normal 5 2 3" xfId="1925" xr:uid="{00000000-0005-0000-0000-00007E070000}"/>
    <cellStyle name="Normal 5 2 4" xfId="1926" xr:uid="{00000000-0005-0000-0000-00007F070000}"/>
    <cellStyle name="Normal 5 2 5" xfId="1927" xr:uid="{00000000-0005-0000-0000-000080070000}"/>
    <cellStyle name="Normal 5 2 6" xfId="1928" xr:uid="{00000000-0005-0000-0000-000081070000}"/>
    <cellStyle name="Normal 5 2 7" xfId="1929" xr:uid="{00000000-0005-0000-0000-000082070000}"/>
    <cellStyle name="Normal 5 2 8" xfId="1930" xr:uid="{00000000-0005-0000-0000-000083070000}"/>
    <cellStyle name="Normal 5 2 9" xfId="1931" xr:uid="{00000000-0005-0000-0000-000084070000}"/>
    <cellStyle name="Normal 5 20" xfId="1932" xr:uid="{00000000-0005-0000-0000-000085070000}"/>
    <cellStyle name="Normal 5 21" xfId="1933" xr:uid="{00000000-0005-0000-0000-000086070000}"/>
    <cellStyle name="Normal 5 22" xfId="1934" xr:uid="{00000000-0005-0000-0000-000087070000}"/>
    <cellStyle name="Normal 5 23" xfId="1935" xr:uid="{00000000-0005-0000-0000-000088070000}"/>
    <cellStyle name="Normal 5 24" xfId="1936" xr:uid="{00000000-0005-0000-0000-000089070000}"/>
    <cellStyle name="Normal 5 3" xfId="1937" xr:uid="{00000000-0005-0000-0000-00008A070000}"/>
    <cellStyle name="Normal 5 4" xfId="1938" xr:uid="{00000000-0005-0000-0000-00008B070000}"/>
    <cellStyle name="Normal 5 5" xfId="1939" xr:uid="{00000000-0005-0000-0000-00008C070000}"/>
    <cellStyle name="Normal 5 6" xfId="1940" xr:uid="{00000000-0005-0000-0000-00008D070000}"/>
    <cellStyle name="Normal 5 7" xfId="1941" xr:uid="{00000000-0005-0000-0000-00008E070000}"/>
    <cellStyle name="Normal 5 8" xfId="1942" xr:uid="{00000000-0005-0000-0000-00008F070000}"/>
    <cellStyle name="Normal 5 9" xfId="1943" xr:uid="{00000000-0005-0000-0000-000090070000}"/>
    <cellStyle name="Normal 6" xfId="1944" xr:uid="{00000000-0005-0000-0000-000091070000}"/>
    <cellStyle name="Normal 7" xfId="1945" xr:uid="{00000000-0005-0000-0000-000092070000}"/>
    <cellStyle name="Normal 7 10" xfId="1946" xr:uid="{00000000-0005-0000-0000-000093070000}"/>
    <cellStyle name="Normal 7 11" xfId="1947" xr:uid="{00000000-0005-0000-0000-000094070000}"/>
    <cellStyle name="Normal 7 12" xfId="1948" xr:uid="{00000000-0005-0000-0000-000095070000}"/>
    <cellStyle name="Normal 7 13" xfId="1949" xr:uid="{00000000-0005-0000-0000-000096070000}"/>
    <cellStyle name="Normal 7 14" xfId="1950" xr:uid="{00000000-0005-0000-0000-000097070000}"/>
    <cellStyle name="Normal 7 15" xfId="1951" xr:uid="{00000000-0005-0000-0000-000098070000}"/>
    <cellStyle name="Normal 7 16" xfId="1952" xr:uid="{00000000-0005-0000-0000-000099070000}"/>
    <cellStyle name="Normal 7 17" xfId="1953" xr:uid="{00000000-0005-0000-0000-00009A070000}"/>
    <cellStyle name="Normal 7 18" xfId="1954" xr:uid="{00000000-0005-0000-0000-00009B070000}"/>
    <cellStyle name="Normal 7 19" xfId="1955" xr:uid="{00000000-0005-0000-0000-00009C070000}"/>
    <cellStyle name="Normal 7 2" xfId="1956" xr:uid="{00000000-0005-0000-0000-00009D070000}"/>
    <cellStyle name="Normal 7 2 10" xfId="1957" xr:uid="{00000000-0005-0000-0000-00009E070000}"/>
    <cellStyle name="Normal 7 2 11" xfId="1958" xr:uid="{00000000-0005-0000-0000-00009F070000}"/>
    <cellStyle name="Normal 7 2 12" xfId="1959" xr:uid="{00000000-0005-0000-0000-0000A0070000}"/>
    <cellStyle name="Normal 7 2 13" xfId="1960" xr:uid="{00000000-0005-0000-0000-0000A1070000}"/>
    <cellStyle name="Normal 7 2 14" xfId="1961" xr:uid="{00000000-0005-0000-0000-0000A2070000}"/>
    <cellStyle name="Normal 7 2 15" xfId="1962" xr:uid="{00000000-0005-0000-0000-0000A3070000}"/>
    <cellStyle name="Normal 7 2 16" xfId="1963" xr:uid="{00000000-0005-0000-0000-0000A4070000}"/>
    <cellStyle name="Normal 7 2 17" xfId="1964" xr:uid="{00000000-0005-0000-0000-0000A5070000}"/>
    <cellStyle name="Normal 7 2 18" xfId="1965" xr:uid="{00000000-0005-0000-0000-0000A6070000}"/>
    <cellStyle name="Normal 7 2 19" xfId="1966" xr:uid="{00000000-0005-0000-0000-0000A7070000}"/>
    <cellStyle name="Normal 7 2 2" xfId="1967" xr:uid="{00000000-0005-0000-0000-0000A8070000}"/>
    <cellStyle name="Normal 7 2 20" xfId="1968" xr:uid="{00000000-0005-0000-0000-0000A9070000}"/>
    <cellStyle name="Normal 7 2 21" xfId="1969" xr:uid="{00000000-0005-0000-0000-0000AA070000}"/>
    <cellStyle name="Normal 7 2 22" xfId="1970" xr:uid="{00000000-0005-0000-0000-0000AB070000}"/>
    <cellStyle name="Normal 7 2 23" xfId="1971" xr:uid="{00000000-0005-0000-0000-0000AC070000}"/>
    <cellStyle name="Normal 7 2 3" xfId="1972" xr:uid="{00000000-0005-0000-0000-0000AD070000}"/>
    <cellStyle name="Normal 7 2 4" xfId="1973" xr:uid="{00000000-0005-0000-0000-0000AE070000}"/>
    <cellStyle name="Normal 7 2 5" xfId="1974" xr:uid="{00000000-0005-0000-0000-0000AF070000}"/>
    <cellStyle name="Normal 7 2 6" xfId="1975" xr:uid="{00000000-0005-0000-0000-0000B0070000}"/>
    <cellStyle name="Normal 7 2 7" xfId="1976" xr:uid="{00000000-0005-0000-0000-0000B1070000}"/>
    <cellStyle name="Normal 7 2 8" xfId="1977" xr:uid="{00000000-0005-0000-0000-0000B2070000}"/>
    <cellStyle name="Normal 7 2 9" xfId="1978" xr:uid="{00000000-0005-0000-0000-0000B3070000}"/>
    <cellStyle name="Normal 7 20" xfId="1979" xr:uid="{00000000-0005-0000-0000-0000B4070000}"/>
    <cellStyle name="Normal 7 21" xfId="1980" xr:uid="{00000000-0005-0000-0000-0000B5070000}"/>
    <cellStyle name="Normal 7 22" xfId="1981" xr:uid="{00000000-0005-0000-0000-0000B6070000}"/>
    <cellStyle name="Normal 7 23" xfId="1982" xr:uid="{00000000-0005-0000-0000-0000B7070000}"/>
    <cellStyle name="Normal 7 24" xfId="1983" xr:uid="{00000000-0005-0000-0000-0000B8070000}"/>
    <cellStyle name="Normal 7 3" xfId="1984" xr:uid="{00000000-0005-0000-0000-0000B9070000}"/>
    <cellStyle name="Normal 7 4" xfId="1985" xr:uid="{00000000-0005-0000-0000-0000BA070000}"/>
    <cellStyle name="Normal 7 5" xfId="1986" xr:uid="{00000000-0005-0000-0000-0000BB070000}"/>
    <cellStyle name="Normal 7 6" xfId="1987" xr:uid="{00000000-0005-0000-0000-0000BC070000}"/>
    <cellStyle name="Normal 7 7" xfId="1988" xr:uid="{00000000-0005-0000-0000-0000BD070000}"/>
    <cellStyle name="Normal 7 8" xfId="1989" xr:uid="{00000000-0005-0000-0000-0000BE070000}"/>
    <cellStyle name="Normal 7 9" xfId="1990" xr:uid="{00000000-0005-0000-0000-0000BF070000}"/>
    <cellStyle name="Normal 8" xfId="1991" xr:uid="{00000000-0005-0000-0000-0000C0070000}"/>
    <cellStyle name="Note" xfId="16" builtinId="10" customBuiltin="1"/>
    <cellStyle name="Note 2" xfId="1992" xr:uid="{00000000-0005-0000-0000-0000C2070000}"/>
    <cellStyle name="Output" xfId="11" builtinId="21" customBuiltin="1"/>
    <cellStyle name="Output 2" xfId="1993" xr:uid="{00000000-0005-0000-0000-0000C4070000}"/>
    <cellStyle name="Percent" xfId="1998" builtinId="5"/>
    <cellStyle name="Percent 2" xfId="54" xr:uid="{00000000-0005-0000-0000-0000C5070000}"/>
    <cellStyle name="Percent 3" xfId="53" xr:uid="{00000000-0005-0000-0000-0000C6070000}"/>
    <cellStyle name="Percent 4" xfId="1994" xr:uid="{00000000-0005-0000-0000-0000C7070000}"/>
    <cellStyle name="Title" xfId="2" builtinId="15" customBuiltin="1"/>
    <cellStyle name="Title 2" xfId="1995" xr:uid="{00000000-0005-0000-0000-0000C9070000}"/>
    <cellStyle name="Total" xfId="18" builtinId="25" customBuiltin="1"/>
    <cellStyle name="Total 2" xfId="1996" xr:uid="{00000000-0005-0000-0000-0000CB070000}"/>
    <cellStyle name="Warning Text" xfId="15" builtinId="11" customBuiltin="1"/>
    <cellStyle name="Warning Text 2" xfId="1997" xr:uid="{00000000-0005-0000-0000-0000CD070000}"/>
  </cellStyles>
  <dxfs count="3">
    <dxf>
      <fill>
        <patternFill>
          <bgColor rgb="FF001489"/>
        </patternFill>
      </fill>
    </dxf>
    <dxf>
      <fill>
        <patternFill>
          <bgColor rgb="FF6E06C1"/>
        </patternFill>
      </fill>
    </dxf>
    <dxf>
      <fill>
        <patternFill>
          <bgColor rgb="FF1E427C"/>
        </patternFill>
      </fill>
    </dxf>
  </dxfs>
  <tableStyles count="0" defaultTableStyle="TableStyleMedium2" defaultPivotStyle="PivotStyleLight16"/>
  <colors>
    <mruColors>
      <color rgb="FF001489"/>
      <color rgb="FF054B56"/>
      <color rgb="FFBDD3D7"/>
      <color rgb="FF6A6A6A"/>
      <color rgb="FF0053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emf"/><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jpeg"/><Relationship Id="rId5" Type="http://schemas.openxmlformats.org/officeDocument/2006/relationships/image" Target="../media/image6.png"/><Relationship Id="rId4" Type="http://schemas.openxmlformats.org/officeDocument/2006/relationships/image" Target="../media/image5.png"/><Relationship Id="rId9" Type="http://schemas.openxmlformats.org/officeDocument/2006/relationships/image" Target="../media/image10.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7.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 Id="rId4" Type="http://schemas.openxmlformats.org/officeDocument/2006/relationships/image" Target="../media/image16.png"/></Relationships>
</file>

<file path=xl/drawings/_rels/drawing8.xml.rels><?xml version="1.0" encoding="UTF-8" standalone="yes"?>
<Relationships xmlns="http://schemas.openxmlformats.org/package/2006/relationships"><Relationship Id="rId8" Type="http://schemas.openxmlformats.org/officeDocument/2006/relationships/image" Target="../media/image24.png"/><Relationship Id="rId13" Type="http://schemas.openxmlformats.org/officeDocument/2006/relationships/image" Target="../media/image29.png"/><Relationship Id="rId3" Type="http://schemas.openxmlformats.org/officeDocument/2006/relationships/image" Target="../media/image19.png"/><Relationship Id="rId7" Type="http://schemas.openxmlformats.org/officeDocument/2006/relationships/image" Target="../media/image23.png"/><Relationship Id="rId12" Type="http://schemas.openxmlformats.org/officeDocument/2006/relationships/image" Target="../media/image28.png"/><Relationship Id="rId2" Type="http://schemas.openxmlformats.org/officeDocument/2006/relationships/image" Target="../media/image18.png"/><Relationship Id="rId1" Type="http://schemas.openxmlformats.org/officeDocument/2006/relationships/image" Target="../media/image17.png"/><Relationship Id="rId6" Type="http://schemas.openxmlformats.org/officeDocument/2006/relationships/image" Target="../media/image22.png"/><Relationship Id="rId11" Type="http://schemas.openxmlformats.org/officeDocument/2006/relationships/image" Target="../media/image27.png"/><Relationship Id="rId5" Type="http://schemas.openxmlformats.org/officeDocument/2006/relationships/image" Target="../media/image21.png"/><Relationship Id="rId10" Type="http://schemas.openxmlformats.org/officeDocument/2006/relationships/image" Target="../media/image26.png"/><Relationship Id="rId4" Type="http://schemas.openxmlformats.org/officeDocument/2006/relationships/image" Target="../media/image20.png"/><Relationship Id="rId9" Type="http://schemas.openxmlformats.org/officeDocument/2006/relationships/image" Target="../media/image2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xdr:from>
      <xdr:col>7</xdr:col>
      <xdr:colOff>333375</xdr:colOff>
      <xdr:row>6</xdr:row>
      <xdr:rowOff>87480</xdr:rowOff>
    </xdr:from>
    <xdr:to>
      <xdr:col>11</xdr:col>
      <xdr:colOff>372222</xdr:colOff>
      <xdr:row>14</xdr:row>
      <xdr:rowOff>68655</xdr:rowOff>
    </xdr:to>
    <xdr:pic>
      <xdr:nvPicPr>
        <xdr:cNvPr id="2" name="Picture 1">
          <a:extLst>
            <a:ext uri="{FF2B5EF4-FFF2-40B4-BE49-F238E27FC236}">
              <a16:creationId xmlns:a16="http://schemas.microsoft.com/office/drawing/2014/main" id="{F7E990BD-CAE3-45F4-9802-6A25956908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45100" y="1655930"/>
          <a:ext cx="2667747" cy="1428975"/>
        </a:xfrm>
        <a:prstGeom prst="rect">
          <a:avLst/>
        </a:prstGeom>
        <a:ln>
          <a:noFill/>
        </a:ln>
      </xdr:spPr>
    </xdr:pic>
    <xdr:clientData/>
  </xdr:twoCellAnchor>
  <xdr:twoCellAnchor>
    <xdr:from>
      <xdr:col>14</xdr:col>
      <xdr:colOff>331132</xdr:colOff>
      <xdr:row>7</xdr:row>
      <xdr:rowOff>35149</xdr:rowOff>
    </xdr:from>
    <xdr:to>
      <xdr:col>18</xdr:col>
      <xdr:colOff>264272</xdr:colOff>
      <xdr:row>13</xdr:row>
      <xdr:rowOff>155405</xdr:rowOff>
    </xdr:to>
    <xdr:pic>
      <xdr:nvPicPr>
        <xdr:cNvPr id="3" name="PPLReport">
          <a:extLst>
            <a:ext uri="{FF2B5EF4-FFF2-40B4-BE49-F238E27FC236}">
              <a16:creationId xmlns:a16="http://schemas.microsoft.com/office/drawing/2014/main" id="{FC4EC829-DDD7-473E-A2AB-3C282D09376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935382" y="1787749"/>
          <a:ext cx="2558865" cy="1206106"/>
        </a:xfrm>
        <a:prstGeom prst="rect">
          <a:avLst/>
        </a:prstGeom>
      </xdr:spPr>
    </xdr:pic>
    <xdr:clientData/>
  </xdr:twoCellAnchor>
  <xdr:twoCellAnchor>
    <xdr:from>
      <xdr:col>14</xdr:col>
      <xdr:colOff>189003</xdr:colOff>
      <xdr:row>16</xdr:row>
      <xdr:rowOff>11394</xdr:rowOff>
    </xdr:from>
    <xdr:to>
      <xdr:col>16</xdr:col>
      <xdr:colOff>278092</xdr:colOff>
      <xdr:row>24</xdr:row>
      <xdr:rowOff>128488</xdr:rowOff>
    </xdr:to>
    <xdr:pic>
      <xdr:nvPicPr>
        <xdr:cNvPr id="4" name="PECOReport">
          <a:extLst>
            <a:ext uri="{FF2B5EF4-FFF2-40B4-BE49-F238E27FC236}">
              <a16:creationId xmlns:a16="http://schemas.microsoft.com/office/drawing/2014/main" id="{1626FC63-E675-49D0-9E38-ED79EE533723}"/>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22987" t="9316" r="17047" b="17169"/>
        <a:stretch>
          <a:fillRect/>
        </a:stretch>
      </xdr:blipFill>
      <xdr:spPr>
        <a:xfrm>
          <a:off x="8790078" y="3389594"/>
          <a:ext cx="1400364" cy="1564894"/>
        </a:xfrm>
        <a:prstGeom prst="rect">
          <a:avLst/>
        </a:prstGeom>
        <a:ln>
          <a:noFill/>
        </a:ln>
      </xdr:spPr>
    </xdr:pic>
    <xdr:clientData/>
  </xdr:twoCellAnchor>
  <xdr:twoCellAnchor>
    <xdr:from>
      <xdr:col>7</xdr:col>
      <xdr:colOff>395941</xdr:colOff>
      <xdr:row>15</xdr:row>
      <xdr:rowOff>178726</xdr:rowOff>
    </xdr:from>
    <xdr:to>
      <xdr:col>9</xdr:col>
      <xdr:colOff>605116</xdr:colOff>
      <xdr:row>24</xdr:row>
      <xdr:rowOff>171823</xdr:rowOff>
    </xdr:to>
    <xdr:pic>
      <xdr:nvPicPr>
        <xdr:cNvPr id="5" name="Picture 4">
          <a:extLst>
            <a:ext uri="{FF2B5EF4-FFF2-40B4-BE49-F238E27FC236}">
              <a16:creationId xmlns:a16="http://schemas.microsoft.com/office/drawing/2014/main" id="{B2FBB14A-1FF0-4084-A7AA-73FF60D14609}"/>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695" r="-1954" b="-3362"/>
        <a:stretch>
          <a:fillRect/>
        </a:stretch>
      </xdr:blipFill>
      <xdr:spPr>
        <a:xfrm>
          <a:off x="5307666" y="3382301"/>
          <a:ext cx="1523625" cy="1618697"/>
        </a:xfrm>
        <a:prstGeom prst="rect">
          <a:avLst/>
        </a:prstGeom>
        <a:ln>
          <a:noFill/>
        </a:ln>
      </xdr:spPr>
    </xdr:pic>
    <xdr:clientData/>
  </xdr:twoCellAnchor>
  <xdr:twoCellAnchor>
    <xdr:from>
      <xdr:col>7</xdr:col>
      <xdr:colOff>14941</xdr:colOff>
      <xdr:row>27</xdr:row>
      <xdr:rowOff>48330</xdr:rowOff>
    </xdr:from>
    <xdr:to>
      <xdr:col>11</xdr:col>
      <xdr:colOff>605118</xdr:colOff>
      <xdr:row>34</xdr:row>
      <xdr:rowOff>9524</xdr:rowOff>
    </xdr:to>
    <xdr:pic>
      <xdr:nvPicPr>
        <xdr:cNvPr id="6" name="Picture 5">
          <a:extLst>
            <a:ext uri="{FF2B5EF4-FFF2-40B4-BE49-F238E27FC236}">
              <a16:creationId xmlns:a16="http://schemas.microsoft.com/office/drawing/2014/main" id="{5ACCC495-00AE-4AE8-ACD2-59A14347B7D6}"/>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7403" r="5327"/>
        <a:stretch>
          <a:fillRect/>
        </a:stretch>
      </xdr:blipFill>
      <xdr:spPr>
        <a:xfrm>
          <a:off x="4926666" y="5417255"/>
          <a:ext cx="3219077" cy="1234369"/>
        </a:xfrm>
        <a:prstGeom prst="rect">
          <a:avLst/>
        </a:prstGeom>
      </xdr:spPr>
    </xdr:pic>
    <xdr:clientData/>
  </xdr:twoCellAnchor>
  <xdr:twoCellAnchor>
    <xdr:from>
      <xdr:col>14</xdr:col>
      <xdr:colOff>59764</xdr:colOff>
      <xdr:row>27</xdr:row>
      <xdr:rowOff>57150</xdr:rowOff>
    </xdr:from>
    <xdr:to>
      <xdr:col>18</xdr:col>
      <xdr:colOff>567764</xdr:colOff>
      <xdr:row>34</xdr:row>
      <xdr:rowOff>18415</xdr:rowOff>
    </xdr:to>
    <xdr:pic>
      <xdr:nvPicPr>
        <xdr:cNvPr id="7" name="Picture 6">
          <a:extLst>
            <a:ext uri="{FF2B5EF4-FFF2-40B4-BE49-F238E27FC236}">
              <a16:creationId xmlns:a16="http://schemas.microsoft.com/office/drawing/2014/main" id="{9BE84342-B5A8-43A5-B067-5624FAD59DE6}"/>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8226" r="8248"/>
        <a:stretch>
          <a:fillRect/>
        </a:stretch>
      </xdr:blipFill>
      <xdr:spPr>
        <a:xfrm>
          <a:off x="8660839" y="5429250"/>
          <a:ext cx="3133725" cy="122809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66118</xdr:colOff>
          <xdr:row>0</xdr:row>
          <xdr:rowOff>48559</xdr:rowOff>
        </xdr:from>
        <xdr:to>
          <xdr:col>1</xdr:col>
          <xdr:colOff>1154108</xdr:colOff>
          <xdr:row>0</xdr:row>
          <xdr:rowOff>587561</xdr:rowOff>
        </xdr:to>
        <xdr:pic>
          <xdr:nvPicPr>
            <xdr:cNvPr id="8" name="Picture 7">
              <a:extLst>
                <a:ext uri="{FF2B5EF4-FFF2-40B4-BE49-F238E27FC236}">
                  <a16:creationId xmlns:a16="http://schemas.microsoft.com/office/drawing/2014/main" id="{40A93CBC-CEDA-42F1-9BB8-91CB3570CE9F}"/>
                </a:ext>
              </a:extLst>
            </xdr:cNvPr>
            <xdr:cNvPicPr>
              <a:picLocks noChangeAspect="1" noChangeArrowheads="1"/>
              <a:extLst>
                <a:ext uri="{84589F7E-364E-4C9E-8A38-B11213B215E9}">
                  <a14:cameraTool cellRange="Logo" spid="_x0000_s18455"/>
                </a:ext>
              </a:extLst>
            </xdr:cNvPicPr>
          </xdr:nvPicPr>
          <xdr:blipFill>
            <a:blip xmlns:r="http://schemas.openxmlformats.org/officeDocument/2006/relationships" r:embed="rId7"/>
            <a:srcRect/>
            <a:stretch>
              <a:fillRect/>
            </a:stretch>
          </xdr:blipFill>
          <xdr:spPr bwMode="auto">
            <a:xfrm>
              <a:off x="323853" y="48559"/>
              <a:ext cx="1087990" cy="539002"/>
            </a:xfrm>
            <a:prstGeom prst="rect">
              <a:avLst/>
            </a:prstGeom>
            <a:noFill/>
            <a:ln w="9525">
              <a:noFill/>
              <a:miter lim="800000"/>
              <a:headEnd/>
              <a:tailEnd/>
            </a:ln>
          </xdr:spPr>
        </xdr:pic>
        <xdr:clientData/>
      </xdr:twoCellAnchor>
    </mc:Choice>
    <mc:Fallback/>
  </mc:AlternateContent>
  <xdr:twoCellAnchor editAs="oneCell">
    <xdr:from>
      <xdr:col>0</xdr:col>
      <xdr:colOff>231589</xdr:colOff>
      <xdr:row>11</xdr:row>
      <xdr:rowOff>7470</xdr:rowOff>
    </xdr:from>
    <xdr:to>
      <xdr:col>5</xdr:col>
      <xdr:colOff>12695</xdr:colOff>
      <xdr:row>16</xdr:row>
      <xdr:rowOff>74705</xdr:rowOff>
    </xdr:to>
    <xdr:pic>
      <xdr:nvPicPr>
        <xdr:cNvPr id="9" name="Picture 8">
          <a:extLst>
            <a:ext uri="{FF2B5EF4-FFF2-40B4-BE49-F238E27FC236}">
              <a16:creationId xmlns:a16="http://schemas.microsoft.com/office/drawing/2014/main" id="{FEF5ADDB-AA1E-4F14-B063-500EBBBF5D15}"/>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1589" y="2487145"/>
          <a:ext cx="4095931" cy="968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16</xdr:row>
      <xdr:rowOff>96405</xdr:rowOff>
    </xdr:from>
    <xdr:to>
      <xdr:col>5</xdr:col>
      <xdr:colOff>293255</xdr:colOff>
      <xdr:row>29</xdr:row>
      <xdr:rowOff>36590</xdr:rowOff>
    </xdr:to>
    <xdr:pic>
      <xdr:nvPicPr>
        <xdr:cNvPr id="10" name="Picture 9">
          <a:extLst>
            <a:ext uri="{FF2B5EF4-FFF2-40B4-BE49-F238E27FC236}">
              <a16:creationId xmlns:a16="http://schemas.microsoft.com/office/drawing/2014/main" id="{2AA32D2A-D007-4452-B9C4-06D2B129B3D6}"/>
            </a:ext>
          </a:extLst>
        </xdr:cNvPr>
        <xdr:cNvPicPr>
          <a:picLocks noChangeAspect="1" noChangeArrowheads="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r="10973"/>
        <a:stretch>
          <a:fillRect/>
        </a:stretch>
      </xdr:blipFill>
      <xdr:spPr bwMode="auto">
        <a:xfrm>
          <a:off x="0" y="3477780"/>
          <a:ext cx="4608080" cy="2292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xdr:colOff>
      <xdr:row>0</xdr:row>
      <xdr:rowOff>0</xdr:rowOff>
    </xdr:from>
    <xdr:to>
      <xdr:col>1</xdr:col>
      <xdr:colOff>1409701</xdr:colOff>
      <xdr:row>1</xdr:row>
      <xdr:rowOff>30596</xdr:rowOff>
    </xdr:to>
    <xdr:pic>
      <xdr:nvPicPr>
        <xdr:cNvPr id="4" name="Picture 3">
          <a:extLst>
            <a:ext uri="{FF2B5EF4-FFF2-40B4-BE49-F238E27FC236}">
              <a16:creationId xmlns:a16="http://schemas.microsoft.com/office/drawing/2014/main" id="{06EBCD00-C7BE-4FAA-8BED-87F11978F7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1" y="0"/>
          <a:ext cx="1409700" cy="8465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521970</xdr:colOff>
      <xdr:row>4</xdr:row>
      <xdr:rowOff>11430</xdr:rowOff>
    </xdr:from>
    <xdr:to>
      <xdr:col>21</xdr:col>
      <xdr:colOff>346710</xdr:colOff>
      <xdr:row>16</xdr:row>
      <xdr:rowOff>249555</xdr:rowOff>
    </xdr:to>
    <xdr:sp macro="" textlink="">
      <xdr:nvSpPr>
        <xdr:cNvPr id="15" name="TextBox 1">
          <a:extLst>
            <a:ext uri="{FF2B5EF4-FFF2-40B4-BE49-F238E27FC236}">
              <a16:creationId xmlns:a16="http://schemas.microsoft.com/office/drawing/2014/main" id="{FB70BA43-9E28-4C72-B64B-C1DEDEADFB40}"/>
            </a:ext>
          </a:extLst>
        </xdr:cNvPr>
        <xdr:cNvSpPr txBox="1"/>
      </xdr:nvSpPr>
      <xdr:spPr>
        <a:xfrm>
          <a:off x="8999220" y="1116330"/>
          <a:ext cx="5158740" cy="3657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u="sng">
              <a:solidFill>
                <a:srgbClr val="001489"/>
              </a:solidFill>
              <a:effectLst/>
              <a:latin typeface="+mn-lt"/>
              <a:ea typeface="+mn-ea"/>
              <a:cs typeface="+mn-cs"/>
            </a:rPr>
            <a:t>Eligibility:</a:t>
          </a:r>
        </a:p>
        <a:p>
          <a:pPr hangingPunct="0"/>
          <a:r>
            <a:rPr lang="en-US" sz="1100">
              <a:solidFill>
                <a:srgbClr val="001489"/>
              </a:solidFill>
              <a:effectLst/>
              <a:latin typeface="+mn-lt"/>
              <a:ea typeface="+mn-ea"/>
              <a:cs typeface="+mn-cs"/>
            </a:rPr>
            <a:t>Distribution transformers are used in some multifamily, commercial and industrial applications to step down power from distribution voltage to be used in HVAC or process loads (208V or 480V) or to serve plug loads (120V).</a:t>
          </a:r>
          <a:r>
            <a:rPr lang="en-US" sz="1100" baseline="0">
              <a:solidFill>
                <a:srgbClr val="001489"/>
              </a:solidFill>
              <a:effectLst/>
              <a:latin typeface="+mn-lt"/>
              <a:ea typeface="+mn-ea"/>
              <a:cs typeface="+mn-cs"/>
            </a:rPr>
            <a:t> </a:t>
          </a:r>
          <a:r>
            <a:rPr lang="en-US" sz="1100">
              <a:solidFill>
                <a:srgbClr val="001489"/>
              </a:solidFill>
              <a:effectLst/>
              <a:latin typeface="+mn-lt"/>
              <a:ea typeface="+mn-ea"/>
              <a:cs typeface="+mn-cs"/>
            </a:rPr>
            <a:t>Distribution transformers that are more efficient than the required minimum federal standard efficiency qualify for this measure. </a:t>
          </a:r>
        </a:p>
        <a:p>
          <a:pPr hangingPunct="0"/>
          <a:r>
            <a:rPr lang="en-US" sz="1100">
              <a:solidFill>
                <a:srgbClr val="001489"/>
              </a:solidFill>
              <a:effectLst/>
              <a:latin typeface="+mn-lt"/>
              <a:ea typeface="+mn-ea"/>
              <a:cs typeface="+mn-cs"/>
            </a:rPr>
            <a:t> </a:t>
          </a:r>
        </a:p>
        <a:p>
          <a:pPr hangingPunct="0"/>
          <a:r>
            <a:rPr lang="en-US" sz="1100">
              <a:solidFill>
                <a:srgbClr val="001489"/>
              </a:solidFill>
              <a:effectLst/>
              <a:latin typeface="+mn-lt"/>
              <a:ea typeface="+mn-ea"/>
              <a:cs typeface="+mn-cs"/>
            </a:rPr>
            <a:t>The baseline equipment is a transformer that meets the minimum federal efficiency requirement</a:t>
          </a:r>
          <a:r>
            <a:rPr lang="en-US" sz="1100" baseline="0">
              <a:solidFill>
                <a:srgbClr val="001489"/>
              </a:solidFill>
              <a:effectLst/>
              <a:latin typeface="+mn-lt"/>
              <a:ea typeface="+mn-ea"/>
              <a:cs typeface="+mn-cs"/>
            </a:rPr>
            <a:t> </a:t>
          </a:r>
          <a:r>
            <a:rPr lang="en-US" sz="1100">
              <a:solidFill>
                <a:srgbClr val="001489"/>
              </a:solidFill>
              <a:effectLst/>
              <a:latin typeface="+mn-lt"/>
              <a:ea typeface="+mn-ea"/>
              <a:cs typeface="+mn-cs"/>
            </a:rPr>
            <a:t>published in Federal Register 10CFR 431. </a:t>
          </a:r>
          <a:r>
            <a:rPr lang="en-US" sz="1100" u="sng">
              <a:solidFill>
                <a:srgbClr val="001489"/>
              </a:solidFill>
              <a:effectLst/>
              <a:latin typeface="+mn-lt"/>
              <a:ea typeface="+mn-ea"/>
              <a:cs typeface="+mn-cs"/>
            </a:rPr>
            <a:t>Transformers more efficient than the federal minimum standard are eligible</a:t>
          </a:r>
          <a:r>
            <a:rPr lang="en-US" sz="1100">
              <a:solidFill>
                <a:srgbClr val="001489"/>
              </a:solidFill>
              <a:effectLst/>
              <a:latin typeface="+mn-lt"/>
              <a:ea typeface="+mn-ea"/>
              <a:cs typeface="+mn-cs"/>
            </a:rPr>
            <a:t>. This includes CEE Tier II (single or three phase) and most NEMA premium efficiency rated products. </a:t>
          </a:r>
          <a:r>
            <a:rPr lang="en-US" sz="1100" u="sng">
              <a:solidFill>
                <a:srgbClr val="001489"/>
              </a:solidFill>
              <a:effectLst/>
              <a:latin typeface="+mn-lt"/>
              <a:ea typeface="+mn-ea"/>
              <a:cs typeface="+mn-cs"/>
            </a:rPr>
            <a:t>Projects with liquid-immersed distribution transformers and medium voltage dry type transformer energy savings should be treated as custom projects.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630114</xdr:colOff>
      <xdr:row>4</xdr:row>
      <xdr:rowOff>43962</xdr:rowOff>
    </xdr:from>
    <xdr:to>
      <xdr:col>15</xdr:col>
      <xdr:colOff>439615</xdr:colOff>
      <xdr:row>16</xdr:row>
      <xdr:rowOff>124558</xdr:rowOff>
    </xdr:to>
    <xdr:sp macro="" textlink="">
      <xdr:nvSpPr>
        <xdr:cNvPr id="2" name="TextBox 1">
          <a:extLst>
            <a:ext uri="{FF2B5EF4-FFF2-40B4-BE49-F238E27FC236}">
              <a16:creationId xmlns:a16="http://schemas.microsoft.com/office/drawing/2014/main" id="{D683DF7D-CF41-3429-4FD5-04D85D85A544}"/>
            </a:ext>
          </a:extLst>
        </xdr:cNvPr>
        <xdr:cNvSpPr txBox="1"/>
      </xdr:nvSpPr>
      <xdr:spPr>
        <a:xfrm>
          <a:off x="5407268" y="1384789"/>
          <a:ext cx="3143251" cy="3560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u="sng">
              <a:solidFill>
                <a:srgbClr val="054B56"/>
              </a:solidFill>
              <a:effectLst/>
              <a:latin typeface="+mn-lt"/>
              <a:ea typeface="+mn-ea"/>
              <a:cs typeface="Arial" panose="020B0604020202020204" pitchFamily="34" charset="0"/>
            </a:rPr>
            <a:t>Eligibility:</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rgbClr val="054B56"/>
              </a:solidFill>
              <a:effectLst/>
              <a:latin typeface="+mn-lt"/>
              <a:ea typeface="+mn-ea"/>
              <a:cs typeface="Arial" panose="020B0604020202020204" pitchFamily="34" charset="0"/>
            </a:rPr>
            <a:t>This measure targets the energy savings attributed to installation of engine block heater timers in commercial, industrial, and agricultural establishments. The baseline for this measure is an engine block heater in use without a timer.</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solidFill>
              <a:srgbClr val="054B56"/>
            </a:solidFill>
            <a:effectLst/>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rgbClr val="054B56"/>
              </a:solidFill>
              <a:effectLst/>
              <a:latin typeface="+mn-lt"/>
              <a:ea typeface="+mn-ea"/>
              <a:cs typeface="Arial" panose="020B0604020202020204" pitchFamily="34" charset="0"/>
            </a:rPr>
            <a:t>Engine block heater timers save energy by reducing the time that engine block heaters operate. Typically, block heaters are plugged in throughout the night. Using timers allows the heater to come on at a preset time during the night in lieu of operating continuously. This measure does not affect peak period usage due to expected nighttime operation and there are no summer or winter peak demand savings associated with the measure.</a:t>
          </a:r>
        </a:p>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13</xdr:col>
      <xdr:colOff>78354</xdr:colOff>
      <xdr:row>4</xdr:row>
      <xdr:rowOff>109579</xdr:rowOff>
    </xdr:from>
    <xdr:ext cx="4547152" cy="2201244"/>
    <xdr:sp macro="" textlink="">
      <xdr:nvSpPr>
        <xdr:cNvPr id="2" name="TextBox 1">
          <a:extLst>
            <a:ext uri="{FF2B5EF4-FFF2-40B4-BE49-F238E27FC236}">
              <a16:creationId xmlns:a16="http://schemas.microsoft.com/office/drawing/2014/main" id="{817D18BA-3D18-49F2-C242-A7FA0721721C}"/>
            </a:ext>
          </a:extLst>
        </xdr:cNvPr>
        <xdr:cNvSpPr txBox="1"/>
      </xdr:nvSpPr>
      <xdr:spPr>
        <a:xfrm>
          <a:off x="7309071" y="1211166"/>
          <a:ext cx="4547152" cy="2201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hangingPunct="0"/>
          <a:r>
            <a:rPr lang="en-US" sz="1100" u="sng">
              <a:solidFill>
                <a:srgbClr val="001489"/>
              </a:solidFill>
              <a:effectLst/>
              <a:latin typeface="+mn-lt"/>
              <a:ea typeface="+mn-ea"/>
              <a:cs typeface="+mn-cs"/>
            </a:rPr>
            <a:t>Eligibility:</a:t>
          </a:r>
        </a:p>
        <a:p>
          <a:pPr hangingPunct="0"/>
          <a:r>
            <a:rPr lang="en-US" sz="1100">
              <a:solidFill>
                <a:srgbClr val="001489"/>
              </a:solidFill>
              <a:effectLst/>
              <a:latin typeface="+mn-lt"/>
              <a:ea typeface="+mn-ea"/>
              <a:cs typeface="+mn-cs"/>
            </a:rPr>
            <a:t>This measure applies to industrial high frequency battery chargers, used for industrial equipment such as fork lifts, replacing existing SCR (silicon controlled rectifier) or ferroresonant charging technology. They have a greater efficiency than silicon controlled rectifier (SCR) or ferroresonant chargers. </a:t>
          </a:r>
        </a:p>
        <a:p>
          <a:pPr hangingPunct="0"/>
          <a:r>
            <a:rPr lang="en-US" sz="1100">
              <a:solidFill>
                <a:srgbClr val="001489"/>
              </a:solidFill>
              <a:effectLst/>
              <a:latin typeface="+mn-lt"/>
              <a:ea typeface="+mn-ea"/>
              <a:cs typeface="+mn-cs"/>
            </a:rPr>
            <a:t> </a:t>
          </a:r>
        </a:p>
        <a:p>
          <a:pPr hangingPunct="0"/>
          <a:r>
            <a:rPr lang="en-US" sz="1100">
              <a:solidFill>
                <a:srgbClr val="001489"/>
              </a:solidFill>
              <a:effectLst/>
              <a:latin typeface="+mn-lt"/>
              <a:ea typeface="+mn-ea"/>
              <a:cs typeface="+mn-cs"/>
            </a:rPr>
            <a:t>The baseline equipment is a SCR or ferroresonant battery charger system with minimum 8-hour shift operation five days per week</a:t>
          </a:r>
          <a:r>
            <a:rPr lang="en-US" sz="1100" b="1">
              <a:solidFill>
                <a:srgbClr val="001489"/>
              </a:solidFill>
              <a:effectLst/>
              <a:latin typeface="+mn-lt"/>
              <a:ea typeface="+mn-ea"/>
              <a:cs typeface="+mn-cs"/>
            </a:rPr>
            <a:t>.</a:t>
          </a:r>
          <a:r>
            <a:rPr lang="en-US" sz="1100">
              <a:solidFill>
                <a:srgbClr val="001489"/>
              </a:solidFill>
              <a:effectLst/>
              <a:latin typeface="+mn-lt"/>
              <a:ea typeface="+mn-ea"/>
              <a:cs typeface="+mn-cs"/>
            </a:rPr>
            <a:t> </a:t>
          </a:r>
          <a:r>
            <a:rPr lang="en-US" sz="1100" u="sng">
              <a:solidFill>
                <a:srgbClr val="001489"/>
              </a:solidFill>
              <a:effectLst/>
              <a:latin typeface="+mn-lt"/>
              <a:ea typeface="+mn-ea"/>
              <a:cs typeface="+mn-cs"/>
            </a:rPr>
            <a:t>The energy efficient equipment is a high frequency battery charger system with a minimum power conversion efficiency of 90% and 8-hour shift operation five days per week.</a:t>
          </a:r>
        </a:p>
        <a:p>
          <a:endParaRPr lang="en-US"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18</xdr:col>
      <xdr:colOff>99392</xdr:colOff>
      <xdr:row>6</xdr:row>
      <xdr:rowOff>314740</xdr:rowOff>
    </xdr:from>
    <xdr:ext cx="6551543" cy="2850139"/>
    <xdr:sp macro="" textlink="">
      <xdr:nvSpPr>
        <xdr:cNvPr id="168" name="TextBox 1">
          <a:extLst>
            <a:ext uri="{FF2B5EF4-FFF2-40B4-BE49-F238E27FC236}">
              <a16:creationId xmlns:a16="http://schemas.microsoft.com/office/drawing/2014/main" id="{7405B3E6-FCFF-4EBD-BB65-62C0E5A851AF}"/>
            </a:ext>
          </a:extLst>
        </xdr:cNvPr>
        <xdr:cNvSpPr txBox="1"/>
      </xdr:nvSpPr>
      <xdr:spPr>
        <a:xfrm>
          <a:off x="13227327" y="1813892"/>
          <a:ext cx="6551543" cy="28501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hangingPunct="0"/>
          <a:r>
            <a:rPr lang="en-US" sz="1100" u="sng">
              <a:solidFill>
                <a:srgbClr val="054B56"/>
              </a:solidFill>
              <a:effectLst/>
              <a:latin typeface="+mn-lt"/>
              <a:ea typeface="+mn-ea"/>
              <a:cs typeface="+mn-cs"/>
            </a:rPr>
            <a:t>Eligibility:</a:t>
          </a:r>
        </a:p>
        <a:p>
          <a:pPr hangingPunct="0"/>
          <a:r>
            <a:rPr lang="en-US" sz="1100" b="0" i="0" u="none" strike="noStrike" baseline="0">
              <a:solidFill>
                <a:srgbClr val="054B56"/>
              </a:solidFill>
              <a:latin typeface="+mn-lt"/>
              <a:ea typeface="+mn-ea"/>
              <a:cs typeface="+mn-cs"/>
            </a:rPr>
            <a:t>This measure applies to electric ENERGY STAR version 2.0 UPS alternating current output systems installed in conjunction with a replace on burnout or new construction project. To qualify for this measure, the installed equipment must be a UPS system less than 2 kW which connects to a 15A single phase 120V outlet (NEMA 5-15A) and has earned the ENERGY STAR label source 4. UPS systems larger than 2 kW should follow a custom measure savings track to adequately consider variable parameters for these conditions. </a:t>
          </a:r>
        </a:p>
        <a:p>
          <a:pPr hangingPunct="0"/>
          <a:endParaRPr lang="en-US" sz="1100" b="0" i="0" u="none" strike="noStrike" baseline="0">
            <a:solidFill>
              <a:srgbClr val="054B56"/>
            </a:solidFill>
            <a:latin typeface="+mn-lt"/>
            <a:ea typeface="+mn-ea"/>
            <a:cs typeface="+mn-cs"/>
          </a:endParaRPr>
        </a:p>
        <a:p>
          <a:pPr hangingPunct="0"/>
          <a:r>
            <a:rPr lang="en-US" sz="1100" b="0" i="0" u="none" strike="noStrike" baseline="0">
              <a:solidFill>
                <a:srgbClr val="054B56"/>
              </a:solidFill>
              <a:latin typeface="+mn-lt"/>
              <a:ea typeface="+mn-ea"/>
              <a:cs typeface="+mn-cs"/>
            </a:rPr>
            <a:t>Eligible UPS Product Types include,</a:t>
          </a:r>
        </a:p>
        <a:p>
          <a:pPr hangingPunct="0"/>
          <a:r>
            <a:rPr lang="en-US" sz="1100" b="1" i="0" u="none" strike="noStrike" baseline="0">
              <a:solidFill>
                <a:schemeClr val="tx1"/>
              </a:solidFill>
              <a:latin typeface="+mn-lt"/>
              <a:ea typeface="+mn-ea"/>
              <a:cs typeface="+mn-cs"/>
            </a:rPr>
            <a:t>Voltage and Frequency Dependent (VFD) UPS </a:t>
          </a:r>
          <a:r>
            <a:rPr lang="en-US" sz="1100" b="0" i="0" u="none" strike="noStrike" baseline="0">
              <a:solidFill>
                <a:schemeClr val="tx1"/>
              </a:solidFill>
              <a:latin typeface="+mn-lt"/>
              <a:ea typeface="+mn-ea"/>
              <a:cs typeface="+mn-cs"/>
            </a:rPr>
            <a:t>: A UPS that produces an alternating current (AC) output where the output voltage and frequency are dependent on the input voltage and frequency. </a:t>
          </a:r>
          <a:r>
            <a:rPr lang="en-US" sz="1100" b="1" i="0" u="none" strike="noStrike" baseline="0">
              <a:solidFill>
                <a:schemeClr val="tx1"/>
              </a:solidFill>
              <a:latin typeface="+mn-lt"/>
              <a:ea typeface="+mn-ea"/>
              <a:cs typeface="+mn-cs"/>
            </a:rPr>
            <a:t>Voltage Independent (VI) UPS</a:t>
          </a:r>
          <a:r>
            <a:rPr lang="en-US" sz="1100" b="0" i="0" u="none" strike="noStrike" baseline="0">
              <a:solidFill>
                <a:schemeClr val="tx1"/>
              </a:solidFill>
              <a:latin typeface="+mn-lt"/>
              <a:ea typeface="+mn-ea"/>
              <a:cs typeface="+mn-cs"/>
            </a:rPr>
            <a:t>: Capable of protecting the load as required for VFD, above, plus additional protection from under- or over-voltage applied continuously to the input. </a:t>
          </a:r>
        </a:p>
        <a:p>
          <a:r>
            <a:rPr lang="en-US" sz="1100" b="1" i="0" u="none" strike="noStrike" baseline="0">
              <a:solidFill>
                <a:schemeClr val="tx1"/>
              </a:solidFill>
              <a:latin typeface="+mn-lt"/>
              <a:ea typeface="+mn-ea"/>
              <a:cs typeface="+mn-cs"/>
            </a:rPr>
            <a:t>Voltage and Frequency Independent (VFI)</a:t>
          </a:r>
          <a:r>
            <a:rPr lang="en-US" sz="1100" b="0" i="0" u="none" strike="noStrike" baseline="0">
              <a:solidFill>
                <a:schemeClr val="tx1"/>
              </a:solidFill>
              <a:latin typeface="+mn-lt"/>
              <a:ea typeface="+mn-ea"/>
              <a:cs typeface="+mn-cs"/>
            </a:rPr>
            <a:t>: A UPS where the device remains in normal mode producing an AC output voltage and frequency that is independent of input voltage and frequency variations as it protects the load against adverse effects from waveform variations without depleting the stored energy source. </a:t>
          </a:r>
          <a:endParaRPr lang="en-US" sz="1100">
            <a:solidFill>
              <a:srgbClr val="054B56"/>
            </a:solidFill>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3</xdr:col>
      <xdr:colOff>0</xdr:colOff>
      <xdr:row>37</xdr:row>
      <xdr:rowOff>0</xdr:rowOff>
    </xdr:from>
    <xdr:to>
      <xdr:col>3</xdr:col>
      <xdr:colOff>66675</xdr:colOff>
      <xdr:row>38</xdr:row>
      <xdr:rowOff>28575</xdr:rowOff>
    </xdr:to>
    <xdr:pic>
      <xdr:nvPicPr>
        <xdr:cNvPr id="2" name="Picture 1">
          <a:extLst>
            <a:ext uri="{FF2B5EF4-FFF2-40B4-BE49-F238E27FC236}">
              <a16:creationId xmlns:a16="http://schemas.microsoft.com/office/drawing/2014/main" id="{25DD922A-ADDD-4501-BE6A-CEB100B5C21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09950" y="7181850"/>
          <a:ext cx="6667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39</xdr:row>
      <xdr:rowOff>0</xdr:rowOff>
    </xdr:from>
    <xdr:to>
      <xdr:col>3</xdr:col>
      <xdr:colOff>323850</xdr:colOff>
      <xdr:row>40</xdr:row>
      <xdr:rowOff>28575</xdr:rowOff>
    </xdr:to>
    <xdr:pic>
      <xdr:nvPicPr>
        <xdr:cNvPr id="3" name="Picture 2">
          <a:extLst>
            <a:ext uri="{FF2B5EF4-FFF2-40B4-BE49-F238E27FC236}">
              <a16:creationId xmlns:a16="http://schemas.microsoft.com/office/drawing/2014/main" id="{C3FD8472-DEA3-46A6-A678-9188D9809A6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09950" y="7543800"/>
          <a:ext cx="3238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41</xdr:row>
      <xdr:rowOff>0</xdr:rowOff>
    </xdr:from>
    <xdr:to>
      <xdr:col>3</xdr:col>
      <xdr:colOff>257175</xdr:colOff>
      <xdr:row>41</xdr:row>
      <xdr:rowOff>209550</xdr:rowOff>
    </xdr:to>
    <xdr:pic>
      <xdr:nvPicPr>
        <xdr:cNvPr id="4" name="Picture 3">
          <a:extLst>
            <a:ext uri="{FF2B5EF4-FFF2-40B4-BE49-F238E27FC236}">
              <a16:creationId xmlns:a16="http://schemas.microsoft.com/office/drawing/2014/main" id="{F42ACD07-934B-4829-920B-499D4E3FDEBB}"/>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09950" y="7905750"/>
          <a:ext cx="25717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43</xdr:row>
      <xdr:rowOff>0</xdr:rowOff>
    </xdr:from>
    <xdr:to>
      <xdr:col>3</xdr:col>
      <xdr:colOff>152400</xdr:colOff>
      <xdr:row>43</xdr:row>
      <xdr:rowOff>209550</xdr:rowOff>
    </xdr:to>
    <xdr:pic>
      <xdr:nvPicPr>
        <xdr:cNvPr id="5" name="Picture 4">
          <a:extLst>
            <a:ext uri="{FF2B5EF4-FFF2-40B4-BE49-F238E27FC236}">
              <a16:creationId xmlns:a16="http://schemas.microsoft.com/office/drawing/2014/main" id="{FBE4C18A-6175-492D-96C3-2DB029BEA2DD}"/>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09950" y="8458200"/>
          <a:ext cx="1524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19</xdr:row>
      <xdr:rowOff>0</xdr:rowOff>
    </xdr:from>
    <xdr:to>
      <xdr:col>2</xdr:col>
      <xdr:colOff>19050</xdr:colOff>
      <xdr:row>19</xdr:row>
      <xdr:rowOff>209550</xdr:rowOff>
    </xdr:to>
    <xdr:pic>
      <xdr:nvPicPr>
        <xdr:cNvPr id="15" name="Picture 14">
          <a:extLst>
            <a:ext uri="{FF2B5EF4-FFF2-40B4-BE49-F238E27FC236}">
              <a16:creationId xmlns:a16="http://schemas.microsoft.com/office/drawing/2014/main" id="{F1986226-8BCE-439E-82F2-147E33F6AD37}"/>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3038475"/>
          <a:ext cx="6858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20</xdr:row>
      <xdr:rowOff>0</xdr:rowOff>
    </xdr:from>
    <xdr:to>
      <xdr:col>1</xdr:col>
      <xdr:colOff>390525</xdr:colOff>
      <xdr:row>20</xdr:row>
      <xdr:rowOff>209550</xdr:rowOff>
    </xdr:to>
    <xdr:pic>
      <xdr:nvPicPr>
        <xdr:cNvPr id="22" name="Picture 21">
          <a:extLst>
            <a:ext uri="{FF2B5EF4-FFF2-40B4-BE49-F238E27FC236}">
              <a16:creationId xmlns:a16="http://schemas.microsoft.com/office/drawing/2014/main" id="{2E9AC3FF-0926-4141-91ED-A8B7CB82AB8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3657600"/>
          <a:ext cx="39052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21</xdr:row>
      <xdr:rowOff>0</xdr:rowOff>
    </xdr:from>
    <xdr:to>
      <xdr:col>1</xdr:col>
      <xdr:colOff>285750</xdr:colOff>
      <xdr:row>21</xdr:row>
      <xdr:rowOff>209550</xdr:rowOff>
    </xdr:to>
    <xdr:pic>
      <xdr:nvPicPr>
        <xdr:cNvPr id="23" name="Picture 22">
          <a:extLst>
            <a:ext uri="{FF2B5EF4-FFF2-40B4-BE49-F238E27FC236}">
              <a16:creationId xmlns:a16="http://schemas.microsoft.com/office/drawing/2014/main" id="{CD211F0E-61D6-4B89-8A9C-BB45A75F86F3}"/>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5038725"/>
          <a:ext cx="2857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23</xdr:row>
      <xdr:rowOff>0</xdr:rowOff>
    </xdr:from>
    <xdr:to>
      <xdr:col>1</xdr:col>
      <xdr:colOff>133350</xdr:colOff>
      <xdr:row>23</xdr:row>
      <xdr:rowOff>209550</xdr:rowOff>
    </xdr:to>
    <xdr:pic>
      <xdr:nvPicPr>
        <xdr:cNvPr id="24" name="Picture 23">
          <a:extLst>
            <a:ext uri="{FF2B5EF4-FFF2-40B4-BE49-F238E27FC236}">
              <a16:creationId xmlns:a16="http://schemas.microsoft.com/office/drawing/2014/main" id="{02B8720F-018D-457B-A110-A88E5B915A3B}"/>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5800725"/>
          <a:ext cx="1333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0</xdr:rowOff>
    </xdr:from>
    <xdr:to>
      <xdr:col>1</xdr:col>
      <xdr:colOff>142875</xdr:colOff>
      <xdr:row>25</xdr:row>
      <xdr:rowOff>209550</xdr:rowOff>
    </xdr:to>
    <xdr:pic>
      <xdr:nvPicPr>
        <xdr:cNvPr id="25" name="Picture 24">
          <a:extLst>
            <a:ext uri="{FF2B5EF4-FFF2-40B4-BE49-F238E27FC236}">
              <a16:creationId xmlns:a16="http://schemas.microsoft.com/office/drawing/2014/main" id="{6EB817B1-13D3-46EC-95C6-528C558D86AF}"/>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6419850"/>
          <a:ext cx="14287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5</xdr:row>
      <xdr:rowOff>0</xdr:rowOff>
    </xdr:from>
    <xdr:to>
      <xdr:col>1</xdr:col>
      <xdr:colOff>304800</xdr:colOff>
      <xdr:row>5</xdr:row>
      <xdr:rowOff>133350</xdr:rowOff>
    </xdr:to>
    <xdr:pic>
      <xdr:nvPicPr>
        <xdr:cNvPr id="42" name="Picture 41">
          <a:extLst>
            <a:ext uri="{FF2B5EF4-FFF2-40B4-BE49-F238E27FC236}">
              <a16:creationId xmlns:a16="http://schemas.microsoft.com/office/drawing/2014/main" id="{5812EA90-72E8-47CC-A27B-AF7F6FC833FD}"/>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1171575"/>
          <a:ext cx="304800" cy="13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5</xdr:row>
      <xdr:rowOff>0</xdr:rowOff>
    </xdr:from>
    <xdr:to>
      <xdr:col>2</xdr:col>
      <xdr:colOff>1285875</xdr:colOff>
      <xdr:row>5</xdr:row>
      <xdr:rowOff>133350</xdr:rowOff>
    </xdr:to>
    <xdr:pic>
      <xdr:nvPicPr>
        <xdr:cNvPr id="43" name="Picture 42">
          <a:extLst>
            <a:ext uri="{FF2B5EF4-FFF2-40B4-BE49-F238E27FC236}">
              <a16:creationId xmlns:a16="http://schemas.microsoft.com/office/drawing/2014/main" id="{B776FC5A-A00B-4B01-B77B-D64A50AEF6D8}"/>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076450" y="1171575"/>
          <a:ext cx="1285875" cy="13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6</xdr:row>
      <xdr:rowOff>0</xdr:rowOff>
    </xdr:from>
    <xdr:to>
      <xdr:col>1</xdr:col>
      <xdr:colOff>523875</xdr:colOff>
      <xdr:row>6</xdr:row>
      <xdr:rowOff>133350</xdr:rowOff>
    </xdr:to>
    <xdr:pic>
      <xdr:nvPicPr>
        <xdr:cNvPr id="44" name="Picture 43">
          <a:extLst>
            <a:ext uri="{FF2B5EF4-FFF2-40B4-BE49-F238E27FC236}">
              <a16:creationId xmlns:a16="http://schemas.microsoft.com/office/drawing/2014/main" id="{B55471AE-4FC6-4894-B5E2-3A2FE68187E1}"/>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1352550"/>
          <a:ext cx="523875" cy="13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6</xdr:row>
      <xdr:rowOff>0</xdr:rowOff>
    </xdr:from>
    <xdr:to>
      <xdr:col>2</xdr:col>
      <xdr:colOff>2695575</xdr:colOff>
      <xdr:row>7</xdr:row>
      <xdr:rowOff>95250</xdr:rowOff>
    </xdr:to>
    <xdr:pic>
      <xdr:nvPicPr>
        <xdr:cNvPr id="45" name="Picture 44">
          <a:extLst>
            <a:ext uri="{FF2B5EF4-FFF2-40B4-BE49-F238E27FC236}">
              <a16:creationId xmlns:a16="http://schemas.microsoft.com/office/drawing/2014/main" id="{8A74A7FE-34CA-41ED-B238-A2B394FA638E}"/>
            </a:ext>
          </a:extLst>
        </xdr:cNvPr>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076450" y="1352550"/>
          <a:ext cx="2695575" cy="2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7</xdr:row>
      <xdr:rowOff>0</xdr:rowOff>
    </xdr:from>
    <xdr:to>
      <xdr:col>1</xdr:col>
      <xdr:colOff>428625</xdr:colOff>
      <xdr:row>7</xdr:row>
      <xdr:rowOff>133350</xdr:rowOff>
    </xdr:to>
    <xdr:pic>
      <xdr:nvPicPr>
        <xdr:cNvPr id="46" name="Picture 45">
          <a:extLst>
            <a:ext uri="{FF2B5EF4-FFF2-40B4-BE49-F238E27FC236}">
              <a16:creationId xmlns:a16="http://schemas.microsoft.com/office/drawing/2014/main" id="{F93F3145-74F1-4E0B-B165-F293B6DEE394}"/>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1533525"/>
          <a:ext cx="428625" cy="13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7</xdr:row>
      <xdr:rowOff>0</xdr:rowOff>
    </xdr:from>
    <xdr:to>
      <xdr:col>2</xdr:col>
      <xdr:colOff>2590800</xdr:colOff>
      <xdr:row>8</xdr:row>
      <xdr:rowOff>95250</xdr:rowOff>
    </xdr:to>
    <xdr:pic>
      <xdr:nvPicPr>
        <xdr:cNvPr id="47" name="Picture 46">
          <a:extLst>
            <a:ext uri="{FF2B5EF4-FFF2-40B4-BE49-F238E27FC236}">
              <a16:creationId xmlns:a16="http://schemas.microsoft.com/office/drawing/2014/main" id="{D8F47213-0786-4B28-AC8C-521E7DF57D4A}"/>
            </a:ext>
          </a:extLst>
        </xdr:cNvPr>
        <xdr:cNvPicPr>
          <a:picLocks noChangeAspect="1" noChangeArrowheads="1"/>
        </xdr:cNvPicPr>
      </xdr:nvPicPr>
      <xdr:blipFill>
        <a:blip xmlns:r="http://schemas.openxmlformats.org/officeDocument/2006/relationships" r:embed="rId1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076450" y="1533525"/>
          <a:ext cx="2590800" cy="2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8</xdr:row>
      <xdr:rowOff>0</xdr:rowOff>
    </xdr:from>
    <xdr:to>
      <xdr:col>1</xdr:col>
      <xdr:colOff>428625</xdr:colOff>
      <xdr:row>8</xdr:row>
      <xdr:rowOff>142875</xdr:rowOff>
    </xdr:to>
    <xdr:pic>
      <xdr:nvPicPr>
        <xdr:cNvPr id="48" name="Picture 47">
          <a:extLst>
            <a:ext uri="{FF2B5EF4-FFF2-40B4-BE49-F238E27FC236}">
              <a16:creationId xmlns:a16="http://schemas.microsoft.com/office/drawing/2014/main" id="{60A73D5D-C17F-41B5-8D85-AAC371679001}"/>
            </a:ext>
          </a:extLst>
        </xdr:cNvPr>
        <xdr:cNvPicPr>
          <a:picLocks noChangeAspect="1" noChangeArrowheads="1"/>
        </xdr:cNvPicPr>
      </xdr:nvPicPr>
      <xdr:blipFill>
        <a:blip xmlns:r="http://schemas.openxmlformats.org/officeDocument/2006/relationships" r:embed="rId1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 y="1714500"/>
          <a:ext cx="428625" cy="142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8</xdr:row>
      <xdr:rowOff>0</xdr:rowOff>
    </xdr:from>
    <xdr:to>
      <xdr:col>2</xdr:col>
      <xdr:colOff>733425</xdr:colOff>
      <xdr:row>8</xdr:row>
      <xdr:rowOff>133350</xdr:rowOff>
    </xdr:to>
    <xdr:pic>
      <xdr:nvPicPr>
        <xdr:cNvPr id="49" name="Picture 48">
          <a:extLst>
            <a:ext uri="{FF2B5EF4-FFF2-40B4-BE49-F238E27FC236}">
              <a16:creationId xmlns:a16="http://schemas.microsoft.com/office/drawing/2014/main" id="{301E9F20-DEE9-4DB6-805B-4DF3E30E72DD}"/>
            </a:ext>
          </a:extLst>
        </xdr:cNvPr>
        <xdr:cNvPicPr>
          <a:picLocks noChangeAspect="1" noChangeArrowheads="1"/>
        </xdr:cNvPicPr>
      </xdr:nvPicPr>
      <xdr:blipFill>
        <a:blip xmlns:r="http://schemas.openxmlformats.org/officeDocument/2006/relationships" r:embed="rId1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076450" y="1714500"/>
          <a:ext cx="733425" cy="13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GARRETT BROUSSARD" id="{AB8C3D43-533D-4250-BFD2-084FAA2BAB31}" userId="S::garrett.broussard@clearesult.com::8c55b772-21c0-45e2-910f-8629708ece4c" providerId="AD"/>
</personList>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Concourse">
  <a:themeElements>
    <a:clrScheme name="CLEAResult">
      <a:dk1>
        <a:sysClr val="windowText" lastClr="000000"/>
      </a:dk1>
      <a:lt1>
        <a:sysClr val="window" lastClr="FFFFFF"/>
      </a:lt1>
      <a:dk2>
        <a:srgbClr val="404040"/>
      </a:dk2>
      <a:lt2>
        <a:srgbClr val="EFE9E5"/>
      </a:lt2>
      <a:accent1>
        <a:srgbClr val="F50000"/>
      </a:accent1>
      <a:accent2>
        <a:srgbClr val="054B56"/>
      </a:accent2>
      <a:accent3>
        <a:srgbClr val="007299"/>
      </a:accent3>
      <a:accent4>
        <a:srgbClr val="92B7BC"/>
      </a:accent4>
      <a:accent5>
        <a:srgbClr val="F4CE00"/>
      </a:accent5>
      <a:accent6>
        <a:srgbClr val="EFE9E5"/>
      </a:accent6>
      <a:hlink>
        <a:srgbClr val="44B9E8"/>
      </a:hlink>
      <a:folHlink>
        <a:srgbClr val="44B9E8"/>
      </a:folHlink>
    </a:clrScheme>
    <a:fontScheme name="CLEAResult">
      <a:majorFont>
        <a:latin typeface="Arial"/>
        <a:ea typeface=""/>
        <a:cs typeface=""/>
      </a:majorFont>
      <a:minorFont>
        <a:latin typeface="Arial"/>
        <a:ea typeface=""/>
        <a:cs typeface=""/>
      </a:minorFont>
    </a:fontScheme>
    <a:fmtScheme name="Concourse">
      <a:fillStyleLst>
        <a:solidFill>
          <a:schemeClr val="phClr"/>
        </a:solidFill>
        <a:gradFill rotWithShape="1">
          <a:gsLst>
            <a:gs pos="0">
              <a:schemeClr val="phClr">
                <a:tint val="62000"/>
                <a:satMod val="180000"/>
              </a:schemeClr>
            </a:gs>
            <a:gs pos="65000">
              <a:schemeClr val="phClr">
                <a:tint val="32000"/>
                <a:satMod val="250000"/>
              </a:schemeClr>
            </a:gs>
            <a:gs pos="100000">
              <a:schemeClr val="phClr">
                <a:tint val="23000"/>
                <a:satMod val="300000"/>
              </a:schemeClr>
            </a:gs>
          </a:gsLst>
          <a:lin ang="16200000" scaled="0"/>
        </a:gradFill>
        <a:gradFill rotWithShape="1">
          <a:gsLst>
            <a:gs pos="0">
              <a:schemeClr val="phClr">
                <a:shade val="15000"/>
                <a:satMod val="180000"/>
              </a:schemeClr>
            </a:gs>
            <a:gs pos="50000">
              <a:schemeClr val="phClr">
                <a:shade val="45000"/>
                <a:satMod val="170000"/>
              </a:schemeClr>
            </a:gs>
            <a:gs pos="70000">
              <a:schemeClr val="phClr">
                <a:tint val="99000"/>
                <a:shade val="65000"/>
                <a:satMod val="155000"/>
              </a:schemeClr>
            </a:gs>
            <a:gs pos="100000">
              <a:schemeClr val="phClr">
                <a:tint val="95500"/>
                <a:shade val="100000"/>
                <a:satMod val="155000"/>
              </a:schemeClr>
            </a:gs>
          </a:gsLst>
          <a:lin ang="16200000" scaled="0"/>
        </a:gradFill>
      </a:fillStyleLst>
      <a:lnStyleLst>
        <a:ln w="9525" cap="flat" cmpd="sng" algn="ctr">
          <a:solidFill>
            <a:schemeClr val="phClr"/>
          </a:solidFill>
          <a:prstDash val="solid"/>
        </a:ln>
        <a:ln w="55000" cap="flat" cmpd="thickThin" algn="ctr">
          <a:solidFill>
            <a:schemeClr val="phClr"/>
          </a:solidFill>
          <a:prstDash val="solid"/>
        </a:ln>
        <a:ln w="63500" cap="flat" cmpd="thickThin" algn="ctr">
          <a:solidFill>
            <a:schemeClr val="phClr"/>
          </a:solidFill>
          <a:prstDash val="solid"/>
        </a:ln>
      </a:lnStyleLst>
      <a:effectStyleLst>
        <a:effectStyle>
          <a:effectLst>
            <a:outerShdw blurRad="50800" dist="38100" dir="5400000" rotWithShape="0">
              <a:srgbClr val="000000">
                <a:alpha val="35000"/>
              </a:srgbClr>
            </a:outerShdw>
          </a:effectLst>
        </a:effectStyle>
        <a:effectStyle>
          <a:effectLst>
            <a:outerShdw blurRad="50800" dist="38100" dir="5400000" rotWithShape="0">
              <a:srgbClr val="000000">
                <a:alpha val="35000"/>
              </a:srgbClr>
            </a:outerShdw>
          </a:effectLst>
        </a:effectStyle>
        <a:effectStyle>
          <a:effectLst>
            <a:outerShdw blurRad="63500" dist="38100" dir="5400000" rotWithShape="0">
              <a:srgbClr val="000000">
                <a:alpha val="45000"/>
              </a:srgbClr>
            </a:outerShdw>
          </a:effectLst>
          <a:scene3d>
            <a:camera prst="orthographicFront" fov="0">
              <a:rot lat="0" lon="0" rev="0"/>
            </a:camera>
            <a:lightRig rig="glow" dir="t">
              <a:rot lat="0" lon="0" rev="6360000"/>
            </a:lightRig>
          </a:scene3d>
          <a:sp3d contourW="1000" prstMaterial="flat">
            <a:bevelT w="95250" h="101600"/>
            <a:contourClr>
              <a:schemeClr val="phClr">
                <a:satMod val="300000"/>
              </a:schemeClr>
            </a:contourClr>
          </a:sp3d>
        </a:effectStyle>
      </a:effectStyleLst>
      <a:bgFillStyleLst>
        <a:solidFill>
          <a:schemeClr val="phClr"/>
        </a:solidFill>
        <a:gradFill rotWithShape="1">
          <a:gsLst>
            <a:gs pos="0">
              <a:schemeClr val="phClr">
                <a:tint val="55000"/>
                <a:satMod val="300000"/>
              </a:schemeClr>
            </a:gs>
            <a:gs pos="40000">
              <a:schemeClr val="phClr">
                <a:tint val="65000"/>
                <a:satMod val="300000"/>
              </a:schemeClr>
            </a:gs>
            <a:gs pos="100000">
              <a:schemeClr val="phClr">
                <a:shade val="65000"/>
                <a:satMod val="300000"/>
              </a:schemeClr>
            </a:gs>
          </a:gsLst>
          <a:path path="circle">
            <a:fillToRect l="65000" b="98000"/>
          </a:path>
        </a:gradFill>
        <a:blipFill>
          <a:blip xmlns:r="http://schemas.openxmlformats.org/officeDocument/2006/relationships" r:embed="rId1">
            <a:duotone>
              <a:schemeClr val="phClr">
                <a:shade val="60000"/>
                <a:satMod val="110000"/>
              </a:schemeClr>
              <a:schemeClr val="phClr">
                <a:tint val="95000"/>
              </a:schemeClr>
            </a:duotone>
          </a:blip>
          <a:tile tx="0" ty="0" sx="50000" sy="50000" flip="none" algn="tl"/>
        </a:blip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6" dT="2023-04-26T01:59:36.78" personId="{AB8C3D43-533D-4250-BFD2-084FAA2BAB31}" id="{4274EB2A-C1BB-4151-B40C-BE85E6808830}">
    <text xml:space="preserve">Inputs to this calculation /lookup equation were locked when they shouldn’t be. The equation was looking in the wrong areas because they were not locked in place as they were drug down. </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ECA3-04DD-4C0D-82BF-D471EAA105C6}">
  <sheetPr>
    <tabColor rgb="FFC00000"/>
  </sheetPr>
  <dimension ref="A1:Z37"/>
  <sheetViews>
    <sheetView showGridLines="0" zoomScale="85" zoomScaleNormal="145" workbookViewId="0">
      <selection activeCell="F3" sqref="F3"/>
    </sheetView>
  </sheetViews>
  <sheetFormatPr defaultRowHeight="14.25" x14ac:dyDescent="0.2"/>
  <cols>
    <col min="1" max="1" width="3.375" customWidth="1"/>
    <col min="2" max="2" width="15.125" customWidth="1"/>
    <col min="4" max="4" width="16.875" customWidth="1"/>
    <col min="5" max="5" width="12.625" customWidth="1"/>
    <col min="6" max="6" width="4.375" customWidth="1"/>
    <col min="7" max="7" width="3.5" customWidth="1"/>
    <col min="13" max="13" width="2.5" customWidth="1"/>
    <col min="14" max="14" width="2.75" customWidth="1"/>
    <col min="20" max="20" width="3.125" customWidth="1"/>
  </cols>
  <sheetData>
    <row r="1" spans="1:26" ht="46.5" customHeight="1" x14ac:dyDescent="0.2">
      <c r="A1" s="454"/>
      <c r="B1" s="454"/>
      <c r="C1" s="454"/>
      <c r="D1" s="454"/>
      <c r="E1" s="454"/>
      <c r="F1" s="454"/>
      <c r="G1" s="454"/>
      <c r="H1" s="454"/>
      <c r="I1" s="454"/>
      <c r="J1" s="454"/>
      <c r="K1" s="454"/>
      <c r="L1" s="454"/>
      <c r="M1" s="454"/>
      <c r="N1" s="454"/>
      <c r="O1" s="454"/>
      <c r="P1" s="454"/>
      <c r="Q1" s="454"/>
      <c r="R1" s="454"/>
      <c r="S1" s="454"/>
      <c r="T1" s="454"/>
      <c r="U1" s="454"/>
      <c r="V1" s="454"/>
      <c r="W1" s="454"/>
      <c r="X1" s="454"/>
      <c r="Y1" s="454"/>
      <c r="Z1" s="454"/>
    </row>
    <row r="2" spans="1:26" ht="15.75" thickBot="1" x14ac:dyDescent="0.3">
      <c r="H2" s="178"/>
    </row>
    <row r="3" spans="1:26" ht="20.45" customHeight="1" thickBot="1" x14ac:dyDescent="0.3">
      <c r="B3" s="455" t="s">
        <v>329</v>
      </c>
      <c r="C3" s="456"/>
      <c r="D3" s="457"/>
      <c r="E3" s="386" t="s">
        <v>338</v>
      </c>
      <c r="F3" s="178" t="str">
        <f>_xlfn.XLOOKUP(CR_Utility,B7:B9,E7:E9,0)</f>
        <v>PPL Electric</v>
      </c>
      <c r="G3" s="178"/>
      <c r="H3" s="178"/>
    </row>
    <row r="4" spans="1:26" ht="15.75" thickBot="1" x14ac:dyDescent="0.3">
      <c r="G4" s="387"/>
      <c r="H4" s="388"/>
      <c r="I4" s="389"/>
      <c r="J4" s="389"/>
      <c r="K4" s="389"/>
      <c r="L4" s="389"/>
      <c r="M4" s="389"/>
      <c r="N4" s="387"/>
      <c r="O4" s="389"/>
      <c r="P4" s="389"/>
      <c r="Q4" s="389"/>
      <c r="R4" s="389"/>
      <c r="S4" s="389"/>
      <c r="T4" s="390"/>
    </row>
    <row r="5" spans="1:26" ht="15" x14ac:dyDescent="0.25">
      <c r="B5" s="458" t="s">
        <v>331</v>
      </c>
      <c r="C5" s="459"/>
      <c r="D5" s="460"/>
      <c r="G5" s="391"/>
      <c r="H5" s="461" t="s">
        <v>332</v>
      </c>
      <c r="I5" s="461"/>
      <c r="J5" s="461"/>
      <c r="K5" s="461"/>
      <c r="L5" s="461"/>
      <c r="N5" s="391"/>
      <c r="O5" s="461" t="s">
        <v>333</v>
      </c>
      <c r="P5" s="461"/>
      <c r="Q5" s="461"/>
      <c r="R5" s="461"/>
      <c r="S5" s="461"/>
      <c r="T5" s="392"/>
    </row>
    <row r="6" spans="1:26" ht="15.75" thickBot="1" x14ac:dyDescent="0.3">
      <c r="B6" s="393" t="s">
        <v>334</v>
      </c>
      <c r="C6" s="394" t="s">
        <v>335</v>
      </c>
      <c r="D6" s="395" t="s">
        <v>336</v>
      </c>
      <c r="G6" s="391"/>
      <c r="H6" s="178" t="s">
        <v>337</v>
      </c>
      <c r="M6" s="178"/>
      <c r="N6" s="396"/>
      <c r="O6" s="178" t="s">
        <v>337</v>
      </c>
      <c r="T6" s="392"/>
    </row>
    <row r="7" spans="1:26" ht="15" thickTop="1" x14ac:dyDescent="0.2">
      <c r="B7" s="397" t="s">
        <v>338</v>
      </c>
      <c r="C7" s="398"/>
      <c r="D7" s="399"/>
      <c r="E7" t="s">
        <v>343</v>
      </c>
      <c r="G7" s="391"/>
      <c r="H7" s="400"/>
      <c r="I7" s="400"/>
      <c r="J7" s="400"/>
      <c r="K7" s="400"/>
      <c r="L7" s="400"/>
      <c r="N7" s="391"/>
      <c r="T7" s="392"/>
    </row>
    <row r="8" spans="1:26" x14ac:dyDescent="0.2">
      <c r="B8" s="397" t="s">
        <v>339</v>
      </c>
      <c r="C8" s="401"/>
      <c r="D8" s="402"/>
      <c r="E8" t="s">
        <v>339</v>
      </c>
      <c r="G8" s="391"/>
      <c r="H8" s="400"/>
      <c r="I8" s="400"/>
      <c r="J8" s="400"/>
      <c r="K8" s="400"/>
      <c r="L8" s="400"/>
      <c r="N8" s="391"/>
      <c r="T8" s="392"/>
    </row>
    <row r="9" spans="1:26" ht="15" thickBot="1" x14ac:dyDescent="0.25">
      <c r="B9" s="403" t="s">
        <v>330</v>
      </c>
      <c r="C9" s="404"/>
      <c r="D9" s="405"/>
      <c r="E9" t="s">
        <v>344</v>
      </c>
      <c r="G9" s="391"/>
      <c r="H9" s="400"/>
      <c r="I9" s="400"/>
      <c r="J9" s="400"/>
      <c r="K9" s="400"/>
      <c r="L9" s="400"/>
      <c r="N9" s="391"/>
      <c r="T9" s="392"/>
    </row>
    <row r="10" spans="1:26" x14ac:dyDescent="0.2">
      <c r="G10" s="391"/>
      <c r="H10" s="400"/>
      <c r="I10" s="400"/>
      <c r="J10" s="400"/>
      <c r="K10" s="400"/>
      <c r="L10" s="400"/>
      <c r="N10" s="391"/>
      <c r="T10" s="392"/>
    </row>
    <row r="11" spans="1:26" x14ac:dyDescent="0.2">
      <c r="G11" s="391"/>
      <c r="H11" s="400"/>
      <c r="I11" s="400"/>
      <c r="J11" s="400"/>
      <c r="K11" s="400"/>
      <c r="L11" s="400"/>
      <c r="N11" s="391"/>
      <c r="T11" s="392"/>
    </row>
    <row r="12" spans="1:26" x14ac:dyDescent="0.2">
      <c r="G12" s="391"/>
      <c r="H12" s="400"/>
      <c r="I12" s="400"/>
      <c r="J12" s="400"/>
      <c r="K12" s="400"/>
      <c r="L12" s="400"/>
      <c r="N12" s="391"/>
      <c r="T12" s="392"/>
    </row>
    <row r="13" spans="1:26" x14ac:dyDescent="0.2">
      <c r="G13" s="391"/>
      <c r="H13" s="400"/>
      <c r="I13" s="400"/>
      <c r="J13" s="400"/>
      <c r="K13" s="400"/>
      <c r="L13" s="400"/>
      <c r="N13" s="391"/>
      <c r="T13" s="392"/>
    </row>
    <row r="14" spans="1:26" x14ac:dyDescent="0.2">
      <c r="G14" s="391"/>
      <c r="H14" s="400"/>
      <c r="I14" s="400"/>
      <c r="J14" s="400"/>
      <c r="K14" s="400"/>
      <c r="L14" s="400"/>
      <c r="N14" s="391"/>
      <c r="T14" s="392"/>
    </row>
    <row r="15" spans="1:26" x14ac:dyDescent="0.2">
      <c r="G15" s="391"/>
      <c r="H15" s="400"/>
      <c r="I15" s="400"/>
      <c r="J15" s="400"/>
      <c r="K15" s="400"/>
      <c r="L15" s="400"/>
      <c r="N15" s="391"/>
      <c r="T15" s="392"/>
    </row>
    <row r="16" spans="1:26" ht="15" x14ac:dyDescent="0.25">
      <c r="G16" s="391"/>
      <c r="H16" s="178" t="s">
        <v>340</v>
      </c>
      <c r="N16" s="391"/>
      <c r="O16" s="178" t="s">
        <v>340</v>
      </c>
      <c r="T16" s="392"/>
    </row>
    <row r="17" spans="7:20" x14ac:dyDescent="0.2">
      <c r="G17" s="391"/>
      <c r="H17" s="406"/>
      <c r="I17" s="406"/>
      <c r="J17" s="406"/>
      <c r="K17" s="406"/>
      <c r="L17" s="406"/>
      <c r="N17" s="391"/>
      <c r="T17" s="392"/>
    </row>
    <row r="18" spans="7:20" x14ac:dyDescent="0.2">
      <c r="G18" s="391"/>
      <c r="H18" s="406"/>
      <c r="I18" s="406"/>
      <c r="J18" s="406"/>
      <c r="K18" s="406"/>
      <c r="L18" s="406"/>
      <c r="N18" s="391"/>
      <c r="T18" s="392"/>
    </row>
    <row r="19" spans="7:20" x14ac:dyDescent="0.2">
      <c r="G19" s="391"/>
      <c r="H19" s="406"/>
      <c r="I19" s="406"/>
      <c r="J19" s="406"/>
      <c r="K19" s="406"/>
      <c r="L19" s="406"/>
      <c r="N19" s="391"/>
      <c r="T19" s="392"/>
    </row>
    <row r="20" spans="7:20" x14ac:dyDescent="0.2">
      <c r="G20" s="391"/>
      <c r="H20" s="406"/>
      <c r="I20" s="406"/>
      <c r="J20" s="406"/>
      <c r="K20" s="406"/>
      <c r="L20" s="406"/>
      <c r="N20" s="391"/>
      <c r="T20" s="392"/>
    </row>
    <row r="21" spans="7:20" x14ac:dyDescent="0.2">
      <c r="G21" s="391"/>
      <c r="H21" s="406"/>
      <c r="I21" s="406"/>
      <c r="J21" s="406"/>
      <c r="K21" s="406"/>
      <c r="L21" s="406"/>
      <c r="N21" s="391"/>
      <c r="T21" s="392"/>
    </row>
    <row r="22" spans="7:20" x14ac:dyDescent="0.2">
      <c r="G22" s="391"/>
      <c r="H22" s="406"/>
      <c r="I22" s="406"/>
      <c r="J22" s="406"/>
      <c r="K22" s="406"/>
      <c r="L22" s="406"/>
      <c r="N22" s="391"/>
      <c r="T22" s="392"/>
    </row>
    <row r="23" spans="7:20" x14ac:dyDescent="0.2">
      <c r="G23" s="391"/>
      <c r="H23" s="406"/>
      <c r="I23" s="406"/>
      <c r="J23" s="406"/>
      <c r="K23" s="406"/>
      <c r="L23" s="406"/>
      <c r="N23" s="391"/>
      <c r="T23" s="392"/>
    </row>
    <row r="24" spans="7:20" x14ac:dyDescent="0.2">
      <c r="G24" s="391"/>
      <c r="H24" s="406"/>
      <c r="I24" s="406"/>
      <c r="J24" s="406"/>
      <c r="K24" s="406"/>
      <c r="L24" s="406"/>
      <c r="N24" s="391"/>
      <c r="T24" s="392"/>
    </row>
    <row r="25" spans="7:20" x14ac:dyDescent="0.2">
      <c r="G25" s="391"/>
      <c r="H25" s="406"/>
      <c r="I25" s="406"/>
      <c r="J25" s="406"/>
      <c r="K25" s="406"/>
      <c r="L25" s="406"/>
      <c r="N25" s="391"/>
      <c r="T25" s="392"/>
    </row>
    <row r="26" spans="7:20" ht="15" x14ac:dyDescent="0.25">
      <c r="G26" s="391"/>
      <c r="H26" s="178" t="s">
        <v>341</v>
      </c>
      <c r="N26" s="391"/>
      <c r="O26" s="178" t="s">
        <v>341</v>
      </c>
      <c r="T26" s="392"/>
    </row>
    <row r="27" spans="7:20" x14ac:dyDescent="0.2">
      <c r="G27" s="391"/>
      <c r="H27" s="407"/>
      <c r="I27" s="407"/>
      <c r="J27" s="407"/>
      <c r="K27" s="407"/>
      <c r="L27" s="407"/>
      <c r="N27" s="391"/>
      <c r="T27" s="392"/>
    </row>
    <row r="28" spans="7:20" x14ac:dyDescent="0.2">
      <c r="G28" s="391"/>
      <c r="H28" s="407"/>
      <c r="I28" s="407"/>
      <c r="J28" s="407"/>
      <c r="K28" s="407"/>
      <c r="L28" s="407"/>
      <c r="N28" s="391"/>
      <c r="T28" s="392"/>
    </row>
    <row r="29" spans="7:20" x14ac:dyDescent="0.2">
      <c r="G29" s="391"/>
      <c r="H29" s="407"/>
      <c r="I29" s="407"/>
      <c r="J29" s="407"/>
      <c r="K29" s="407"/>
      <c r="L29" s="407"/>
      <c r="N29" s="391"/>
      <c r="T29" s="392"/>
    </row>
    <row r="30" spans="7:20" x14ac:dyDescent="0.2">
      <c r="G30" s="391"/>
      <c r="H30" s="407"/>
      <c r="I30" s="407"/>
      <c r="J30" s="407"/>
      <c r="K30" s="407"/>
      <c r="L30" s="407"/>
      <c r="N30" s="391"/>
      <c r="T30" s="392"/>
    </row>
    <row r="31" spans="7:20" x14ac:dyDescent="0.2">
      <c r="G31" s="391"/>
      <c r="H31" s="407"/>
      <c r="I31" s="407"/>
      <c r="J31" s="407"/>
      <c r="K31" s="407"/>
      <c r="L31" s="407"/>
      <c r="N31" s="391"/>
      <c r="T31" s="392"/>
    </row>
    <row r="32" spans="7:20" x14ac:dyDescent="0.2">
      <c r="G32" s="391"/>
      <c r="H32" s="407"/>
      <c r="I32" s="407"/>
      <c r="J32" s="407"/>
      <c r="K32" s="407"/>
      <c r="L32" s="407"/>
      <c r="N32" s="391"/>
      <c r="T32" s="392"/>
    </row>
    <row r="33" spans="7:20" x14ac:dyDescent="0.2">
      <c r="G33" s="391"/>
      <c r="H33" s="407"/>
      <c r="I33" s="407"/>
      <c r="J33" s="407"/>
      <c r="K33" s="407"/>
      <c r="L33" s="407"/>
      <c r="N33" s="391"/>
      <c r="T33" s="392"/>
    </row>
    <row r="34" spans="7:20" x14ac:dyDescent="0.2">
      <c r="G34" s="391"/>
      <c r="H34" s="407"/>
      <c r="I34" s="407"/>
      <c r="J34" s="407"/>
      <c r="K34" s="407"/>
      <c r="L34" s="407"/>
      <c r="N34" s="391"/>
      <c r="T34" s="392"/>
    </row>
    <row r="35" spans="7:20" x14ac:dyDescent="0.2">
      <c r="G35" s="391"/>
      <c r="H35" s="407"/>
      <c r="I35" s="407"/>
      <c r="J35" s="407"/>
      <c r="K35" s="407"/>
      <c r="L35" s="407"/>
      <c r="N35" s="391"/>
      <c r="T35" s="392"/>
    </row>
    <row r="36" spans="7:20" ht="9" customHeight="1" x14ac:dyDescent="0.2">
      <c r="G36" s="391"/>
      <c r="N36" s="391"/>
      <c r="T36" s="392"/>
    </row>
    <row r="37" spans="7:20" ht="6.6" customHeight="1" x14ac:dyDescent="0.2">
      <c r="G37" s="408"/>
      <c r="H37" s="409"/>
      <c r="I37" s="409"/>
      <c r="J37" s="409"/>
      <c r="K37" s="409"/>
      <c r="L37" s="409"/>
      <c r="M37" s="409"/>
      <c r="N37" s="408"/>
      <c r="O37" s="409"/>
      <c r="P37" s="409"/>
      <c r="Q37" s="409"/>
      <c r="R37" s="409"/>
      <c r="S37" s="409"/>
      <c r="T37" s="410"/>
    </row>
  </sheetData>
  <mergeCells count="9">
    <mergeCell ref="V1:Z1"/>
    <mergeCell ref="B3:D3"/>
    <mergeCell ref="B5:D5"/>
    <mergeCell ref="H5:L5"/>
    <mergeCell ref="O5:S5"/>
    <mergeCell ref="A1:E1"/>
    <mergeCell ref="F1:J1"/>
    <mergeCell ref="K1:P1"/>
    <mergeCell ref="Q1:U1"/>
  </mergeCells>
  <conditionalFormatting sqref="A1:Z1">
    <cfRule type="expression" dxfId="2" priority="1">
      <formula>$E$3="FirstEnergy"</formula>
    </cfRule>
    <cfRule type="expression" dxfId="1" priority="2">
      <formula>$E$3="PECO"</formula>
    </cfRule>
    <cfRule type="expression" dxfId="0" priority="3">
      <formula>$E$3="PPL"</formula>
    </cfRule>
  </conditionalFormatting>
  <dataValidations count="2">
    <dataValidation type="list" allowBlank="1" showInputMessage="1" showErrorMessage="1" sqref="E3" xr:uid="{B77EBA5C-F8A0-4294-8156-02E3DD6FF087}">
      <formula1>"PPL, PECO, FirstEnergy"</formula1>
    </dataValidation>
    <dataValidation allowBlank="1" showInputMessage="1" showErrorMessage="1" prompt="Incentives are referenced on the inventory tab, in column AF" sqref="B5:D5" xr:uid="{006E278F-3E09-46C1-962D-3C6D774C4ACD}"/>
  </dataValidation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14999847407452621"/>
  </sheetPr>
  <dimension ref="B1:AC304"/>
  <sheetViews>
    <sheetView showGridLines="0" zoomScaleNormal="100" workbookViewId="0">
      <selection activeCell="G10" sqref="G10"/>
    </sheetView>
  </sheetViews>
  <sheetFormatPr defaultColWidth="8.625" defaultRowHeight="14.25" x14ac:dyDescent="0.2"/>
  <cols>
    <col min="1" max="1" width="3.625" style="3" customWidth="1"/>
    <col min="2" max="2" width="18.625" style="1" customWidth="1"/>
    <col min="3" max="3" width="22.125" style="1" bestFit="1" customWidth="1"/>
    <col min="4" max="4" width="33.625" style="1" bestFit="1" customWidth="1"/>
    <col min="5" max="5" width="34.625" style="1" bestFit="1" customWidth="1"/>
    <col min="6" max="6" width="25" style="1" customWidth="1"/>
    <col min="7" max="7" width="12.125" style="1" bestFit="1" customWidth="1"/>
    <col min="8" max="8" width="21.5" style="1" customWidth="1"/>
    <col min="9" max="9" width="14.5" style="1" bestFit="1" customWidth="1"/>
    <col min="10" max="10" width="25.125" style="1" customWidth="1"/>
    <col min="11" max="11" width="32.125" style="1" bestFit="1" customWidth="1"/>
    <col min="12" max="12" width="26.625" style="1" customWidth="1"/>
    <col min="13" max="13" width="22.125" style="1" bestFit="1" customWidth="1"/>
    <col min="14" max="14" width="33.625" style="1" bestFit="1" customWidth="1"/>
    <col min="15" max="15" width="25.625" style="1" bestFit="1" customWidth="1"/>
    <col min="16" max="16" width="16.625" style="1" bestFit="1" customWidth="1"/>
    <col min="17" max="17" width="11" style="1" customWidth="1"/>
    <col min="18" max="18" width="12.125" style="1" bestFit="1" customWidth="1"/>
    <col min="19" max="19" width="8.625" style="1"/>
    <col min="20" max="20" width="11.125" style="1" customWidth="1"/>
    <col min="21" max="21" width="10.625" style="1" customWidth="1"/>
    <col min="22" max="22" width="12.125" style="1" customWidth="1"/>
    <col min="23" max="23" width="14.125" style="1" customWidth="1"/>
    <col min="24" max="24" width="13.625" style="3" customWidth="1"/>
    <col min="25" max="16383" width="8.625" style="3"/>
    <col min="16384" max="16384" width="8.625" style="3" bestFit="1"/>
  </cols>
  <sheetData>
    <row r="1" spans="2:25" ht="18.600000000000001" customHeight="1" thickBot="1" x14ac:dyDescent="0.25"/>
    <row r="2" spans="2:25" ht="18.75" thickBot="1" x14ac:dyDescent="0.3">
      <c r="B2" s="51" t="s">
        <v>173</v>
      </c>
      <c r="C2" s="2"/>
      <c r="D2" s="62" t="s">
        <v>174</v>
      </c>
      <c r="F2" s="37" t="s">
        <v>175</v>
      </c>
      <c r="H2" s="37" t="s">
        <v>176</v>
      </c>
      <c r="J2" s="4"/>
      <c r="K2" s="4"/>
      <c r="L2" s="4"/>
      <c r="M2" s="4"/>
      <c r="O2" s="135"/>
      <c r="Q2" s="135"/>
    </row>
    <row r="3" spans="2:25" x14ac:dyDescent="0.2">
      <c r="B3" s="52" t="s">
        <v>177</v>
      </c>
      <c r="C3" s="31"/>
      <c r="D3" s="54" t="s">
        <v>178</v>
      </c>
      <c r="E3" s="49"/>
      <c r="F3" s="43" t="s">
        <v>179</v>
      </c>
      <c r="H3" s="43" t="s">
        <v>180</v>
      </c>
      <c r="O3" s="44"/>
      <c r="Q3" s="44"/>
      <c r="Y3" s="1"/>
    </row>
    <row r="4" spans="2:25" x14ac:dyDescent="0.2">
      <c r="B4" s="35" t="s">
        <v>181</v>
      </c>
      <c r="C4" s="31"/>
      <c r="D4" s="39" t="s">
        <v>182</v>
      </c>
      <c r="E4" s="49"/>
      <c r="F4" s="36" t="s">
        <v>183</v>
      </c>
      <c r="H4" s="36" t="s">
        <v>184</v>
      </c>
      <c r="O4" s="44"/>
      <c r="Q4" s="44"/>
      <c r="Y4" s="1"/>
    </row>
    <row r="5" spans="2:25" ht="15" thickBot="1" x14ac:dyDescent="0.25">
      <c r="B5" s="35" t="s">
        <v>185</v>
      </c>
      <c r="C5" s="31"/>
      <c r="D5" s="39" t="s">
        <v>186</v>
      </c>
      <c r="E5" s="49"/>
      <c r="F5" s="42" t="s">
        <v>187</v>
      </c>
      <c r="H5" s="42"/>
      <c r="O5" s="44"/>
      <c r="Q5" s="44"/>
      <c r="Y5" s="1"/>
    </row>
    <row r="6" spans="2:25" x14ac:dyDescent="0.2">
      <c r="B6" s="38" t="s">
        <v>188</v>
      </c>
      <c r="C6" s="31"/>
      <c r="D6" s="39" t="s">
        <v>189</v>
      </c>
      <c r="E6" s="49"/>
      <c r="O6" s="44"/>
      <c r="Q6" s="44"/>
    </row>
    <row r="7" spans="2:25" ht="15" x14ac:dyDescent="0.25">
      <c r="B7" s="35" t="s">
        <v>190</v>
      </c>
      <c r="C7" s="31"/>
      <c r="D7" s="39" t="s">
        <v>191</v>
      </c>
      <c r="E7" s="49"/>
      <c r="F7" s="178"/>
      <c r="G7" s="1" t="s">
        <v>192</v>
      </c>
      <c r="H7" s="2" t="s">
        <v>193</v>
      </c>
      <c r="O7" s="44"/>
      <c r="X7" s="1"/>
    </row>
    <row r="8" spans="2:25" ht="18" x14ac:dyDescent="0.25">
      <c r="B8" s="36" t="s">
        <v>194</v>
      </c>
      <c r="C8" s="2"/>
      <c r="D8" s="40" t="s">
        <v>195</v>
      </c>
      <c r="E8" s="49"/>
      <c r="F8" s="166" t="s">
        <v>196</v>
      </c>
      <c r="G8" s="168">
        <v>0.1</v>
      </c>
      <c r="H8" s="168">
        <v>0</v>
      </c>
      <c r="I8" s="179"/>
      <c r="J8" s="180"/>
      <c r="L8" s="177" t="s">
        <v>197</v>
      </c>
      <c r="M8" s="172" t="s">
        <v>192</v>
      </c>
      <c r="N8" s="172" t="s">
        <v>198</v>
      </c>
      <c r="O8" s="173" t="s">
        <v>193</v>
      </c>
      <c r="P8" s="66"/>
      <c r="Q8" s="66"/>
      <c r="S8" s="3"/>
      <c r="T8" s="3"/>
      <c r="U8" s="3"/>
      <c r="V8" s="3"/>
      <c r="W8" s="3"/>
    </row>
    <row r="9" spans="2:25" ht="18" x14ac:dyDescent="0.25">
      <c r="B9" s="36" t="s">
        <v>199</v>
      </c>
      <c r="D9" s="40" t="s">
        <v>200</v>
      </c>
      <c r="E9" s="49"/>
      <c r="F9" s="166" t="s">
        <v>201</v>
      </c>
      <c r="G9" s="167">
        <v>0</v>
      </c>
      <c r="H9" s="183">
        <f>INDEX(M11:O11,MATCH(H7,M8:O8,0))</f>
        <v>0</v>
      </c>
      <c r="I9" s="179"/>
      <c r="J9" s="181"/>
      <c r="L9" s="177" t="s">
        <v>202</v>
      </c>
      <c r="M9" s="174">
        <v>0.5</v>
      </c>
      <c r="N9" s="174">
        <v>0.8</v>
      </c>
      <c r="O9" s="175">
        <v>0.5</v>
      </c>
      <c r="P9" s="534"/>
      <c r="Q9" s="535"/>
      <c r="T9" s="3"/>
      <c r="U9" s="3"/>
      <c r="V9" s="3"/>
      <c r="W9" s="3"/>
    </row>
    <row r="10" spans="2:25" x14ac:dyDescent="0.2">
      <c r="B10" s="35" t="s">
        <v>203</v>
      </c>
      <c r="D10" s="40" t="s">
        <v>204</v>
      </c>
      <c r="E10" s="49"/>
      <c r="I10" s="179"/>
      <c r="J10" s="181"/>
      <c r="L10" s="177" t="s">
        <v>205</v>
      </c>
      <c r="M10" s="176">
        <v>0.1</v>
      </c>
      <c r="N10" s="176">
        <v>0.1</v>
      </c>
      <c r="O10" s="177">
        <v>0.1</v>
      </c>
      <c r="P10" s="536"/>
      <c r="Q10" s="536"/>
      <c r="T10" s="3"/>
      <c r="U10" s="3"/>
      <c r="V10" s="3"/>
      <c r="W10" s="3"/>
    </row>
    <row r="11" spans="2:25" ht="15" thickBot="1" x14ac:dyDescent="0.25">
      <c r="B11" s="53" t="s">
        <v>206</v>
      </c>
      <c r="C11" s="31"/>
      <c r="D11" s="63" t="s">
        <v>207</v>
      </c>
      <c r="I11" s="179"/>
      <c r="J11" s="182"/>
      <c r="L11" s="177" t="s">
        <v>208</v>
      </c>
      <c r="M11" s="176">
        <v>0</v>
      </c>
      <c r="N11" s="176">
        <v>0</v>
      </c>
      <c r="O11" s="184">
        <v>0</v>
      </c>
      <c r="P11" s="535"/>
      <c r="Q11" s="535"/>
      <c r="T11" s="3"/>
      <c r="U11" s="3"/>
      <c r="V11" s="3"/>
      <c r="W11" s="3"/>
    </row>
    <row r="12" spans="2:25" ht="15.75" thickBot="1" x14ac:dyDescent="0.25">
      <c r="B12" s="31"/>
      <c r="C12" s="31"/>
      <c r="D12" s="39" t="s">
        <v>209</v>
      </c>
      <c r="E12" s="49"/>
      <c r="F12" s="185" t="s">
        <v>210</v>
      </c>
      <c r="N12" s="244"/>
      <c r="O12" s="243"/>
      <c r="Y12" s="1"/>
    </row>
    <row r="13" spans="2:25" x14ac:dyDescent="0.2">
      <c r="B13" s="31"/>
      <c r="C13" s="31"/>
      <c r="D13" s="39" t="s">
        <v>211</v>
      </c>
      <c r="E13" s="49"/>
      <c r="F13" s="186" t="s">
        <v>212</v>
      </c>
    </row>
    <row r="14" spans="2:25" ht="15" thickBot="1" x14ac:dyDescent="0.25">
      <c r="B14" s="31"/>
      <c r="C14" s="31"/>
      <c r="D14" s="39" t="s">
        <v>213</v>
      </c>
      <c r="E14" s="49"/>
      <c r="F14" s="187" t="s">
        <v>214</v>
      </c>
    </row>
    <row r="15" spans="2:25" x14ac:dyDescent="0.2">
      <c r="C15" s="2"/>
      <c r="D15" s="39" t="s">
        <v>215</v>
      </c>
      <c r="E15" s="49"/>
    </row>
    <row r="16" spans="2:25" ht="15" thickBot="1" x14ac:dyDescent="0.25">
      <c r="D16" s="41" t="s">
        <v>216</v>
      </c>
      <c r="E16" s="49"/>
      <c r="X16" s="1"/>
    </row>
    <row r="17" spans="2:25" ht="18.75" thickBot="1" x14ac:dyDescent="0.3">
      <c r="B17" s="4"/>
      <c r="D17" s="44"/>
      <c r="E17" s="4"/>
      <c r="L17" s="242" t="s">
        <v>217</v>
      </c>
      <c r="N17" s="234" t="s">
        <v>218</v>
      </c>
      <c r="O17" s="235" t="s">
        <v>217</v>
      </c>
      <c r="P17" s="236">
        <v>5913</v>
      </c>
      <c r="X17" s="1"/>
    </row>
    <row r="18" spans="2:25" s="6" customFormat="1" ht="18.75" thickBot="1" x14ac:dyDescent="0.3">
      <c r="B18" s="32"/>
      <c r="C18" s="33"/>
      <c r="D18" s="539" t="s">
        <v>219</v>
      </c>
      <c r="E18" s="540"/>
      <c r="F18" s="540"/>
      <c r="G18" s="541"/>
      <c r="H18" s="1"/>
      <c r="I18" s="1"/>
      <c r="J18" s="1"/>
      <c r="K18" s="1"/>
      <c r="L18" s="242" t="s">
        <v>220</v>
      </c>
      <c r="N18" s="279" t="s">
        <v>218</v>
      </c>
      <c r="O18" s="278" t="s">
        <v>220</v>
      </c>
      <c r="P18" s="280">
        <v>6570</v>
      </c>
      <c r="X18" s="3"/>
      <c r="Y18" s="3"/>
    </row>
    <row r="19" spans="2:25" ht="18.75" thickBot="1" x14ac:dyDescent="0.25">
      <c r="B19" s="31"/>
      <c r="C19" s="34"/>
      <c r="D19" s="529" t="s">
        <v>221</v>
      </c>
      <c r="E19" s="530"/>
      <c r="F19" s="530"/>
      <c r="G19" s="531"/>
      <c r="I19" s="62" t="s">
        <v>222</v>
      </c>
      <c r="J19" s="62" t="s">
        <v>223</v>
      </c>
      <c r="L19" s="259" t="s">
        <v>224</v>
      </c>
      <c r="N19" s="237" t="s">
        <v>218</v>
      </c>
      <c r="O19" s="183" t="s">
        <v>224</v>
      </c>
      <c r="P19" s="238">
        <v>6570</v>
      </c>
    </row>
    <row r="20" spans="2:25" ht="15" thickBot="1" x14ac:dyDescent="0.25">
      <c r="B20" s="31"/>
      <c r="C20" s="34"/>
      <c r="D20" s="543" t="s">
        <v>180</v>
      </c>
      <c r="E20" s="544"/>
      <c r="F20" s="537" t="s">
        <v>184</v>
      </c>
      <c r="G20" s="538"/>
      <c r="I20" s="137">
        <v>0.35</v>
      </c>
      <c r="J20" s="137">
        <v>1</v>
      </c>
      <c r="N20" s="239" t="s">
        <v>225</v>
      </c>
      <c r="O20" s="240" t="s">
        <v>226</v>
      </c>
      <c r="P20" s="241">
        <v>6570</v>
      </c>
    </row>
    <row r="21" spans="2:25" ht="15" thickBot="1" x14ac:dyDescent="0.25">
      <c r="B21" s="31"/>
      <c r="C21" s="34"/>
      <c r="D21" s="109" t="s">
        <v>48</v>
      </c>
      <c r="E21" s="110" t="s">
        <v>227</v>
      </c>
      <c r="F21" s="60" t="s">
        <v>48</v>
      </c>
      <c r="G21" s="110" t="s">
        <v>227</v>
      </c>
    </row>
    <row r="22" spans="2:25" ht="18.75" thickBot="1" x14ac:dyDescent="0.3">
      <c r="B22" s="51" t="s">
        <v>173</v>
      </c>
      <c r="C22" s="34"/>
      <c r="D22" s="111">
        <v>15</v>
      </c>
      <c r="E22" s="151">
        <v>0.97699999999999998</v>
      </c>
      <c r="F22" s="55">
        <v>15</v>
      </c>
      <c r="G22" s="151">
        <v>0.97889999999999999</v>
      </c>
      <c r="I22" s="245" t="s">
        <v>228</v>
      </c>
      <c r="J22" s="246" t="s">
        <v>217</v>
      </c>
      <c r="K22" s="246" t="s">
        <v>220</v>
      </c>
      <c r="L22" s="247" t="s">
        <v>224</v>
      </c>
      <c r="M22" s="248">
        <v>2</v>
      </c>
      <c r="N22" s="246" t="s">
        <v>217</v>
      </c>
      <c r="O22" s="246" t="s">
        <v>220</v>
      </c>
      <c r="P22" s="247" t="s">
        <v>224</v>
      </c>
    </row>
    <row r="23" spans="2:25" ht="15" thickBot="1" x14ac:dyDescent="0.25">
      <c r="B23" s="52" t="s">
        <v>177</v>
      </c>
      <c r="C23" s="34"/>
      <c r="D23" s="111">
        <v>25</v>
      </c>
      <c r="E23" s="151">
        <v>0.98</v>
      </c>
      <c r="F23" s="55">
        <v>30</v>
      </c>
      <c r="G23" s="151">
        <v>0.98229999999999995</v>
      </c>
      <c r="I23" s="249" t="s">
        <v>229</v>
      </c>
      <c r="J23" s="250">
        <f>(5.71*10^-5) *UPS!E8 + 0.962</f>
        <v>0.96199999999999997</v>
      </c>
      <c r="K23" s="250">
        <f>(5.71*10^-5) *UPS!E8 + 0.964</f>
        <v>0.96399999999999997</v>
      </c>
      <c r="L23" s="251" t="e">
        <f>0.011 * (LN(UPS!E8)) + 0.824</f>
        <v>#NUM!</v>
      </c>
      <c r="M23" s="249" t="s">
        <v>229</v>
      </c>
      <c r="N23" s="250">
        <f>(5.71*10^-5) *UPS!E9 + 0.962</f>
        <v>0.96199999999999997</v>
      </c>
      <c r="O23" s="250">
        <f>(5.71*10^-5) *UPS!E9 + 0.964</f>
        <v>0.96399999999999997</v>
      </c>
      <c r="P23" s="251" t="e">
        <f>0.011 * (LN(UPS!E9)) + 0.824</f>
        <v>#NUM!</v>
      </c>
    </row>
    <row r="24" spans="2:25" ht="15" thickBot="1" x14ac:dyDescent="0.25">
      <c r="B24" s="31"/>
      <c r="C24" s="34"/>
      <c r="D24" s="111">
        <v>37.5</v>
      </c>
      <c r="E24" s="151">
        <v>0.98199999999999998</v>
      </c>
      <c r="F24" s="55">
        <v>45</v>
      </c>
      <c r="G24" s="151">
        <v>0.98399999999999999</v>
      </c>
      <c r="I24" s="249" t="s">
        <v>230</v>
      </c>
      <c r="J24" s="250">
        <v>0.98199999999999998</v>
      </c>
      <c r="K24" s="250">
        <v>0.98399999999999999</v>
      </c>
      <c r="L24" s="251" t="e">
        <f>0.011*(LN(UPS!E8)+0.824)</f>
        <v>#NUM!</v>
      </c>
      <c r="M24" s="249" t="s">
        <v>230</v>
      </c>
      <c r="N24" s="250">
        <v>0.98199999999999998</v>
      </c>
      <c r="O24" s="250">
        <v>0.98399999999999999</v>
      </c>
      <c r="P24" s="251" t="e">
        <f>0.011 * (LN(UPS!E9)) + 0.824</f>
        <v>#NUM!</v>
      </c>
    </row>
    <row r="25" spans="2:25" ht="15" thickBot="1" x14ac:dyDescent="0.25">
      <c r="B25" s="31"/>
      <c r="C25" s="34"/>
      <c r="D25" s="111">
        <v>50</v>
      </c>
      <c r="E25" s="151">
        <v>0.98299999999999998</v>
      </c>
      <c r="F25" s="55">
        <v>75</v>
      </c>
      <c r="G25" s="151">
        <v>0.98599999999999999</v>
      </c>
      <c r="I25" s="252" t="s">
        <v>231</v>
      </c>
      <c r="J25" s="253">
        <f>0.981</f>
        <v>0.98099999999999998</v>
      </c>
      <c r="K25" s="253">
        <f>0.981</f>
        <v>0.98099999999999998</v>
      </c>
      <c r="L25" s="254" t="e">
        <f>0.0145 * LN(UPS!E8) + 0.8</f>
        <v>#NUM!</v>
      </c>
      <c r="M25" s="252" t="s">
        <v>231</v>
      </c>
      <c r="N25" s="253">
        <f>0.981</f>
        <v>0.98099999999999998</v>
      </c>
      <c r="O25" s="253">
        <f>0.981</f>
        <v>0.98099999999999998</v>
      </c>
      <c r="P25" s="254" t="e">
        <f>0.0145 * LN(UPS!E9) + 0.8</f>
        <v>#NUM!</v>
      </c>
    </row>
    <row r="26" spans="2:25" ht="15" thickBot="1" x14ac:dyDescent="0.25">
      <c r="D26" s="111">
        <v>75</v>
      </c>
      <c r="E26" s="151">
        <v>0.98499999999999999</v>
      </c>
      <c r="F26" s="55">
        <v>112.5</v>
      </c>
      <c r="G26" s="151">
        <v>0.98740000000000006</v>
      </c>
      <c r="I26" s="248">
        <v>3</v>
      </c>
      <c r="J26" s="246" t="s">
        <v>217</v>
      </c>
      <c r="K26" s="246" t="s">
        <v>220</v>
      </c>
      <c r="L26" s="247" t="s">
        <v>224</v>
      </c>
      <c r="M26" s="248">
        <v>4</v>
      </c>
      <c r="N26" s="246" t="s">
        <v>217</v>
      </c>
      <c r="O26" s="246" t="s">
        <v>220</v>
      </c>
      <c r="P26" s="247" t="s">
        <v>224</v>
      </c>
    </row>
    <row r="27" spans="2:25" ht="15" thickBot="1" x14ac:dyDescent="0.25">
      <c r="D27" s="111">
        <v>100</v>
      </c>
      <c r="E27" s="151">
        <v>0.98599999999999999</v>
      </c>
      <c r="F27" s="55">
        <v>150</v>
      </c>
      <c r="G27" s="151">
        <v>0.98829999999999996</v>
      </c>
      <c r="I27" s="249" t="s">
        <v>229</v>
      </c>
      <c r="J27" s="250">
        <f>(5.71*10^-5) *UPS!E10+ 0.962</f>
        <v>0.96199999999999997</v>
      </c>
      <c r="K27" s="250">
        <f>(5.71*10^-5) *UPS!E10 + 0.964</f>
        <v>0.96399999999999997</v>
      </c>
      <c r="L27" s="251" t="e">
        <f>0.011 * (LN(UPS!E10)) + 0.824</f>
        <v>#NUM!</v>
      </c>
      <c r="M27" s="249" t="s">
        <v>229</v>
      </c>
      <c r="N27" s="250">
        <f>(5.71*10^-5) *UPS!E11 + 0.962</f>
        <v>0.96199999999999997</v>
      </c>
      <c r="O27" s="250">
        <f>(5.71*10^-5) *UPS!E11 + 0.964</f>
        <v>0.96399999999999997</v>
      </c>
      <c r="P27" s="251" t="e">
        <f>0.011 * (LN(UPS!E11)) + 0.824</f>
        <v>#NUM!</v>
      </c>
    </row>
    <row r="28" spans="2:25" ht="14.85" customHeight="1" thickBot="1" x14ac:dyDescent="0.25">
      <c r="D28" s="111">
        <v>167</v>
      </c>
      <c r="E28" s="151">
        <v>0.98699999999999999</v>
      </c>
      <c r="F28" s="55">
        <v>225</v>
      </c>
      <c r="G28" s="151">
        <v>0.98939999999999995</v>
      </c>
      <c r="I28" s="249" t="s">
        <v>230</v>
      </c>
      <c r="J28" s="250">
        <v>0.98199999999999998</v>
      </c>
      <c r="K28" s="250">
        <v>0.98399999999999999</v>
      </c>
      <c r="L28" s="251" t="e">
        <f>0.011 * (LN(UPS!E10)) + 0.824</f>
        <v>#NUM!</v>
      </c>
      <c r="M28" s="249" t="s">
        <v>230</v>
      </c>
      <c r="N28" s="250">
        <v>0.98199999999999998</v>
      </c>
      <c r="O28" s="250">
        <v>0.98399999999999999</v>
      </c>
      <c r="P28" s="251" t="e">
        <f>0.011 * (LN(UPS!E11)) + 0.824</f>
        <v>#NUM!</v>
      </c>
    </row>
    <row r="29" spans="2:25" ht="14.85" customHeight="1" thickBot="1" x14ac:dyDescent="0.25">
      <c r="D29" s="111">
        <v>250</v>
      </c>
      <c r="E29" s="151">
        <v>0.98799999999999999</v>
      </c>
      <c r="F29" s="55">
        <v>300</v>
      </c>
      <c r="G29" s="151">
        <v>0.99019999999999997</v>
      </c>
      <c r="I29" s="252" t="s">
        <v>231</v>
      </c>
      <c r="J29" s="253">
        <f>0.981</f>
        <v>0.98099999999999998</v>
      </c>
      <c r="K29" s="253">
        <f>0.981</f>
        <v>0.98099999999999998</v>
      </c>
      <c r="L29" s="254" t="e">
        <f>0.0145 * LN(UPS!E10) + 0.8</f>
        <v>#NUM!</v>
      </c>
      <c r="M29" s="252" t="s">
        <v>231</v>
      </c>
      <c r="N29" s="253">
        <f>0.981</f>
        <v>0.98099999999999998</v>
      </c>
      <c r="O29" s="253">
        <f>0.981</f>
        <v>0.98099999999999998</v>
      </c>
      <c r="P29" s="254" t="e">
        <f>0.0145 * LN(UPS!E11) + 0.8</f>
        <v>#NUM!</v>
      </c>
    </row>
    <row r="30" spans="2:25" ht="18.75" thickBot="1" x14ac:dyDescent="0.25">
      <c r="B30" s="136"/>
      <c r="C30" s="136"/>
      <c r="D30" s="111">
        <v>333</v>
      </c>
      <c r="E30" s="151">
        <v>0.98899999999999999</v>
      </c>
      <c r="F30" s="55">
        <v>500</v>
      </c>
      <c r="G30" s="151">
        <v>0.99139999999999995</v>
      </c>
      <c r="H30" s="136"/>
      <c r="I30" s="248">
        <v>5</v>
      </c>
      <c r="J30" s="246" t="s">
        <v>217</v>
      </c>
      <c r="K30" s="246" t="s">
        <v>220</v>
      </c>
      <c r="L30" s="247" t="s">
        <v>224</v>
      </c>
      <c r="M30" s="248">
        <v>6</v>
      </c>
      <c r="N30" s="246" t="s">
        <v>217</v>
      </c>
      <c r="O30" s="246" t="s">
        <v>220</v>
      </c>
      <c r="P30" s="247" t="s">
        <v>224</v>
      </c>
      <c r="T30" s="136"/>
      <c r="U30" s="136"/>
      <c r="V30" s="3"/>
      <c r="W30" s="3"/>
    </row>
    <row r="31" spans="2:25" ht="14.85" customHeight="1" thickBot="1" x14ac:dyDescent="0.25">
      <c r="B31" s="117"/>
      <c r="C31" s="118"/>
      <c r="D31" s="111" t="s">
        <v>232</v>
      </c>
      <c r="E31" s="151" t="s">
        <v>232</v>
      </c>
      <c r="F31" s="55">
        <v>750</v>
      </c>
      <c r="G31" s="151">
        <v>0.99229999999999996</v>
      </c>
      <c r="H31" s="116"/>
      <c r="I31" s="249" t="s">
        <v>229</v>
      </c>
      <c r="J31" s="250">
        <f>(5.71*10^-5) *UPS!E12 + 0.962</f>
        <v>0.96199999999999997</v>
      </c>
      <c r="K31" s="250">
        <f>(5.71*10^-5) *UPS!E12 + 0.964</f>
        <v>0.96399999999999997</v>
      </c>
      <c r="L31" s="251" t="e">
        <f>0.011 * (LN(UPS!E12)) + 0.824</f>
        <v>#NUM!</v>
      </c>
      <c r="M31" s="249" t="s">
        <v>229</v>
      </c>
      <c r="N31" s="250">
        <f>(5.71*10^-5) *UPS!E13 + 0.962</f>
        <v>0.96199999999999997</v>
      </c>
      <c r="O31" s="250">
        <f>(5.71*10^-5) *UPS!E13 + 0.964</f>
        <v>0.96399999999999997</v>
      </c>
      <c r="P31" s="251" t="e">
        <f>0.011 * (LN(UPS!E13)) + 0.824</f>
        <v>#NUM!</v>
      </c>
      <c r="T31" s="116"/>
      <c r="U31" s="116"/>
    </row>
    <row r="32" spans="2:25" ht="14.85" customHeight="1" thickBot="1" x14ac:dyDescent="0.25">
      <c r="B32" s="120"/>
      <c r="C32" s="34"/>
      <c r="D32" s="111" t="s">
        <v>232</v>
      </c>
      <c r="E32" s="151" t="s">
        <v>232</v>
      </c>
      <c r="F32" s="56">
        <v>1000</v>
      </c>
      <c r="G32" s="151">
        <v>0.99280000000000002</v>
      </c>
      <c r="I32" s="249" t="s">
        <v>230</v>
      </c>
      <c r="J32" s="250">
        <v>0.98199999999999998</v>
      </c>
      <c r="K32" s="250">
        <v>0.98399999999999999</v>
      </c>
      <c r="L32" s="251" t="e">
        <f>0.011 * (LN(UPS!E12)) + 0.824</f>
        <v>#NUM!</v>
      </c>
      <c r="M32" s="249" t="s">
        <v>230</v>
      </c>
      <c r="N32" s="250">
        <v>0.98199999999999998</v>
      </c>
      <c r="O32" s="250">
        <v>0.98399999999999999</v>
      </c>
      <c r="P32" s="251" t="e">
        <f>0.011 * (LN(UPS!E13)) + 0.824</f>
        <v>#NUM!</v>
      </c>
    </row>
    <row r="33" spans="2:29" ht="14.85" customHeight="1" thickBot="1" x14ac:dyDescent="0.25">
      <c r="B33" s="120"/>
      <c r="C33" s="34"/>
      <c r="I33" s="252" t="s">
        <v>231</v>
      </c>
      <c r="J33" s="253">
        <f>0.981</f>
        <v>0.98099999999999998</v>
      </c>
      <c r="K33" s="253">
        <f>0.981</f>
        <v>0.98099999999999998</v>
      </c>
      <c r="L33" s="254" t="e">
        <f>0.0145 * LN(UPS!E12) + 0.8</f>
        <v>#NUM!</v>
      </c>
      <c r="M33" s="252" t="s">
        <v>231</v>
      </c>
      <c r="N33" s="253">
        <f>0.981</f>
        <v>0.98099999999999998</v>
      </c>
      <c r="O33" s="253">
        <f>0.981</f>
        <v>0.98099999999999998</v>
      </c>
      <c r="P33" s="254" t="e">
        <f>0.0145 * LN(UPS!E13) + 0.8</f>
        <v>#NUM!</v>
      </c>
    </row>
    <row r="34" spans="2:29" s="6" customFormat="1" ht="14.85" customHeight="1" thickBot="1" x14ac:dyDescent="0.3">
      <c r="B34" s="120"/>
      <c r="C34" s="34"/>
      <c r="D34" s="1"/>
      <c r="E34" s="1"/>
      <c r="F34" s="1"/>
      <c r="G34" s="1"/>
      <c r="H34" s="1"/>
      <c r="I34" s="248">
        <v>7</v>
      </c>
      <c r="J34" s="246" t="s">
        <v>217</v>
      </c>
      <c r="K34" s="246" t="s">
        <v>220</v>
      </c>
      <c r="L34" s="247" t="s">
        <v>224</v>
      </c>
      <c r="M34" s="248">
        <v>8</v>
      </c>
      <c r="N34" s="246" t="s">
        <v>217</v>
      </c>
      <c r="O34" s="246" t="s">
        <v>220</v>
      </c>
      <c r="P34" s="247" t="s">
        <v>224</v>
      </c>
      <c r="Q34" s="1"/>
      <c r="R34" s="1"/>
      <c r="S34" s="1"/>
      <c r="T34" s="1"/>
      <c r="U34" s="1"/>
      <c r="V34" s="1"/>
      <c r="W34" s="1"/>
      <c r="X34" s="3"/>
      <c r="Y34" s="3"/>
      <c r="Z34" s="3"/>
      <c r="AA34" s="3"/>
      <c r="AB34" s="3"/>
      <c r="AC34" s="3"/>
    </row>
    <row r="35" spans="2:29" ht="14.85" customHeight="1" thickBot="1" x14ac:dyDescent="0.3">
      <c r="B35" s="44"/>
      <c r="C35" s="34"/>
      <c r="D35" s="542" t="s">
        <v>233</v>
      </c>
      <c r="E35" s="540"/>
      <c r="F35" s="540"/>
      <c r="G35" s="541"/>
      <c r="I35" s="249" t="s">
        <v>229</v>
      </c>
      <c r="J35" s="250">
        <f>(5.71*10^-5) *UPS!E14 + 0.962</f>
        <v>0.96199999999999997</v>
      </c>
      <c r="K35" s="250">
        <f>(5.71*10^-5) *UPS!E14 + 0.964</f>
        <v>0.96399999999999997</v>
      </c>
      <c r="L35" s="251" t="e">
        <f>0.011 * (LN(UPS!E14)) + 0.824</f>
        <v>#NUM!</v>
      </c>
      <c r="M35" s="249" t="s">
        <v>229</v>
      </c>
      <c r="N35" s="250">
        <f>(5.71*10^-5) *UPS!E15 + 0.962</f>
        <v>0.96199999999999997</v>
      </c>
      <c r="O35" s="250">
        <f>(5.71*10^-5) *UPS!E15 + 0.964</f>
        <v>0.96399999999999997</v>
      </c>
      <c r="P35" s="251" t="e">
        <f>0.011 * (LN(UPS!E15)) + 0.824</f>
        <v>#NUM!</v>
      </c>
      <c r="Q35" s="6"/>
      <c r="R35" s="6"/>
      <c r="S35" s="6"/>
    </row>
    <row r="36" spans="2:29" ht="14.85" customHeight="1" thickBot="1" x14ac:dyDescent="0.25">
      <c r="B36" s="44"/>
      <c r="C36" s="34"/>
      <c r="D36" s="529" t="s">
        <v>234</v>
      </c>
      <c r="E36" s="530"/>
      <c r="F36" s="530"/>
      <c r="G36" s="531"/>
      <c r="I36" s="249" t="s">
        <v>230</v>
      </c>
      <c r="J36" s="250">
        <v>0.98199999999999998</v>
      </c>
      <c r="K36" s="250">
        <v>0.98399999999999999</v>
      </c>
      <c r="L36" s="251" t="e">
        <f>0.011 * (LN(UPS!E14)) + 0.824</f>
        <v>#NUM!</v>
      </c>
      <c r="M36" s="249" t="s">
        <v>230</v>
      </c>
      <c r="N36" s="250">
        <v>0.98199999999999998</v>
      </c>
      <c r="O36" s="250">
        <v>0.98399999999999999</v>
      </c>
      <c r="P36" s="251" t="e">
        <f>0.011 * (LN(UPS!E15)) + 0.824</f>
        <v>#NUM!</v>
      </c>
    </row>
    <row r="37" spans="2:29" ht="14.85" customHeight="1" thickBot="1" x14ac:dyDescent="0.25">
      <c r="B37" s="121"/>
      <c r="C37" s="34"/>
      <c r="D37" s="61" t="s">
        <v>235</v>
      </c>
      <c r="E37" s="98" t="s">
        <v>236</v>
      </c>
      <c r="F37" s="98" t="s">
        <v>237</v>
      </c>
      <c r="G37" s="98" t="s">
        <v>238</v>
      </c>
      <c r="I37" s="252" t="s">
        <v>231</v>
      </c>
      <c r="J37" s="253">
        <f>0.981</f>
        <v>0.98099999999999998</v>
      </c>
      <c r="K37" s="253">
        <f>0.981</f>
        <v>0.98099999999999998</v>
      </c>
      <c r="L37" s="254" t="e">
        <f>0.0145 * LN(UPS!E14) + 0.8</f>
        <v>#NUM!</v>
      </c>
      <c r="M37" s="252" t="s">
        <v>231</v>
      </c>
      <c r="N37" s="253">
        <f>0.981</f>
        <v>0.98099999999999998</v>
      </c>
      <c r="O37" s="253">
        <f>0.981</f>
        <v>0.98099999999999998</v>
      </c>
      <c r="P37" s="254" t="e">
        <f>0.0145 * LN(UPS!E15) + 0.8</f>
        <v>#NUM!</v>
      </c>
    </row>
    <row r="38" spans="2:29" ht="30" customHeight="1" thickBot="1" x14ac:dyDescent="0.25">
      <c r="B38" s="122"/>
      <c r="C38" s="34"/>
      <c r="D38" s="522" t="s">
        <v>239</v>
      </c>
      <c r="E38" s="526" t="s">
        <v>62</v>
      </c>
      <c r="F38" s="55" t="s">
        <v>240</v>
      </c>
      <c r="G38" s="55" t="s">
        <v>240</v>
      </c>
      <c r="I38" s="248">
        <v>9</v>
      </c>
      <c r="J38" s="246" t="s">
        <v>217</v>
      </c>
      <c r="K38" s="246" t="s">
        <v>220</v>
      </c>
      <c r="L38" s="247" t="s">
        <v>224</v>
      </c>
      <c r="M38" s="248">
        <v>10</v>
      </c>
      <c r="N38" s="246" t="s">
        <v>217</v>
      </c>
      <c r="O38" s="246" t="s">
        <v>220</v>
      </c>
      <c r="P38" s="247" t="s">
        <v>224</v>
      </c>
    </row>
    <row r="39" spans="2:29" ht="19.5" customHeight="1" thickBot="1" x14ac:dyDescent="0.25">
      <c r="B39" s="120"/>
      <c r="C39" s="34"/>
      <c r="D39" s="523"/>
      <c r="E39" s="527"/>
      <c r="F39" s="55" t="s">
        <v>241</v>
      </c>
      <c r="G39" s="55">
        <v>2</v>
      </c>
      <c r="I39" s="249" t="s">
        <v>229</v>
      </c>
      <c r="J39" s="250">
        <f>(5.71*10^-5) *UPS!E16 + 0.962</f>
        <v>0.96199999999999997</v>
      </c>
      <c r="K39" s="250">
        <f>(5.71*10^-5) *UPS!E16 + 0.964</f>
        <v>0.96399999999999997</v>
      </c>
      <c r="L39" s="251" t="e">
        <f>0.011 * (LN(UPS!E16)) + 0.824</f>
        <v>#NUM!</v>
      </c>
      <c r="M39" s="249" t="s">
        <v>229</v>
      </c>
      <c r="N39" s="250">
        <f>(5.71*10^-5) *UPS!E17 + 0.962</f>
        <v>0.96199999999999997</v>
      </c>
      <c r="O39" s="250">
        <f>(5.71*10^-5) *UPS!E17 + 0.964</f>
        <v>0.96399999999999997</v>
      </c>
      <c r="P39" s="251" t="e">
        <f>0.011 * (LN(UPS!E17)) + 0.824</f>
        <v>#NUM!</v>
      </c>
    </row>
    <row r="40" spans="2:29" ht="24.75" customHeight="1" thickBot="1" x14ac:dyDescent="0.25">
      <c r="B40" s="120"/>
      <c r="C40" s="34"/>
      <c r="D40" s="522" t="s">
        <v>242</v>
      </c>
      <c r="E40" s="526" t="s">
        <v>243</v>
      </c>
      <c r="F40" s="55" t="s">
        <v>240</v>
      </c>
      <c r="G40" s="55" t="s">
        <v>240</v>
      </c>
      <c r="I40" s="249" t="s">
        <v>230</v>
      </c>
      <c r="J40" s="250">
        <v>0.98199999999999998</v>
      </c>
      <c r="K40" s="250">
        <v>0.98399999999999999</v>
      </c>
      <c r="L40" s="251" t="e">
        <f>0.011 * (LN(UPS!E16)) + 0.824</f>
        <v>#NUM!</v>
      </c>
      <c r="M40" s="249" t="s">
        <v>230</v>
      </c>
      <c r="N40" s="250">
        <v>0.98199999999999998</v>
      </c>
      <c r="O40" s="250">
        <v>0.98399999999999999</v>
      </c>
      <c r="P40" s="251" t="e">
        <f>0.011 * (LN(UPS!E17)) + 0.824</f>
        <v>#NUM!</v>
      </c>
    </row>
    <row r="41" spans="2:29" ht="14.85" customHeight="1" thickBot="1" x14ac:dyDescent="0.25">
      <c r="B41" s="120"/>
      <c r="C41" s="34"/>
      <c r="D41" s="523"/>
      <c r="E41" s="527"/>
      <c r="F41" s="55" t="s">
        <v>244</v>
      </c>
      <c r="G41" s="55">
        <v>2</v>
      </c>
      <c r="I41" s="252" t="s">
        <v>231</v>
      </c>
      <c r="J41" s="253">
        <f>0.981</f>
        <v>0.98099999999999998</v>
      </c>
      <c r="K41" s="253">
        <f>0.981</f>
        <v>0.98099999999999998</v>
      </c>
      <c r="L41" s="254" t="e">
        <f>0.0145 * LN(UPS!E16) + 0.8</f>
        <v>#NUM!</v>
      </c>
      <c r="M41" s="252" t="s">
        <v>231</v>
      </c>
      <c r="N41" s="253">
        <f>0.981</f>
        <v>0.98099999999999998</v>
      </c>
      <c r="O41" s="253">
        <f>0.981</f>
        <v>0.98099999999999998</v>
      </c>
      <c r="P41" s="254" t="e">
        <f>0.0145 * LN(UPS!E17) + 0.8</f>
        <v>#NUM!</v>
      </c>
    </row>
    <row r="42" spans="2:29" ht="24.75" thickBot="1" x14ac:dyDescent="0.25">
      <c r="B42" s="31"/>
      <c r="C42" s="34"/>
      <c r="D42" s="522" t="s">
        <v>245</v>
      </c>
      <c r="E42" s="526" t="s">
        <v>246</v>
      </c>
      <c r="F42" s="55" t="s">
        <v>240</v>
      </c>
      <c r="G42" s="55" t="s">
        <v>240</v>
      </c>
      <c r="H42" s="34"/>
      <c r="I42"/>
      <c r="J42"/>
      <c r="K42"/>
      <c r="L42"/>
      <c r="M42"/>
      <c r="N42"/>
      <c r="O42"/>
      <c r="P42"/>
    </row>
    <row r="43" spans="2:29" ht="18.75" thickBot="1" x14ac:dyDescent="0.25">
      <c r="B43" s="136"/>
      <c r="C43" s="136"/>
      <c r="D43" s="523"/>
      <c r="E43" s="527"/>
      <c r="F43" s="55" t="s">
        <v>247</v>
      </c>
      <c r="G43" s="55">
        <v>2</v>
      </c>
      <c r="H43" s="136"/>
      <c r="I43" s="245" t="s">
        <v>248</v>
      </c>
      <c r="J43" s="246" t="s">
        <v>217</v>
      </c>
      <c r="K43" s="246" t="s">
        <v>220</v>
      </c>
      <c r="L43" s="247" t="s">
        <v>224</v>
      </c>
      <c r="M43" s="248">
        <v>2</v>
      </c>
      <c r="N43" s="246" t="s">
        <v>217</v>
      </c>
      <c r="O43" s="246" t="s">
        <v>220</v>
      </c>
      <c r="P43" s="247" t="s">
        <v>224</v>
      </c>
    </row>
    <row r="44" spans="2:29" ht="24.75" thickBot="1" x14ac:dyDescent="0.25">
      <c r="B44" s="119"/>
      <c r="C44" s="118"/>
      <c r="D44" s="522" t="s">
        <v>249</v>
      </c>
      <c r="E44" s="526" t="s">
        <v>250</v>
      </c>
      <c r="F44" s="55" t="s">
        <v>240</v>
      </c>
      <c r="G44" s="55" t="s">
        <v>240</v>
      </c>
      <c r="H44" s="118"/>
      <c r="I44" s="249" t="s">
        <v>251</v>
      </c>
      <c r="J44" s="250">
        <f>-1.2*10^-6 *UPS!E8^ 2 + 7.17*10^-4 *UPS!E8 + 0.862</f>
        <v>0.86199999999999999</v>
      </c>
      <c r="K44" s="250">
        <f>(-1.2*10^-8) * (UPS!E8^2) + (7.19*10^-4) *UPS!E8 + 0.863</f>
        <v>0.86299999999999999</v>
      </c>
      <c r="L44" s="255">
        <f>(-3.13*10^-8) * (UPS!E8^2) + (1.96*10^-4) *UPS!E8 + 0.543</f>
        <v>0.54300000000000004</v>
      </c>
      <c r="M44" s="249" t="s">
        <v>251</v>
      </c>
      <c r="N44" s="250">
        <f>(-1.2*10^-6) * (UPS!E9^2) + (7.17*10^-4) *UPS!E9 + 0.862</f>
        <v>0.86199999999999999</v>
      </c>
      <c r="O44" s="250">
        <f>(-1.2*10^-8) * (UPS!E9^2) + (7.19*10^-4) *UPS!E9 + 0.863</f>
        <v>0.86299999999999999</v>
      </c>
      <c r="P44" s="256">
        <f>(-3.13*10^-8) * (UPS!E9^2) + (1.96*10^-4) *UPS!E9 + 0.543</f>
        <v>0.54300000000000004</v>
      </c>
    </row>
    <row r="45" spans="2:29" ht="15" thickBot="1" x14ac:dyDescent="0.25">
      <c r="B45" s="119"/>
      <c r="C45" s="118"/>
      <c r="D45" s="523"/>
      <c r="E45" s="527"/>
      <c r="F45" s="55" t="s">
        <v>252</v>
      </c>
      <c r="G45" s="55">
        <v>2</v>
      </c>
      <c r="H45" s="118"/>
      <c r="I45" s="249" t="s">
        <v>253</v>
      </c>
      <c r="J45" s="250">
        <f>(-7.85*10^-8) * (UPS!E8^2) + (1.01*10^-4) *UPS!E8 + 0.946</f>
        <v>0.94599999999999995</v>
      </c>
      <c r="K45" s="250">
        <f>(-7.67*10^-8) * (UPS!E8^2) + (1.05*10^-4) *UPS!E8 + 0.946</f>
        <v>0.94599999999999995</v>
      </c>
      <c r="L45" s="250">
        <f>(-2.6*10^-8) * (UPS!E8^2) + (3.65*10^-4) *UPS!E8 + 0.764</f>
        <v>0.76400000000000001</v>
      </c>
      <c r="M45" s="249" t="s">
        <v>253</v>
      </c>
      <c r="N45" s="250">
        <f>(-7.85*10^-8) * (UPS!E9^2) + (1.01*10^-4) *UPS!E9 + 0.946</f>
        <v>0.94599999999999995</v>
      </c>
      <c r="O45" s="250">
        <f>(-7.67*10^-8) * (UPS!E9^2) + (1.05*10^-4) *UPS!E9 + 0.946</f>
        <v>0.94599999999999995</v>
      </c>
      <c r="P45" s="251">
        <f>(-2.6*10^-8) * (UPS!E9^2) + (3.65*10^-4) *UPS!E9 + 0.764</f>
        <v>0.76400000000000001</v>
      </c>
    </row>
    <row r="46" spans="2:29" ht="15" thickBot="1" x14ac:dyDescent="0.25">
      <c r="B46" s="120"/>
      <c r="C46" s="123"/>
      <c r="D46" s="123"/>
      <c r="E46" s="123"/>
      <c r="F46" s="123"/>
      <c r="G46" s="123"/>
      <c r="H46" s="123"/>
      <c r="I46" s="252" t="s">
        <v>254</v>
      </c>
      <c r="J46" s="250">
        <f>(-7.23*10^-9) * (UPS!E8^2) + (7.52*10^-6) *UPS!E8 + 0.977</f>
        <v>0.97699999999999998</v>
      </c>
      <c r="K46" s="255">
        <f>(-4.62*10^-9) * (UPS!E8^2) + (8.54*10^-6) *UPS!E8 + 0.979</f>
        <v>0.97899999999999998</v>
      </c>
      <c r="L46" s="255">
        <f>(-1.7*10^-8) * (UPS!E8^2) + (3.85*10^-6) *UPS!E8 + 0.876</f>
        <v>0.876</v>
      </c>
      <c r="M46" s="252" t="s">
        <v>254</v>
      </c>
      <c r="N46" s="250">
        <f>(-7.23*10^-9) * (UPS!E9^2) + (7.52*10^-6) *UPS!E9 + 0.977</f>
        <v>0.97699999999999998</v>
      </c>
      <c r="O46" s="285">
        <f>(-4.62*10^-9) * (UPS!E9^2) + (8.54*10^-6) *UPS!E9 + 0.979</f>
        <v>0.97899999999999998</v>
      </c>
      <c r="P46" s="256">
        <f>(-1.7*10^-8) * (UPS!E9^2) + (3.85*10^-6) *UPS!E9 + 0.876</f>
        <v>0.876</v>
      </c>
    </row>
    <row r="47" spans="2:29" ht="15" thickBot="1" x14ac:dyDescent="0.25">
      <c r="B47" s="120"/>
      <c r="C47" s="123"/>
      <c r="D47" s="123"/>
      <c r="E47" s="123"/>
      <c r="F47" s="123"/>
      <c r="G47" s="123"/>
      <c r="H47" s="123"/>
      <c r="I47" s="248">
        <v>3</v>
      </c>
      <c r="J47" s="246" t="s">
        <v>217</v>
      </c>
      <c r="K47" s="246" t="s">
        <v>220</v>
      </c>
      <c r="L47" s="247" t="s">
        <v>224</v>
      </c>
      <c r="M47" s="248">
        <v>4</v>
      </c>
      <c r="N47" s="246" t="s">
        <v>217</v>
      </c>
      <c r="O47" s="246" t="s">
        <v>220</v>
      </c>
      <c r="P47" s="247" t="s">
        <v>224</v>
      </c>
    </row>
    <row r="48" spans="2:29" ht="18.75" thickBot="1" x14ac:dyDescent="0.25">
      <c r="B48" s="120"/>
      <c r="C48" s="123"/>
      <c r="D48" s="62" t="s">
        <v>255</v>
      </c>
      <c r="E48" s="62"/>
      <c r="F48" s="123"/>
      <c r="G48" s="123"/>
      <c r="H48" s="123"/>
      <c r="I48" s="249" t="s">
        <v>251</v>
      </c>
      <c r="J48" s="250">
        <f>-1.2*10^-6 *UPS!E10^ 2 + 7.17*10^-4 *UPS!E10 + 0.862</f>
        <v>0.86199999999999999</v>
      </c>
      <c r="K48" s="250">
        <f>(-1.2*10^-8) * (UPS!E10^2) + (7.19*10^-4) *UPS!E10 + 0.863</f>
        <v>0.86299999999999999</v>
      </c>
      <c r="L48" s="255">
        <f>(-3.13*10^-8) * (UPS!E10^2) + (1.96*10^-4) *UPS!E10 + 0.543</f>
        <v>0.54300000000000004</v>
      </c>
      <c r="M48" s="249" t="s">
        <v>251</v>
      </c>
      <c r="N48" s="250">
        <f>(-1.2*10^-6) * (UPS!E11^2) + (7.17*10^-4) *UPS!E11 + 0.862</f>
        <v>0.86199999999999999</v>
      </c>
      <c r="O48" s="250">
        <f>(-1.2*10^-8) * (UPS!E11^2) + (7.19*10^-4) *UPS!E11 + 0.863</f>
        <v>0.86299999999999999</v>
      </c>
      <c r="P48" s="256">
        <f>(-3.13*10^-8) * (UPS!E11^2) + (1.96*10^-4) *UPS!E11 + 0.543</f>
        <v>0.54300000000000004</v>
      </c>
    </row>
    <row r="49" spans="2:16" x14ac:dyDescent="0.2">
      <c r="B49" s="120"/>
      <c r="C49" s="123"/>
      <c r="D49" s="157" t="s">
        <v>256</v>
      </c>
      <c r="E49" s="524" t="s">
        <v>257</v>
      </c>
      <c r="F49" s="123"/>
      <c r="G49" s="123"/>
      <c r="H49" s="123"/>
      <c r="I49" s="249" t="s">
        <v>253</v>
      </c>
      <c r="J49" s="250">
        <f>(-7.85*10^-8) * (UPS!E10^2) + (1.01*10^-4) *UPS!E10 + 0.946</f>
        <v>0.94599999999999995</v>
      </c>
      <c r="K49" s="250">
        <f>(-7.67*10^-8) * (UPS!E10^2) + (1.05*10^-4) *UPS!E10 + 0.946</f>
        <v>0.94599999999999995</v>
      </c>
      <c r="L49" s="250">
        <f>(-2.6*10^-8) * (UPS!E10^2) + (3.65*10^-4) *UPS!E10 + 0.764</f>
        <v>0.76400000000000001</v>
      </c>
      <c r="M49" s="249" t="s">
        <v>253</v>
      </c>
      <c r="N49" s="250">
        <f>(-7.85*10^-8) * (UPS!E11^2) + (1.01*10^-4) *UPS!E11 + 0.946</f>
        <v>0.94599999999999995</v>
      </c>
      <c r="O49" s="250">
        <f>(-7.67*10^-8) * (UPS!E11^2) + (1.05*10^-4) *UPS!E11 + 0.946</f>
        <v>0.94599999999999995</v>
      </c>
      <c r="P49" s="251">
        <f>(-2.6*10^-8) * (UPS!E11^2) + (3.65*10^-4) *UPS!E11 + 0.764</f>
        <v>0.76400000000000001</v>
      </c>
    </row>
    <row r="50" spans="2:16" ht="15" thickBot="1" x14ac:dyDescent="0.25">
      <c r="B50" s="120"/>
      <c r="C50" s="123"/>
      <c r="D50" s="158" t="s">
        <v>258</v>
      </c>
      <c r="E50" s="525"/>
      <c r="F50" s="123"/>
      <c r="G50" s="123"/>
      <c r="H50" s="123"/>
      <c r="I50" s="252" t="s">
        <v>254</v>
      </c>
      <c r="J50" s="250">
        <f>(-7.23*10^-9) * (UPS!E10^2) + (7.52*10^-6) *UPS!E10 + 0.977</f>
        <v>0.97699999999999998</v>
      </c>
      <c r="K50" s="255">
        <f>(-4.62*10^-9) * (UPS!E10^2) + (8.54*10^-6) *UPS!E10 + 0.979</f>
        <v>0.97899999999999998</v>
      </c>
      <c r="L50" s="255">
        <f>(-1.7*10^-8) * (UPS!E10^2) + (3.85*10^-6) *UPS!E10 + 0.876</f>
        <v>0.876</v>
      </c>
      <c r="M50" s="252" t="s">
        <v>254</v>
      </c>
      <c r="N50" s="250">
        <f>(-7.23*10^-9) * (UPS!E11^2) + (7.52*10^-6) *UPS!E11 + 0.977</f>
        <v>0.97699999999999998</v>
      </c>
      <c r="O50" s="255">
        <f>(-4.62*10^-9) * (UPS!E11^2) + (8.54*10^-6) *UPS!E11 + 0.979</f>
        <v>0.97899999999999998</v>
      </c>
      <c r="P50" s="256">
        <f>(-1.7*10^-8) * (UPS!E11^2) + (3.85*10^-6) *UPS!E11 + 0.876</f>
        <v>0.876</v>
      </c>
    </row>
    <row r="51" spans="2:16" ht="15" thickBot="1" x14ac:dyDescent="0.25">
      <c r="B51" s="44"/>
      <c r="C51" s="124"/>
      <c r="D51" s="104" t="s">
        <v>259</v>
      </c>
      <c r="E51" s="55">
        <v>260</v>
      </c>
      <c r="F51" s="124"/>
      <c r="G51" s="124"/>
      <c r="H51" s="124"/>
      <c r="I51" s="248">
        <v>5</v>
      </c>
      <c r="J51" s="246" t="s">
        <v>217</v>
      </c>
      <c r="K51" s="246" t="s">
        <v>220</v>
      </c>
      <c r="L51" s="247" t="s">
        <v>224</v>
      </c>
      <c r="M51" s="248">
        <v>6</v>
      </c>
      <c r="N51" s="246" t="s">
        <v>217</v>
      </c>
      <c r="O51" s="246" t="s">
        <v>220</v>
      </c>
      <c r="P51" s="247" t="s">
        <v>224</v>
      </c>
    </row>
    <row r="52" spans="2:16" ht="15" thickBot="1" x14ac:dyDescent="0.25">
      <c r="B52" s="44"/>
      <c r="C52" s="124"/>
      <c r="D52" s="104" t="s">
        <v>260</v>
      </c>
      <c r="E52" s="55">
        <v>520</v>
      </c>
      <c r="F52" s="124"/>
      <c r="G52" s="124"/>
      <c r="H52" s="124"/>
      <c r="I52" s="249" t="s">
        <v>251</v>
      </c>
      <c r="J52" s="250">
        <f>-1.2*10^-6 *UPS!E12^ 2 + 7.17*10^-4 *UPS!E12 + 0.862</f>
        <v>0.86199999999999999</v>
      </c>
      <c r="K52" s="250">
        <f>(-1.2*10^-8) * (UPS!E12^2) + (7.19*10^-4) *UPS!E12 + 0.863</f>
        <v>0.86299999999999999</v>
      </c>
      <c r="L52" s="255">
        <f>(-3.13*10^-8) * (UPS!E12^2) + (1.96*10^-4) *UPS!E12 + 0.543</f>
        <v>0.54300000000000004</v>
      </c>
      <c r="M52" s="249" t="s">
        <v>251</v>
      </c>
      <c r="N52" s="250">
        <f>(-1.2*10^-6) * (UPS!E13^2) + (7.17*10^-4) *UPS!E13 + 0.862</f>
        <v>0.86199999999999999</v>
      </c>
      <c r="O52" s="250">
        <f>(-1.2*10^-8) * (UPS!E13^2) + (7.19*10^-4) *UPS!E13 + 0.863</f>
        <v>0.86299999999999999</v>
      </c>
      <c r="P52" s="256">
        <f>(-3.13*10^-8) * (UPS!E13^2) + (1.96*10^-4) *UPS!E13 + 0.543</f>
        <v>0.54300000000000004</v>
      </c>
    </row>
    <row r="53" spans="2:16" ht="15" thickBot="1" x14ac:dyDescent="0.25">
      <c r="B53" s="44"/>
      <c r="C53" s="124"/>
      <c r="D53" s="104" t="s">
        <v>261</v>
      </c>
      <c r="E53" s="55">
        <v>780</v>
      </c>
      <c r="F53" s="124"/>
      <c r="G53" s="124"/>
      <c r="H53" s="124"/>
      <c r="I53" s="249" t="s">
        <v>253</v>
      </c>
      <c r="J53" s="250">
        <f>(-7.85*10^-8) * (UPS!E12^2) + (1.01*10^-4) *UPS!E12 + 0.946</f>
        <v>0.94599999999999995</v>
      </c>
      <c r="K53" s="250">
        <f>(-7.67*10^-8) * (UPS!E12^2) + (1.05*10^-4) *UPS!E12 + 0.946</f>
        <v>0.94599999999999995</v>
      </c>
      <c r="L53" s="250">
        <f>(-2.6*10^-8) * (UPS!E12^2) + (3.65*10^-4) *UPS!E12 + 0.764</f>
        <v>0.76400000000000001</v>
      </c>
      <c r="M53" s="249" t="s">
        <v>253</v>
      </c>
      <c r="N53" s="250">
        <f>(-7.85*10^-8) * (UPS!E13^2) + (1.01*10^-4) *UPS!E13 + 0.946</f>
        <v>0.94599999999999995</v>
      </c>
      <c r="O53" s="250">
        <f>(-7.67*10^-8) * (UPS!E13^2) + (1.05*10^-4) *UPS!E13 + 0.946</f>
        <v>0.94599999999999995</v>
      </c>
      <c r="P53" s="251">
        <f>(-2.6*10^-8) * (UPS!E13^2) + (3.65*10^-4) *UPS!E13 + 0.764</f>
        <v>0.76400000000000001</v>
      </c>
    </row>
    <row r="54" spans="2:16" ht="15" thickBot="1" x14ac:dyDescent="0.25">
      <c r="B54" s="44"/>
      <c r="C54" s="124"/>
      <c r="D54" s="104" t="s">
        <v>262</v>
      </c>
      <c r="E54" s="56">
        <v>1092</v>
      </c>
      <c r="F54" s="124"/>
      <c r="G54" s="124"/>
      <c r="H54" s="124"/>
      <c r="I54" s="252" t="s">
        <v>254</v>
      </c>
      <c r="J54" s="250">
        <f>(-7.23*10^-9) * (UPS!E12^2) + (7.52*10^-6) *UPS!E12 + 0.977</f>
        <v>0.97699999999999998</v>
      </c>
      <c r="K54" s="255">
        <f>(-4.62*10^-9) * (UPS!E12^2) + (8.54*10^-6) *UPS!E12 + 0.979</f>
        <v>0.97899999999999998</v>
      </c>
      <c r="L54" s="255">
        <f>(-1.7*10^-8) * (UPS!E12^2) + (3.85*10^-6) *UPS!E12 + 0.876</f>
        <v>0.876</v>
      </c>
      <c r="M54" s="252" t="s">
        <v>254</v>
      </c>
      <c r="N54" s="250">
        <f>(-7.23*10^-9) * (UPS!E13^2) + (7.52*10^-6) *UPS!E13 + 0.977</f>
        <v>0.97699999999999998</v>
      </c>
      <c r="O54" s="255">
        <f>(-4.62*10^-9) * (UPS!E13^2) + (8.54*10^-6) *UPS!E13 + 0.979</f>
        <v>0.97899999999999998</v>
      </c>
      <c r="P54" s="256">
        <f>(-1.7*10^-8) * (UPS!E13^2) + (3.85*10^-6) *UPS!E13 + 0.876</f>
        <v>0.876</v>
      </c>
    </row>
    <row r="55" spans="2:16" x14ac:dyDescent="0.2">
      <c r="B55" s="44"/>
      <c r="C55" s="124"/>
      <c r="D55" s="124"/>
      <c r="E55" s="124"/>
      <c r="F55" s="124"/>
      <c r="G55" s="124"/>
      <c r="H55" s="124"/>
      <c r="I55" s="248">
        <v>7</v>
      </c>
      <c r="J55" s="246" t="s">
        <v>217</v>
      </c>
      <c r="K55" s="246" t="s">
        <v>220</v>
      </c>
      <c r="L55" s="247" t="s">
        <v>224</v>
      </c>
      <c r="M55" s="248">
        <v>8</v>
      </c>
      <c r="N55" s="246" t="s">
        <v>217</v>
      </c>
      <c r="O55" s="246" t="s">
        <v>220</v>
      </c>
      <c r="P55" s="247" t="s">
        <v>224</v>
      </c>
    </row>
    <row r="56" spans="2:16" x14ac:dyDescent="0.2">
      <c r="B56" s="44"/>
      <c r="C56" s="124"/>
      <c r="D56" s="124"/>
      <c r="E56" s="124"/>
      <c r="F56" s="124"/>
      <c r="G56" s="124"/>
      <c r="H56" s="124"/>
      <c r="I56" s="249" t="s">
        <v>251</v>
      </c>
      <c r="J56" s="250">
        <f>-1.2*10^-6 *UPS!E14^ 2 + 7.17*10^-4 *UPS!E14 + 0.862</f>
        <v>0.86199999999999999</v>
      </c>
      <c r="K56" s="250">
        <f>(-1.2*10^-8) * (UPS!E14^2) + (7.19*10^-4) *UPS!E14 + 0.863</f>
        <v>0.86299999999999999</v>
      </c>
      <c r="L56" s="255">
        <f>(-3.13*10^-8) * (UPS!E14^2) + (1.96*10^-4) *UPS!E14 + 0.543</f>
        <v>0.54300000000000004</v>
      </c>
      <c r="M56" s="249" t="s">
        <v>251</v>
      </c>
      <c r="N56" s="250">
        <f>(-1.2*10^-6) * (UPS!E15^2) + (7.17*10^-4) *UPS!E15 + 0.862</f>
        <v>0.86199999999999999</v>
      </c>
      <c r="O56" s="250">
        <f>(-1.2*10^-8) * (UPS!E15^2) + (7.19*10^-4) *UPS!E15 + 0.863</f>
        <v>0.86299999999999999</v>
      </c>
      <c r="P56" s="256">
        <f>(-3.13*10^-8) * (UPS!E15^2) + (1.96*10^-4) *UPS!E15 + 0.543</f>
        <v>0.54300000000000004</v>
      </c>
    </row>
    <row r="57" spans="2:16" ht="15" thickBot="1" x14ac:dyDescent="0.25">
      <c r="B57" s="44"/>
      <c r="C57" s="124"/>
      <c r="D57" s="124"/>
      <c r="E57" s="124"/>
      <c r="F57" s="124"/>
      <c r="G57" s="124"/>
      <c r="H57" s="124"/>
      <c r="I57" s="249" t="s">
        <v>253</v>
      </c>
      <c r="J57" s="250">
        <f>(-7.85*10^-8) * (UPS!E14^2) + (1.01*10^-4) *UPS!E14 + 0.946</f>
        <v>0.94599999999999995</v>
      </c>
      <c r="K57" s="250">
        <f>(-7.67*10^-8) * (UPS!E14^2) + (1.05*10^-4) *UPS!E14 + 0.946</f>
        <v>0.94599999999999995</v>
      </c>
      <c r="L57" s="250">
        <f>(-2.6*10^-8) * (UPS!E14^2) + (3.65*10^-4) *UPS!E14 + 0.764</f>
        <v>0.76400000000000001</v>
      </c>
      <c r="M57" s="249" t="s">
        <v>253</v>
      </c>
      <c r="N57" s="250">
        <f>(-7.85*10^-8) * (UPS!E15^2) + (1.01*10^-4) *UPS!E15 + 0.946</f>
        <v>0.94599999999999995</v>
      </c>
      <c r="O57" s="250">
        <f>(-7.67*10^-8) * (UPS!E15^2) + (1.05*10^-4) *UPS!E15 + 0.946</f>
        <v>0.94599999999999995</v>
      </c>
      <c r="P57" s="251">
        <f>(-2.6*10^-8) * (UPS!E15^2) + (3.65*10^-4) *UPS!E15 + 0.764</f>
        <v>0.76400000000000001</v>
      </c>
    </row>
    <row r="58" spans="2:16" ht="18.75" thickBot="1" x14ac:dyDescent="0.25">
      <c r="B58" s="44"/>
      <c r="C58" s="124"/>
      <c r="D58" s="529" t="s">
        <v>263</v>
      </c>
      <c r="E58" s="530"/>
      <c r="F58" s="530"/>
      <c r="G58" s="531"/>
      <c r="H58" s="124"/>
      <c r="I58" s="252" t="s">
        <v>254</v>
      </c>
      <c r="J58" s="250">
        <f>(-7.23*10^-9) * (UPS!E14^2) + (7.52*10^-6) *UPS!E14 + 0.977</f>
        <v>0.97699999999999998</v>
      </c>
      <c r="K58" s="255">
        <f>(-4.62*10^-9) * (UPS!E14^2) + (8.54*10^-6) *UPS!E14 + 0.979</f>
        <v>0.97899999999999998</v>
      </c>
      <c r="L58" s="255">
        <f>(-1.7*10^-8) * (UPS!E14^2) + (3.85*10^-6) *UPS!E14 + 0.876</f>
        <v>0.876</v>
      </c>
      <c r="M58" s="252" t="s">
        <v>254</v>
      </c>
      <c r="N58" s="250">
        <f>(-7.23*10^-9) * (UPS!E15^2) + (7.52*10^-6) *UPS!E15 + 0.977</f>
        <v>0.97699999999999998</v>
      </c>
      <c r="O58" s="255">
        <f>(-4.62*10^-9) * (UPS!E15^2) + (8.54*10^-6) *UPS!E15 + 0.979</f>
        <v>0.97899999999999998</v>
      </c>
      <c r="P58" s="256">
        <f>(-1.7*10^-8) * (UPS!E15^2) + (3.85*10^-6) *UPS!E15 + 0.876</f>
        <v>0.876</v>
      </c>
    </row>
    <row r="59" spans="2:16" ht="27.6" customHeight="1" thickBot="1" x14ac:dyDescent="0.25">
      <c r="B59" s="44"/>
      <c r="C59" s="124"/>
      <c r="D59" s="109" t="s">
        <v>169</v>
      </c>
      <c r="E59" s="60" t="s">
        <v>264</v>
      </c>
      <c r="F59" s="60" t="s">
        <v>265</v>
      </c>
      <c r="G59" s="60" t="s">
        <v>266</v>
      </c>
      <c r="H59" s="124"/>
      <c r="I59" s="248">
        <v>9</v>
      </c>
      <c r="J59" s="246" t="s">
        <v>217</v>
      </c>
      <c r="K59" s="246" t="s">
        <v>220</v>
      </c>
      <c r="L59" s="247" t="s">
        <v>224</v>
      </c>
      <c r="M59" s="248">
        <v>10</v>
      </c>
      <c r="N59" s="246" t="s">
        <v>217</v>
      </c>
      <c r="O59" s="246" t="s">
        <v>220</v>
      </c>
      <c r="P59" s="247" t="s">
        <v>224</v>
      </c>
    </row>
    <row r="60" spans="2:16" ht="15" thickBot="1" x14ac:dyDescent="0.25">
      <c r="B60" s="44"/>
      <c r="C60" s="124"/>
      <c r="D60" s="111" t="s">
        <v>267</v>
      </c>
      <c r="E60" s="197">
        <v>1.1499999999999999</v>
      </c>
      <c r="F60" s="55">
        <v>0.85</v>
      </c>
      <c r="G60" s="197">
        <v>0.92</v>
      </c>
      <c r="H60" s="124"/>
      <c r="I60" s="249" t="s">
        <v>251</v>
      </c>
      <c r="J60" s="250">
        <f>-1.2*10^-6 *UPS!E16^ 2 + 7.17*10^-4 *UPS!E16 + 0.862</f>
        <v>0.86199999999999999</v>
      </c>
      <c r="K60" s="250">
        <f>(-1.2*10^-8) * (UPS!E16^2) + (7.19*10^-4) *UPS!E16 + 0.863</f>
        <v>0.86299999999999999</v>
      </c>
      <c r="L60" s="255">
        <f>(-3.13*10^-8) * (UPS!E16^2) + (1.96*10^-4) *UPS!E16 + 0.543</f>
        <v>0.54300000000000004</v>
      </c>
      <c r="M60" s="249" t="s">
        <v>251</v>
      </c>
      <c r="N60" s="250">
        <f>(-1.2*10^-6) * (UPS!E17^2) + (7.17*10^-4) *UPS!E17 + 0.862</f>
        <v>0.86199999999999999</v>
      </c>
      <c r="O60" s="250">
        <f>(-1.2*10^-8) * (UPS!E17^2) + (7.19*10^-4) *UPS!E17 + 0.863</f>
        <v>0.86299999999999999</v>
      </c>
      <c r="P60" s="256">
        <f>(-3.13*10^-8) * (UPS!E17^2) + (1.96*10^-4) *UPS!E17 + 0.543</f>
        <v>0.54300000000000004</v>
      </c>
    </row>
    <row r="61" spans="2:16" ht="15" thickBot="1" x14ac:dyDescent="0.25">
      <c r="B61" s="44"/>
      <c r="C61" s="124"/>
      <c r="D61" s="111" t="s">
        <v>268</v>
      </c>
      <c r="E61" s="197">
        <v>1.18</v>
      </c>
      <c r="F61" s="55">
        <v>0.85</v>
      </c>
      <c r="G61" s="197">
        <v>0.76</v>
      </c>
      <c r="H61" s="124"/>
      <c r="I61" s="249" t="s">
        <v>253</v>
      </c>
      <c r="J61" s="250">
        <f>(-7.85*10^-8) * (UPS!E16^2) + (1.01*10^-4) *UPS!E16 + 0.946</f>
        <v>0.94599999999999995</v>
      </c>
      <c r="K61" s="250">
        <f>(-7.67*10^-8) * (UPS!E16^2) + (1.05*10^-4) *UPS!E16 + 0.946</f>
        <v>0.94599999999999995</v>
      </c>
      <c r="L61" s="250">
        <f>(-2.6*10^-8) * (UPS!E16^2) + (3.65*10^-4) *UPS!E16 + 0.764</f>
        <v>0.76400000000000001</v>
      </c>
      <c r="M61" s="249" t="s">
        <v>253</v>
      </c>
      <c r="N61" s="250">
        <f>(-7.85*10^-8) * (UPS!E17^2) + (1.01*10^-4) *UPS!E17 + 0.946</f>
        <v>0.94599999999999995</v>
      </c>
      <c r="O61" s="250">
        <f>(-7.67*10^-8) * (UPS!E17^2) + (1.05*10^-4) *UPS!E17 + 0.946</f>
        <v>0.94599999999999995</v>
      </c>
      <c r="P61" s="251">
        <f>(-2.6*10^-8) * (UPS!E17^2) + (3.65*10^-4) *UPS!E17 + 0.764</f>
        <v>0.76400000000000001</v>
      </c>
    </row>
    <row r="62" spans="2:16" ht="15" thickBot="1" x14ac:dyDescent="0.25">
      <c r="B62" s="44"/>
      <c r="C62" s="124"/>
      <c r="D62" s="111" t="s">
        <v>269</v>
      </c>
      <c r="E62" s="197">
        <v>1.1200000000000001</v>
      </c>
      <c r="F62" s="55">
        <v>0.86</v>
      </c>
      <c r="G62" s="197">
        <v>0.91</v>
      </c>
      <c r="H62" s="124"/>
      <c r="I62" s="252" t="s">
        <v>254</v>
      </c>
      <c r="J62" s="253">
        <f>(-7.23*10^-9) * (UPS!E16^2) + (7.52*10^-6) *UPS!E16 + 0.977</f>
        <v>0.97699999999999998</v>
      </c>
      <c r="K62" s="257">
        <f>(-4.62*10^-9) * (UPS!E16^2) + (8.54*10^-6) *UPS!E16 + 0.979</f>
        <v>0.97899999999999998</v>
      </c>
      <c r="L62" s="257">
        <f>(-1.7*10^-8) * (UPS!E16^2) + (3.85*10^-6) *UPS!E16 + 0.876</f>
        <v>0.876</v>
      </c>
      <c r="M62" s="252" t="s">
        <v>254</v>
      </c>
      <c r="N62" s="253">
        <f>(-7.23*10^-9) * (UPS!E17^2) + (7.52*10^-6) *UPS!E17 + 0.977</f>
        <v>0.97699999999999998</v>
      </c>
      <c r="O62" s="257">
        <f>(-4.62*10^-9) * (UPS!E17^2) + (8.54*10^-6) *UPS!E17 + 0.979</f>
        <v>0.97899999999999998</v>
      </c>
      <c r="P62" s="258">
        <f>(-1.7*10^-8) * (UPS!E17^2) + (3.85*10^-6) *UPS!E17 + 0.876</f>
        <v>0.876</v>
      </c>
    </row>
    <row r="63" spans="2:16" ht="15" thickBot="1" x14ac:dyDescent="0.25">
      <c r="B63" s="44"/>
      <c r="C63" s="124"/>
      <c r="D63" s="111" t="s">
        <v>270</v>
      </c>
      <c r="E63" s="197">
        <v>1.1599999999999999</v>
      </c>
      <c r="F63" s="55">
        <v>0.85</v>
      </c>
      <c r="G63" s="197">
        <v>0.86</v>
      </c>
      <c r="H63" s="124"/>
      <c r="I63" s="124"/>
      <c r="J63" s="124"/>
      <c r="L63" s="44"/>
      <c r="M63" s="44"/>
      <c r="N63" s="44"/>
      <c r="O63" s="44"/>
      <c r="P63" s="44"/>
    </row>
    <row r="64" spans="2:16" x14ac:dyDescent="0.2">
      <c r="B64" s="44"/>
      <c r="C64" s="124"/>
      <c r="D64" s="124"/>
      <c r="E64" s="124"/>
      <c r="F64" s="124"/>
      <c r="G64" s="124"/>
      <c r="H64" s="124"/>
      <c r="I64" s="124"/>
      <c r="J64" s="124"/>
    </row>
    <row r="65" spans="2:19" ht="15" thickBot="1" x14ac:dyDescent="0.25">
      <c r="B65" s="44"/>
      <c r="C65" s="124"/>
      <c r="D65" s="124"/>
      <c r="E65" s="124"/>
      <c r="F65" s="124"/>
      <c r="G65" s="124"/>
      <c r="H65" s="124"/>
      <c r="I65" s="124"/>
      <c r="J65" s="124"/>
    </row>
    <row r="66" spans="2:19" ht="18.75" thickBot="1" x14ac:dyDescent="0.25">
      <c r="B66" s="44"/>
      <c r="C66" s="124"/>
      <c r="D66" s="200" t="s">
        <v>271</v>
      </c>
      <c r="E66" s="198"/>
      <c r="F66" s="199"/>
      <c r="G66" s="124"/>
      <c r="H66" s="124"/>
      <c r="I66" s="124"/>
      <c r="J66" s="124"/>
    </row>
    <row r="67" spans="2:19" ht="15" thickBot="1" x14ac:dyDescent="0.25">
      <c r="B67" s="44"/>
      <c r="C67" s="124"/>
      <c r="D67" s="104" t="s">
        <v>272</v>
      </c>
      <c r="E67" s="55">
        <v>1.1499999999999999</v>
      </c>
      <c r="F67" s="124"/>
      <c r="G67" s="124"/>
      <c r="H67" s="124"/>
      <c r="I67" s="124"/>
      <c r="J67" s="124"/>
    </row>
    <row r="68" spans="2:19" ht="15" thickBot="1" x14ac:dyDescent="0.25">
      <c r="D68" s="104" t="s">
        <v>273</v>
      </c>
      <c r="E68" s="55">
        <v>0.92</v>
      </c>
    </row>
    <row r="69" spans="2:19" ht="15" thickBot="1" x14ac:dyDescent="0.25">
      <c r="B69" s="125"/>
      <c r="C69" s="125"/>
      <c r="D69" s="104" t="s">
        <v>274</v>
      </c>
      <c r="E69" s="55">
        <v>0.96</v>
      </c>
      <c r="F69" s="125"/>
      <c r="G69" s="125"/>
      <c r="H69" s="125"/>
      <c r="I69" s="125"/>
      <c r="L69" s="126"/>
      <c r="M69" s="126"/>
      <c r="N69" s="126"/>
      <c r="O69" s="126"/>
      <c r="P69" s="126"/>
      <c r="Q69" s="126"/>
      <c r="R69" s="126"/>
      <c r="S69" s="126"/>
    </row>
    <row r="70" spans="2:19" x14ac:dyDescent="0.2">
      <c r="B70" s="44"/>
      <c r="C70" s="44"/>
      <c r="D70" s="3"/>
      <c r="E70" s="44"/>
      <c r="F70" s="44"/>
      <c r="G70" s="44"/>
      <c r="H70" s="44"/>
      <c r="I70" s="44"/>
      <c r="J70" s="44"/>
      <c r="K70" s="44"/>
      <c r="L70" s="44"/>
      <c r="M70" s="44"/>
      <c r="N70" s="44"/>
      <c r="O70" s="44"/>
      <c r="P70" s="44"/>
      <c r="Q70" s="44"/>
      <c r="R70" s="44"/>
      <c r="S70" s="44"/>
    </row>
    <row r="71" spans="2:19" x14ac:dyDescent="0.2">
      <c r="B71" s="44"/>
      <c r="C71" s="44"/>
      <c r="D71" s="44"/>
      <c r="E71" s="44"/>
      <c r="F71" s="44"/>
      <c r="G71" s="44"/>
      <c r="H71" s="44"/>
      <c r="I71" s="44"/>
      <c r="J71" s="44"/>
      <c r="K71" s="44"/>
      <c r="L71" s="44"/>
      <c r="M71" s="44"/>
      <c r="N71" s="44"/>
      <c r="O71" s="44"/>
      <c r="P71" s="44"/>
      <c r="Q71" s="44"/>
      <c r="R71" s="44"/>
      <c r="S71" s="44"/>
    </row>
    <row r="72" spans="2:19" x14ac:dyDescent="0.2">
      <c r="B72" s="44"/>
      <c r="C72" s="44"/>
      <c r="D72" s="44"/>
      <c r="E72" s="44"/>
      <c r="F72" s="44"/>
      <c r="G72" s="44"/>
      <c r="H72" s="44"/>
      <c r="I72" s="44"/>
      <c r="J72" s="44"/>
      <c r="K72" s="44"/>
      <c r="L72" s="44"/>
      <c r="M72" s="44"/>
      <c r="N72" s="44"/>
      <c r="O72" s="44"/>
      <c r="P72" s="44"/>
      <c r="Q72" s="44"/>
      <c r="R72" s="44"/>
      <c r="S72" s="44"/>
    </row>
    <row r="73" spans="2:19" x14ac:dyDescent="0.2">
      <c r="B73" s="44"/>
      <c r="C73" s="44"/>
      <c r="D73" s="44"/>
      <c r="E73" s="44"/>
      <c r="F73" s="44"/>
      <c r="G73" s="44"/>
      <c r="H73" s="44"/>
      <c r="I73" s="44"/>
      <c r="J73" s="44"/>
      <c r="K73" s="44"/>
      <c r="L73" s="44"/>
      <c r="M73" s="44"/>
      <c r="N73" s="44"/>
      <c r="O73" s="44"/>
      <c r="P73" s="44"/>
      <c r="Q73" s="44"/>
      <c r="R73" s="44"/>
      <c r="S73" s="44"/>
    </row>
    <row r="74" spans="2:19" x14ac:dyDescent="0.2">
      <c r="B74" s="44"/>
      <c r="C74" s="44"/>
      <c r="D74" s="44"/>
      <c r="E74" s="44"/>
      <c r="F74" s="44"/>
      <c r="G74" s="44"/>
      <c r="H74" s="44"/>
      <c r="I74" s="44"/>
      <c r="J74" s="44"/>
      <c r="K74" s="44"/>
      <c r="L74" s="44"/>
      <c r="M74" s="44"/>
      <c r="N74" s="44"/>
      <c r="O74" s="44"/>
      <c r="P74" s="44"/>
      <c r="Q74" s="44"/>
      <c r="R74" s="44"/>
      <c r="S74" s="44"/>
    </row>
    <row r="75" spans="2:19" x14ac:dyDescent="0.2">
      <c r="B75" s="44"/>
      <c r="C75" s="44"/>
      <c r="D75" s="44"/>
      <c r="E75" s="44"/>
      <c r="F75" s="44"/>
      <c r="G75" s="44"/>
      <c r="H75" s="44"/>
      <c r="I75" s="44"/>
      <c r="J75" s="44"/>
      <c r="K75" s="44"/>
      <c r="L75" s="44"/>
      <c r="M75" s="44"/>
      <c r="N75" s="44"/>
      <c r="O75" s="44"/>
      <c r="P75" s="44"/>
      <c r="Q75" s="44"/>
      <c r="R75" s="44"/>
      <c r="S75" s="44"/>
    </row>
    <row r="76" spans="2:19" x14ac:dyDescent="0.2">
      <c r="B76" s="44"/>
      <c r="C76" s="44"/>
      <c r="D76" s="44"/>
      <c r="E76" s="44"/>
      <c r="F76" s="44"/>
      <c r="G76" s="44"/>
      <c r="H76" s="44"/>
      <c r="I76" s="44"/>
      <c r="J76" s="44"/>
      <c r="K76" s="44"/>
      <c r="L76" s="44"/>
      <c r="M76" s="44"/>
      <c r="N76" s="44"/>
      <c r="O76" s="44"/>
      <c r="P76" s="44"/>
      <c r="Q76" s="44"/>
      <c r="R76" s="44"/>
      <c r="S76" s="44"/>
    </row>
    <row r="77" spans="2:19" x14ac:dyDescent="0.2">
      <c r="B77" s="44"/>
      <c r="C77" s="44"/>
      <c r="D77" s="44"/>
      <c r="E77" s="44"/>
      <c r="F77" s="44"/>
      <c r="G77" s="44"/>
      <c r="H77" s="44"/>
      <c r="I77" s="44"/>
      <c r="J77" s="44"/>
      <c r="K77" s="44"/>
      <c r="L77" s="44"/>
      <c r="M77" s="44"/>
      <c r="N77" s="44"/>
      <c r="O77" s="44"/>
      <c r="P77" s="44"/>
      <c r="Q77" s="44"/>
      <c r="R77" s="44"/>
      <c r="S77" s="44"/>
    </row>
    <row r="78" spans="2:19" x14ac:dyDescent="0.2">
      <c r="B78" s="44"/>
      <c r="C78" s="44"/>
      <c r="D78" s="44"/>
      <c r="E78" s="44"/>
      <c r="F78" s="44"/>
      <c r="G78" s="44"/>
      <c r="H78" s="44"/>
      <c r="I78" s="44"/>
      <c r="J78" s="44"/>
      <c r="K78" s="44"/>
      <c r="L78" s="44"/>
      <c r="M78" s="44"/>
      <c r="N78" s="44"/>
      <c r="O78" s="44"/>
      <c r="P78" s="44"/>
      <c r="Q78" s="44"/>
      <c r="R78" s="44"/>
      <c r="S78" s="44"/>
    </row>
    <row r="79" spans="2:19" x14ac:dyDescent="0.2">
      <c r="B79" s="44"/>
      <c r="C79" s="44"/>
      <c r="D79" s="44"/>
      <c r="E79" s="44"/>
      <c r="F79" s="44"/>
      <c r="G79" s="44"/>
      <c r="H79" s="44"/>
      <c r="I79" s="44"/>
      <c r="J79" s="44"/>
      <c r="K79" s="44"/>
      <c r="L79" s="44"/>
      <c r="M79" s="44"/>
      <c r="N79" s="44"/>
      <c r="O79" s="44"/>
      <c r="P79" s="44"/>
      <c r="Q79" s="44"/>
      <c r="R79" s="44"/>
      <c r="S79" s="44"/>
    </row>
    <row r="80" spans="2:19" x14ac:dyDescent="0.2">
      <c r="B80" s="44"/>
      <c r="C80" s="44"/>
      <c r="D80" s="44"/>
      <c r="E80" s="44"/>
      <c r="F80" s="44"/>
      <c r="G80" s="44"/>
      <c r="H80" s="44"/>
      <c r="I80" s="44"/>
      <c r="J80" s="44"/>
      <c r="K80" s="44"/>
      <c r="L80" s="44"/>
      <c r="M80" s="44"/>
      <c r="N80" s="44"/>
      <c r="O80" s="44"/>
      <c r="P80" s="44"/>
      <c r="Q80" s="44"/>
      <c r="R80" s="44"/>
      <c r="S80" s="44"/>
    </row>
    <row r="81" spans="2:19" x14ac:dyDescent="0.2">
      <c r="B81" s="44"/>
      <c r="C81" s="44"/>
      <c r="D81" s="44"/>
      <c r="E81" s="44"/>
      <c r="F81" s="44"/>
      <c r="G81" s="44"/>
      <c r="H81" s="44"/>
      <c r="I81" s="44"/>
      <c r="J81" s="44"/>
      <c r="K81" s="44"/>
      <c r="L81" s="44"/>
      <c r="M81" s="44"/>
      <c r="N81" s="44"/>
      <c r="O81" s="44"/>
      <c r="P81" s="44"/>
      <c r="Q81" s="44"/>
      <c r="R81" s="44"/>
      <c r="S81" s="44"/>
    </row>
    <row r="82" spans="2:19" x14ac:dyDescent="0.2">
      <c r="B82" s="44"/>
      <c r="C82" s="44"/>
      <c r="D82" s="44"/>
      <c r="E82" s="44"/>
      <c r="F82" s="44"/>
      <c r="G82" s="44"/>
      <c r="H82" s="44"/>
      <c r="I82" s="44"/>
      <c r="J82" s="44"/>
      <c r="K82" s="44"/>
      <c r="L82" s="44"/>
      <c r="M82" s="44"/>
      <c r="N82" s="44"/>
      <c r="O82" s="44"/>
      <c r="P82" s="44"/>
      <c r="Q82" s="44"/>
      <c r="R82" s="44"/>
      <c r="S82" s="44"/>
    </row>
    <row r="83" spans="2:19" x14ac:dyDescent="0.2">
      <c r="B83" s="44"/>
      <c r="C83" s="44"/>
      <c r="D83" s="44"/>
      <c r="E83" s="44"/>
      <c r="F83" s="44"/>
      <c r="G83" s="44"/>
      <c r="H83" s="44"/>
      <c r="I83" s="44"/>
      <c r="J83" s="44"/>
      <c r="K83" s="44"/>
      <c r="L83" s="44"/>
      <c r="M83" s="44"/>
      <c r="N83" s="44"/>
      <c r="O83" s="44"/>
      <c r="P83" s="44"/>
      <c r="Q83" s="44"/>
      <c r="R83" s="44"/>
      <c r="S83" s="44"/>
    </row>
    <row r="84" spans="2:19" x14ac:dyDescent="0.2">
      <c r="B84" s="44"/>
      <c r="C84" s="44"/>
      <c r="D84" s="44"/>
      <c r="E84" s="44"/>
      <c r="F84" s="44"/>
      <c r="G84" s="44"/>
      <c r="H84" s="44"/>
      <c r="I84" s="44"/>
      <c r="J84" s="44"/>
      <c r="K84" s="44"/>
      <c r="L84" s="44"/>
      <c r="M84" s="44"/>
      <c r="N84" s="44"/>
      <c r="O84" s="44"/>
      <c r="P84" s="44"/>
      <c r="Q84" s="44"/>
      <c r="R84" s="44"/>
      <c r="S84" s="44"/>
    </row>
    <row r="85" spans="2:19" x14ac:dyDescent="0.2">
      <c r="B85" s="44"/>
      <c r="C85" s="44"/>
      <c r="D85" s="44"/>
      <c r="E85" s="44"/>
      <c r="F85" s="44"/>
      <c r="G85" s="44"/>
      <c r="H85" s="44"/>
      <c r="I85" s="44"/>
      <c r="J85" s="44"/>
      <c r="K85" s="44"/>
      <c r="L85" s="44"/>
      <c r="M85" s="44"/>
      <c r="N85" s="44"/>
      <c r="O85" s="44"/>
      <c r="P85" s="44"/>
      <c r="Q85" s="44"/>
      <c r="R85" s="44"/>
      <c r="S85" s="44"/>
    </row>
    <row r="86" spans="2:19" x14ac:dyDescent="0.2">
      <c r="B86" s="44"/>
      <c r="C86" s="44"/>
      <c r="D86" s="44"/>
      <c r="E86" s="44"/>
      <c r="F86" s="44"/>
      <c r="G86" s="44"/>
      <c r="H86" s="44"/>
      <c r="I86" s="44"/>
      <c r="J86" s="44"/>
      <c r="K86" s="44"/>
      <c r="L86" s="44"/>
      <c r="M86" s="44"/>
      <c r="N86" s="44"/>
      <c r="O86" s="44"/>
      <c r="P86" s="44"/>
      <c r="Q86" s="44"/>
      <c r="R86" s="44"/>
      <c r="S86" s="44"/>
    </row>
    <row r="87" spans="2:19" x14ac:dyDescent="0.2">
      <c r="B87" s="44"/>
      <c r="C87" s="44"/>
      <c r="D87" s="44"/>
      <c r="E87" s="44"/>
      <c r="F87" s="44"/>
      <c r="G87" s="44"/>
      <c r="H87" s="44"/>
      <c r="I87" s="44"/>
      <c r="J87" s="44"/>
      <c r="K87" s="44"/>
      <c r="L87" s="44"/>
      <c r="M87" s="44"/>
      <c r="N87" s="44"/>
      <c r="O87" s="44"/>
      <c r="P87" s="44"/>
      <c r="Q87" s="44"/>
      <c r="R87" s="44"/>
      <c r="S87" s="44"/>
    </row>
    <row r="88" spans="2:19" x14ac:dyDescent="0.2">
      <c r="B88" s="44"/>
      <c r="C88" s="44"/>
      <c r="D88" s="44"/>
      <c r="E88" s="44"/>
      <c r="F88" s="44"/>
      <c r="G88" s="44"/>
      <c r="H88" s="44"/>
      <c r="I88" s="44"/>
      <c r="J88" s="44"/>
      <c r="K88" s="44"/>
      <c r="L88" s="44"/>
      <c r="M88" s="44"/>
      <c r="N88" s="44"/>
      <c r="O88" s="44"/>
      <c r="P88" s="44"/>
      <c r="Q88" s="44"/>
      <c r="R88" s="44"/>
      <c r="S88" s="44"/>
    </row>
    <row r="89" spans="2:19" x14ac:dyDescent="0.2">
      <c r="B89" s="44"/>
      <c r="C89" s="44"/>
      <c r="D89" s="44"/>
      <c r="E89" s="44"/>
      <c r="F89" s="44"/>
      <c r="G89" s="44"/>
      <c r="H89" s="44"/>
      <c r="I89" s="44"/>
      <c r="J89" s="44"/>
      <c r="K89" s="44"/>
      <c r="L89" s="44"/>
      <c r="M89" s="44"/>
      <c r="N89" s="44"/>
      <c r="O89" s="44"/>
      <c r="P89" s="44"/>
      <c r="Q89" s="44"/>
      <c r="R89" s="44"/>
      <c r="S89" s="44"/>
    </row>
    <row r="90" spans="2:19" x14ac:dyDescent="0.2">
      <c r="B90" s="44"/>
      <c r="C90" s="44"/>
      <c r="D90" s="44"/>
      <c r="E90" s="44"/>
      <c r="F90" s="44"/>
      <c r="G90" s="44"/>
      <c r="H90" s="44"/>
      <c r="I90" s="44"/>
      <c r="J90" s="44"/>
      <c r="K90" s="44"/>
      <c r="L90" s="44"/>
      <c r="M90" s="44"/>
      <c r="N90" s="44"/>
      <c r="O90" s="44"/>
      <c r="P90" s="44"/>
      <c r="Q90" s="44"/>
      <c r="R90" s="44"/>
      <c r="S90" s="44"/>
    </row>
    <row r="91" spans="2:19" x14ac:dyDescent="0.2">
      <c r="B91" s="44"/>
      <c r="C91" s="44"/>
      <c r="D91" s="44"/>
      <c r="E91" s="44"/>
      <c r="F91" s="44"/>
      <c r="G91" s="44"/>
      <c r="H91" s="44"/>
      <c r="I91" s="44"/>
      <c r="J91" s="44"/>
      <c r="K91" s="44"/>
      <c r="L91" s="44"/>
      <c r="M91" s="44"/>
      <c r="N91" s="44"/>
      <c r="O91" s="44"/>
      <c r="P91" s="44"/>
      <c r="Q91" s="44"/>
      <c r="R91" s="44"/>
      <c r="S91" s="44"/>
    </row>
    <row r="92" spans="2:19" x14ac:dyDescent="0.2">
      <c r="B92" s="44"/>
      <c r="C92" s="44"/>
      <c r="D92" s="44"/>
      <c r="E92" s="44"/>
      <c r="F92" s="44"/>
      <c r="G92" s="44"/>
      <c r="H92" s="44"/>
      <c r="I92" s="44"/>
      <c r="J92" s="44"/>
      <c r="K92" s="44"/>
      <c r="L92" s="44"/>
      <c r="M92" s="44"/>
      <c r="N92" s="44"/>
      <c r="O92" s="44"/>
      <c r="P92" s="44"/>
      <c r="Q92" s="44"/>
      <c r="R92" s="44"/>
      <c r="S92" s="44"/>
    </row>
    <row r="93" spans="2:19" x14ac:dyDescent="0.2">
      <c r="B93" s="44"/>
      <c r="C93" s="44"/>
      <c r="D93" s="44"/>
      <c r="E93" s="44"/>
      <c r="F93" s="44"/>
      <c r="G93" s="44"/>
      <c r="H93" s="44"/>
      <c r="I93" s="44"/>
      <c r="J93" s="44"/>
      <c r="K93" s="44"/>
      <c r="L93" s="44"/>
      <c r="M93" s="44"/>
      <c r="N93" s="44"/>
      <c r="O93" s="44"/>
      <c r="P93" s="44"/>
      <c r="Q93" s="44"/>
      <c r="R93" s="44"/>
      <c r="S93" s="44"/>
    </row>
    <row r="94" spans="2:19" x14ac:dyDescent="0.2">
      <c r="B94" s="44"/>
      <c r="C94" s="44"/>
      <c r="D94" s="44"/>
      <c r="E94" s="44"/>
      <c r="F94" s="44"/>
      <c r="G94" s="44"/>
      <c r="H94" s="44"/>
      <c r="I94" s="44"/>
      <c r="J94" s="44"/>
      <c r="K94" s="44"/>
      <c r="L94" s="44"/>
      <c r="M94" s="44"/>
      <c r="N94" s="44"/>
      <c r="O94" s="44"/>
      <c r="P94" s="44"/>
      <c r="Q94" s="44"/>
      <c r="R94" s="44"/>
      <c r="S94" s="44"/>
    </row>
    <row r="95" spans="2:19" x14ac:dyDescent="0.2">
      <c r="B95" s="44"/>
      <c r="C95" s="44"/>
      <c r="D95" s="44"/>
      <c r="E95" s="44"/>
      <c r="F95" s="44"/>
      <c r="G95" s="44"/>
      <c r="H95" s="44"/>
      <c r="I95" s="44"/>
      <c r="J95" s="44"/>
      <c r="K95" s="44"/>
      <c r="L95" s="44"/>
      <c r="M95" s="44"/>
      <c r="N95" s="44"/>
      <c r="O95" s="44"/>
      <c r="P95" s="44"/>
      <c r="Q95" s="44"/>
      <c r="R95" s="44"/>
      <c r="S95" s="44"/>
    </row>
    <row r="96" spans="2:19" x14ac:dyDescent="0.2">
      <c r="B96" s="44"/>
      <c r="C96" s="44"/>
      <c r="D96" s="44"/>
      <c r="E96" s="44"/>
      <c r="F96" s="44"/>
      <c r="G96" s="44"/>
      <c r="H96" s="44"/>
      <c r="I96" s="44"/>
      <c r="J96" s="44"/>
      <c r="K96" s="44"/>
      <c r="L96" s="44"/>
      <c r="M96" s="44"/>
      <c r="N96" s="44"/>
      <c r="O96" s="44"/>
      <c r="P96" s="44"/>
      <c r="Q96" s="44"/>
      <c r="R96" s="44"/>
      <c r="S96" s="44"/>
    </row>
    <row r="97" spans="2:19" x14ac:dyDescent="0.2">
      <c r="B97" s="44"/>
      <c r="C97" s="44"/>
      <c r="D97" s="44"/>
      <c r="E97" s="44"/>
      <c r="F97" s="44"/>
      <c r="G97" s="44"/>
      <c r="H97" s="44"/>
      <c r="I97" s="44"/>
      <c r="J97" s="44"/>
      <c r="K97" s="44"/>
      <c r="L97" s="44"/>
      <c r="M97" s="44"/>
      <c r="N97" s="44"/>
      <c r="O97" s="44"/>
      <c r="P97" s="44"/>
      <c r="Q97" s="44"/>
      <c r="R97" s="44"/>
      <c r="S97" s="44"/>
    </row>
    <row r="98" spans="2:19" x14ac:dyDescent="0.2">
      <c r="B98" s="44"/>
      <c r="C98" s="44"/>
      <c r="D98" s="44"/>
      <c r="E98" s="44"/>
      <c r="F98" s="44"/>
      <c r="G98" s="44"/>
      <c r="H98" s="44"/>
      <c r="I98" s="44"/>
      <c r="J98" s="44"/>
      <c r="K98" s="44"/>
      <c r="L98" s="44"/>
      <c r="M98" s="44"/>
      <c r="N98" s="44"/>
      <c r="O98" s="44"/>
      <c r="P98" s="44"/>
      <c r="Q98" s="44"/>
      <c r="R98" s="44"/>
      <c r="S98" s="44"/>
    </row>
    <row r="99" spans="2:19" x14ac:dyDescent="0.2">
      <c r="B99" s="44"/>
      <c r="C99" s="44"/>
      <c r="D99" s="44"/>
      <c r="E99" s="44"/>
      <c r="F99" s="44"/>
      <c r="G99" s="44"/>
      <c r="H99" s="44"/>
      <c r="I99" s="44"/>
      <c r="J99" s="44"/>
      <c r="K99" s="44"/>
      <c r="L99" s="44"/>
      <c r="M99" s="44"/>
      <c r="N99" s="44"/>
      <c r="O99" s="44"/>
      <c r="P99" s="44"/>
      <c r="Q99" s="44"/>
      <c r="R99" s="44"/>
      <c r="S99" s="44"/>
    </row>
    <row r="100" spans="2:19" x14ac:dyDescent="0.2">
      <c r="B100" s="44"/>
      <c r="C100" s="44"/>
      <c r="D100" s="44"/>
      <c r="E100" s="44"/>
      <c r="F100" s="44"/>
      <c r="G100" s="44"/>
      <c r="H100" s="44"/>
      <c r="I100" s="44"/>
      <c r="J100" s="44"/>
      <c r="K100" s="44"/>
      <c r="L100" s="44"/>
      <c r="M100" s="44"/>
      <c r="N100" s="44"/>
      <c r="O100" s="44"/>
      <c r="P100" s="44"/>
      <c r="Q100" s="44"/>
      <c r="R100" s="44"/>
      <c r="S100" s="44"/>
    </row>
    <row r="101" spans="2:19" x14ac:dyDescent="0.2">
      <c r="B101" s="44"/>
      <c r="C101" s="44"/>
      <c r="D101" s="44"/>
      <c r="E101" s="44"/>
      <c r="F101" s="44"/>
      <c r="G101" s="44"/>
      <c r="H101" s="44"/>
      <c r="I101" s="44"/>
      <c r="J101" s="44"/>
      <c r="K101" s="44"/>
      <c r="L101" s="44"/>
      <c r="M101" s="44"/>
      <c r="N101" s="44"/>
      <c r="O101" s="44"/>
      <c r="P101" s="44"/>
      <c r="Q101" s="44"/>
      <c r="R101" s="44"/>
      <c r="S101" s="44"/>
    </row>
    <row r="102" spans="2:19" x14ac:dyDescent="0.2">
      <c r="B102" s="44"/>
      <c r="C102" s="44"/>
      <c r="D102" s="44"/>
      <c r="E102" s="44"/>
      <c r="F102" s="44"/>
      <c r="G102" s="44"/>
      <c r="H102" s="44"/>
      <c r="I102" s="44"/>
      <c r="J102" s="44"/>
      <c r="K102" s="44"/>
      <c r="L102" s="44"/>
      <c r="M102" s="44"/>
      <c r="N102" s="44"/>
      <c r="O102" s="44"/>
      <c r="P102" s="44"/>
      <c r="Q102" s="44"/>
      <c r="R102" s="44"/>
      <c r="S102" s="44"/>
    </row>
    <row r="103" spans="2:19" x14ac:dyDescent="0.2">
      <c r="B103" s="44"/>
      <c r="C103" s="44"/>
      <c r="D103" s="44"/>
      <c r="E103" s="44"/>
      <c r="F103" s="44"/>
      <c r="G103" s="44"/>
      <c r="H103" s="44"/>
      <c r="I103" s="44"/>
      <c r="J103" s="44"/>
      <c r="K103" s="44"/>
      <c r="L103" s="44"/>
      <c r="M103" s="44"/>
      <c r="N103" s="44"/>
      <c r="O103" s="44"/>
      <c r="P103" s="44"/>
      <c r="Q103" s="44"/>
      <c r="R103" s="44"/>
      <c r="S103" s="44"/>
    </row>
    <row r="104" spans="2:19" x14ac:dyDescent="0.2">
      <c r="B104" s="44"/>
      <c r="C104" s="44"/>
      <c r="D104" s="44"/>
      <c r="E104" s="44"/>
      <c r="F104" s="44"/>
      <c r="G104" s="44"/>
      <c r="H104" s="44"/>
      <c r="I104" s="44"/>
      <c r="J104" s="44"/>
      <c r="K104" s="44"/>
      <c r="L104" s="44"/>
      <c r="M104" s="44"/>
      <c r="N104" s="44"/>
      <c r="O104" s="44"/>
      <c r="P104" s="44"/>
      <c r="Q104" s="44"/>
      <c r="R104" s="44"/>
      <c r="S104" s="44"/>
    </row>
    <row r="105" spans="2:19" x14ac:dyDescent="0.2">
      <c r="B105" s="44"/>
      <c r="C105" s="44"/>
      <c r="D105" s="44"/>
      <c r="E105" s="44"/>
      <c r="F105" s="44"/>
      <c r="G105" s="44"/>
      <c r="H105" s="44"/>
      <c r="I105" s="44"/>
      <c r="J105" s="44"/>
      <c r="K105" s="44"/>
      <c r="L105" s="44"/>
      <c r="M105" s="44"/>
      <c r="N105" s="44"/>
      <c r="O105" s="44"/>
      <c r="P105" s="44"/>
      <c r="Q105" s="44"/>
      <c r="R105" s="44"/>
      <c r="S105" s="44"/>
    </row>
    <row r="106" spans="2:19" x14ac:dyDescent="0.2">
      <c r="B106" s="44"/>
      <c r="C106" s="44"/>
      <c r="D106" s="44"/>
      <c r="E106" s="44"/>
      <c r="F106" s="44"/>
      <c r="G106" s="44"/>
      <c r="H106" s="44"/>
      <c r="I106" s="44"/>
      <c r="J106" s="44"/>
      <c r="K106" s="44"/>
      <c r="L106" s="44"/>
      <c r="M106" s="44"/>
      <c r="N106" s="44"/>
      <c r="O106" s="44"/>
      <c r="P106" s="44"/>
      <c r="Q106" s="44"/>
      <c r="R106" s="44"/>
      <c r="S106" s="44"/>
    </row>
    <row r="107" spans="2:19" x14ac:dyDescent="0.2">
      <c r="B107" s="44"/>
      <c r="C107" s="44"/>
      <c r="D107" s="44"/>
      <c r="E107" s="44"/>
      <c r="F107" s="44"/>
      <c r="G107" s="44"/>
      <c r="H107" s="44"/>
      <c r="I107" s="44"/>
      <c r="J107" s="44"/>
      <c r="K107" s="44"/>
      <c r="L107" s="44"/>
      <c r="M107" s="44"/>
      <c r="N107" s="44"/>
      <c r="O107" s="44"/>
      <c r="P107" s="44"/>
      <c r="Q107" s="44"/>
      <c r="R107" s="44"/>
      <c r="S107" s="44"/>
    </row>
    <row r="108" spans="2:19" x14ac:dyDescent="0.2">
      <c r="B108" s="44"/>
      <c r="C108" s="44"/>
      <c r="D108" s="44"/>
      <c r="E108" s="44"/>
      <c r="F108" s="44"/>
      <c r="G108" s="44"/>
      <c r="H108" s="44"/>
      <c r="I108" s="44"/>
      <c r="J108" s="44"/>
      <c r="K108" s="44"/>
      <c r="L108" s="44"/>
      <c r="M108" s="44"/>
      <c r="N108" s="44"/>
      <c r="O108" s="44"/>
      <c r="P108" s="44"/>
      <c r="Q108" s="44"/>
      <c r="R108" s="44"/>
      <c r="S108" s="44"/>
    </row>
    <row r="109" spans="2:19" x14ac:dyDescent="0.2">
      <c r="B109" s="44"/>
      <c r="C109" s="44"/>
      <c r="D109" s="44"/>
      <c r="E109" s="44"/>
      <c r="F109" s="44"/>
      <c r="G109" s="44"/>
      <c r="H109" s="44"/>
      <c r="I109" s="44"/>
      <c r="J109" s="44"/>
      <c r="K109" s="44"/>
      <c r="L109" s="44"/>
      <c r="M109" s="44"/>
      <c r="N109" s="44"/>
      <c r="O109" s="44"/>
      <c r="P109" s="44"/>
      <c r="Q109" s="44"/>
      <c r="R109" s="44"/>
      <c r="S109" s="44"/>
    </row>
    <row r="110" spans="2:19" x14ac:dyDescent="0.2">
      <c r="B110" s="44"/>
      <c r="C110" s="44"/>
      <c r="D110" s="44"/>
      <c r="E110" s="44"/>
      <c r="F110" s="44"/>
      <c r="G110" s="44"/>
      <c r="H110" s="44"/>
      <c r="I110" s="44"/>
      <c r="J110" s="44"/>
      <c r="K110" s="44"/>
      <c r="L110" s="44"/>
      <c r="M110" s="44"/>
      <c r="N110" s="44"/>
      <c r="O110" s="44"/>
      <c r="P110" s="44"/>
      <c r="Q110" s="44"/>
      <c r="R110" s="44"/>
      <c r="S110" s="44"/>
    </row>
    <row r="111" spans="2:19" x14ac:dyDescent="0.2">
      <c r="B111" s="44"/>
      <c r="C111" s="44"/>
      <c r="D111" s="44"/>
      <c r="E111" s="44"/>
      <c r="F111" s="44"/>
      <c r="G111" s="44"/>
      <c r="H111" s="44"/>
      <c r="I111" s="44"/>
      <c r="J111" s="44"/>
      <c r="K111" s="44"/>
      <c r="L111" s="44"/>
      <c r="M111" s="44"/>
      <c r="N111" s="44"/>
      <c r="O111" s="44"/>
      <c r="P111" s="44"/>
      <c r="Q111" s="44"/>
      <c r="R111" s="44"/>
      <c r="S111" s="44"/>
    </row>
    <row r="112" spans="2:19" x14ac:dyDescent="0.2">
      <c r="B112" s="44"/>
      <c r="C112" s="44"/>
      <c r="D112" s="44"/>
      <c r="E112" s="44"/>
      <c r="F112" s="44"/>
      <c r="G112" s="44"/>
      <c r="H112" s="44"/>
      <c r="I112" s="44"/>
      <c r="J112" s="44"/>
      <c r="K112" s="44"/>
      <c r="L112" s="44"/>
      <c r="M112" s="44"/>
      <c r="N112" s="44"/>
      <c r="O112" s="44"/>
      <c r="P112" s="44"/>
      <c r="Q112" s="44"/>
      <c r="R112" s="44"/>
      <c r="S112" s="44"/>
    </row>
    <row r="113" spans="2:19" x14ac:dyDescent="0.2">
      <c r="B113" s="44"/>
      <c r="C113" s="44"/>
      <c r="D113" s="44"/>
      <c r="E113" s="44"/>
      <c r="F113" s="44"/>
      <c r="G113" s="44"/>
      <c r="H113" s="44"/>
      <c r="I113" s="44"/>
      <c r="J113" s="44"/>
      <c r="K113" s="44"/>
      <c r="L113" s="44"/>
      <c r="M113" s="44"/>
      <c r="N113" s="44"/>
      <c r="O113" s="44"/>
      <c r="P113" s="44"/>
      <c r="Q113" s="44"/>
      <c r="R113" s="44"/>
      <c r="S113" s="44"/>
    </row>
    <row r="114" spans="2:19" x14ac:dyDescent="0.2">
      <c r="B114" s="44"/>
      <c r="C114" s="44"/>
      <c r="D114" s="44"/>
      <c r="E114" s="44"/>
      <c r="F114" s="44"/>
      <c r="G114" s="44"/>
      <c r="H114" s="44"/>
      <c r="I114" s="44"/>
      <c r="J114" s="44"/>
      <c r="K114" s="44"/>
      <c r="L114" s="44"/>
      <c r="M114" s="44"/>
      <c r="N114" s="44"/>
      <c r="O114" s="44"/>
      <c r="P114" s="44"/>
      <c r="Q114" s="44"/>
      <c r="R114" s="44"/>
      <c r="S114" s="44"/>
    </row>
    <row r="115" spans="2:19" x14ac:dyDescent="0.2">
      <c r="B115" s="44"/>
      <c r="C115" s="44"/>
      <c r="D115" s="44"/>
      <c r="E115" s="44"/>
      <c r="F115" s="44"/>
      <c r="G115" s="44"/>
      <c r="H115" s="44"/>
      <c r="I115" s="44"/>
      <c r="J115" s="44"/>
      <c r="K115" s="44"/>
      <c r="L115" s="44"/>
      <c r="M115" s="44"/>
      <c r="N115" s="44"/>
      <c r="O115" s="44"/>
      <c r="P115" s="44"/>
      <c r="Q115" s="44"/>
      <c r="R115" s="44"/>
      <c r="S115" s="44"/>
    </row>
    <row r="116" spans="2:19" x14ac:dyDescent="0.2">
      <c r="B116" s="44"/>
      <c r="C116" s="44"/>
      <c r="D116" s="44"/>
      <c r="E116" s="44"/>
      <c r="F116" s="44"/>
      <c r="G116" s="44"/>
      <c r="H116" s="44"/>
      <c r="I116" s="44"/>
      <c r="J116" s="44"/>
      <c r="K116" s="44"/>
      <c r="L116" s="44"/>
      <c r="M116" s="44"/>
      <c r="N116" s="44"/>
      <c r="O116" s="44"/>
      <c r="P116" s="44"/>
      <c r="Q116" s="44"/>
      <c r="R116" s="44"/>
      <c r="S116" s="44"/>
    </row>
    <row r="117" spans="2:19" x14ac:dyDescent="0.2">
      <c r="B117" s="44"/>
      <c r="C117" s="44"/>
      <c r="D117" s="44"/>
      <c r="E117" s="44"/>
      <c r="F117" s="44"/>
      <c r="G117" s="44"/>
      <c r="H117" s="44"/>
      <c r="I117" s="44"/>
      <c r="J117" s="44"/>
      <c r="K117" s="44"/>
      <c r="L117" s="44"/>
      <c r="M117" s="44"/>
      <c r="N117" s="44"/>
      <c r="O117" s="44"/>
      <c r="P117" s="44"/>
      <c r="Q117" s="44"/>
      <c r="R117" s="44"/>
      <c r="S117" s="44"/>
    </row>
    <row r="118" spans="2:19" x14ac:dyDescent="0.2">
      <c r="B118" s="44"/>
      <c r="C118" s="44"/>
      <c r="D118" s="44"/>
      <c r="E118" s="44"/>
      <c r="F118" s="44"/>
      <c r="G118" s="44"/>
      <c r="H118" s="44"/>
      <c r="I118" s="44"/>
      <c r="J118" s="44"/>
      <c r="K118" s="44"/>
      <c r="L118" s="44"/>
      <c r="M118" s="44"/>
      <c r="N118" s="44"/>
      <c r="O118" s="44"/>
      <c r="P118" s="44"/>
      <c r="Q118" s="44"/>
      <c r="R118" s="44"/>
      <c r="S118" s="44"/>
    </row>
    <row r="119" spans="2:19" x14ac:dyDescent="0.2">
      <c r="B119" s="44"/>
      <c r="C119" s="44"/>
      <c r="D119" s="44"/>
      <c r="E119" s="44"/>
      <c r="F119" s="44"/>
      <c r="G119" s="44"/>
      <c r="H119" s="44"/>
      <c r="I119" s="44"/>
      <c r="J119" s="44"/>
      <c r="K119" s="44"/>
      <c r="L119" s="44"/>
      <c r="M119" s="44"/>
      <c r="N119" s="44"/>
      <c r="O119" s="44"/>
      <c r="P119" s="44"/>
      <c r="Q119" s="44"/>
      <c r="R119" s="44"/>
      <c r="S119" s="44"/>
    </row>
    <row r="120" spans="2:19" x14ac:dyDescent="0.2">
      <c r="B120" s="44"/>
      <c r="C120" s="44"/>
      <c r="D120" s="44"/>
      <c r="E120" s="44"/>
      <c r="F120" s="44"/>
      <c r="G120" s="44"/>
      <c r="H120" s="44"/>
      <c r="I120" s="44"/>
      <c r="J120" s="44"/>
      <c r="K120" s="44"/>
      <c r="L120" s="44"/>
      <c r="M120" s="44"/>
      <c r="N120" s="44"/>
      <c r="O120" s="44"/>
      <c r="P120" s="44"/>
      <c r="Q120" s="44"/>
      <c r="R120" s="44"/>
      <c r="S120" s="44"/>
    </row>
    <row r="121" spans="2:19" x14ac:dyDescent="0.2">
      <c r="B121" s="44"/>
      <c r="C121" s="44"/>
      <c r="D121" s="44"/>
      <c r="E121" s="44"/>
      <c r="F121" s="44"/>
      <c r="G121" s="44"/>
      <c r="H121" s="44"/>
      <c r="I121" s="44"/>
      <c r="J121" s="44"/>
      <c r="K121" s="44"/>
      <c r="L121" s="44"/>
      <c r="M121" s="44"/>
      <c r="N121" s="44"/>
      <c r="O121" s="44"/>
      <c r="P121" s="44"/>
      <c r="Q121" s="44"/>
      <c r="R121" s="44"/>
      <c r="S121" s="44"/>
    </row>
    <row r="122" spans="2:19" x14ac:dyDescent="0.2">
      <c r="B122" s="44"/>
      <c r="C122" s="44"/>
      <c r="D122" s="44"/>
      <c r="E122" s="44"/>
      <c r="F122" s="44"/>
      <c r="G122" s="44"/>
      <c r="H122" s="44"/>
      <c r="I122" s="44"/>
      <c r="J122" s="44"/>
      <c r="K122" s="44"/>
      <c r="L122" s="44"/>
      <c r="M122" s="44"/>
      <c r="N122" s="44"/>
      <c r="O122" s="44"/>
      <c r="P122" s="44"/>
      <c r="Q122" s="44"/>
      <c r="R122" s="44"/>
      <c r="S122" s="44"/>
    </row>
    <row r="123" spans="2:19" x14ac:dyDescent="0.2">
      <c r="B123" s="44"/>
      <c r="C123" s="44"/>
      <c r="D123" s="44"/>
      <c r="E123" s="44"/>
      <c r="F123" s="44"/>
      <c r="G123" s="44"/>
      <c r="H123" s="44"/>
      <c r="I123" s="44"/>
      <c r="J123" s="44"/>
      <c r="K123" s="44"/>
      <c r="L123" s="44"/>
      <c r="M123" s="44"/>
      <c r="N123" s="44"/>
      <c r="O123" s="44"/>
      <c r="P123" s="44"/>
      <c r="Q123" s="44"/>
      <c r="R123" s="44"/>
      <c r="S123" s="44"/>
    </row>
    <row r="124" spans="2:19" x14ac:dyDescent="0.2">
      <c r="B124" s="44"/>
      <c r="C124" s="44"/>
      <c r="D124" s="44"/>
      <c r="E124" s="44"/>
      <c r="F124" s="44"/>
      <c r="G124" s="44"/>
      <c r="H124" s="44"/>
      <c r="I124" s="44"/>
      <c r="J124" s="44"/>
      <c r="K124" s="44"/>
      <c r="L124" s="44"/>
      <c r="M124" s="44"/>
      <c r="N124" s="44"/>
      <c r="O124" s="44"/>
      <c r="P124" s="44"/>
      <c r="Q124" s="44"/>
      <c r="R124" s="44"/>
      <c r="S124" s="44"/>
    </row>
    <row r="125" spans="2:19" x14ac:dyDescent="0.2">
      <c r="B125" s="44"/>
      <c r="C125" s="44"/>
      <c r="D125" s="44"/>
      <c r="E125" s="44"/>
      <c r="F125" s="44"/>
      <c r="G125" s="44"/>
      <c r="H125" s="44"/>
      <c r="I125" s="44"/>
      <c r="J125" s="44"/>
      <c r="K125" s="44"/>
      <c r="L125" s="44"/>
      <c r="M125" s="44"/>
      <c r="N125" s="44"/>
      <c r="O125" s="44"/>
      <c r="P125" s="44"/>
      <c r="Q125" s="44"/>
      <c r="R125" s="44"/>
      <c r="S125" s="44"/>
    </row>
    <row r="126" spans="2:19" x14ac:dyDescent="0.2">
      <c r="B126" s="44"/>
      <c r="C126" s="44"/>
      <c r="D126" s="44"/>
      <c r="E126" s="44"/>
      <c r="F126" s="44"/>
      <c r="G126" s="44"/>
      <c r="H126" s="44"/>
      <c r="I126" s="44"/>
      <c r="J126" s="44"/>
      <c r="K126" s="44"/>
      <c r="L126" s="44"/>
      <c r="M126" s="44"/>
      <c r="N126" s="44"/>
      <c r="O126" s="44"/>
      <c r="P126" s="44"/>
      <c r="Q126" s="44"/>
      <c r="R126" s="44"/>
      <c r="S126" s="44"/>
    </row>
    <row r="127" spans="2:19" x14ac:dyDescent="0.2">
      <c r="B127" s="44"/>
      <c r="C127" s="44"/>
      <c r="D127" s="44"/>
      <c r="E127" s="44"/>
      <c r="F127" s="44"/>
      <c r="G127" s="44"/>
      <c r="H127" s="44"/>
      <c r="I127" s="44"/>
      <c r="J127" s="44"/>
      <c r="K127" s="44"/>
      <c r="L127" s="44"/>
      <c r="M127" s="44"/>
      <c r="N127" s="44"/>
      <c r="O127" s="44"/>
      <c r="P127" s="44"/>
      <c r="Q127" s="44"/>
      <c r="R127" s="44"/>
      <c r="S127" s="44"/>
    </row>
    <row r="128" spans="2:19" x14ac:dyDescent="0.2">
      <c r="B128" s="44"/>
      <c r="C128" s="44"/>
      <c r="D128" s="44"/>
      <c r="E128" s="44"/>
      <c r="F128" s="44"/>
      <c r="G128" s="44"/>
      <c r="H128" s="44"/>
      <c r="I128" s="44"/>
      <c r="J128" s="44"/>
      <c r="K128" s="44"/>
      <c r="L128" s="44"/>
      <c r="M128" s="44"/>
      <c r="N128" s="44"/>
      <c r="O128" s="44"/>
      <c r="P128" s="44"/>
      <c r="Q128" s="44"/>
      <c r="R128" s="44"/>
      <c r="S128" s="44"/>
    </row>
    <row r="129" spans="2:19" x14ac:dyDescent="0.2">
      <c r="B129" s="44"/>
      <c r="C129" s="44"/>
      <c r="D129" s="44"/>
      <c r="E129" s="44"/>
      <c r="F129" s="44"/>
      <c r="G129" s="44"/>
      <c r="H129" s="44"/>
      <c r="I129" s="44"/>
      <c r="J129" s="44"/>
      <c r="K129" s="44"/>
      <c r="L129" s="44"/>
      <c r="M129" s="44"/>
      <c r="N129" s="44"/>
      <c r="O129" s="44"/>
      <c r="P129" s="44"/>
      <c r="Q129" s="44"/>
      <c r="R129" s="44"/>
      <c r="S129" s="44"/>
    </row>
    <row r="130" spans="2:19" x14ac:dyDescent="0.2">
      <c r="B130" s="44"/>
      <c r="C130" s="44"/>
      <c r="D130" s="44"/>
      <c r="E130" s="44"/>
      <c r="F130" s="44"/>
      <c r="G130" s="44"/>
      <c r="H130" s="44"/>
      <c r="I130" s="44"/>
      <c r="J130" s="44"/>
      <c r="K130" s="44"/>
      <c r="L130" s="44"/>
      <c r="M130" s="44"/>
      <c r="N130" s="44"/>
      <c r="O130" s="44"/>
      <c r="P130" s="44"/>
      <c r="Q130" s="44"/>
      <c r="R130" s="44"/>
      <c r="S130" s="44"/>
    </row>
    <row r="131" spans="2:19" x14ac:dyDescent="0.2">
      <c r="B131" s="44"/>
      <c r="C131" s="44"/>
      <c r="D131" s="44"/>
      <c r="E131" s="44"/>
      <c r="F131" s="44"/>
      <c r="G131" s="44"/>
      <c r="H131" s="44"/>
      <c r="I131" s="44"/>
      <c r="J131" s="44"/>
      <c r="K131" s="44"/>
      <c r="L131" s="44"/>
      <c r="M131" s="44"/>
      <c r="N131" s="44"/>
      <c r="O131" s="44"/>
      <c r="P131" s="44"/>
      <c r="Q131" s="44"/>
      <c r="R131" s="44"/>
      <c r="S131" s="44"/>
    </row>
    <row r="132" spans="2:19" x14ac:dyDescent="0.2">
      <c r="B132" s="44"/>
      <c r="C132" s="44"/>
      <c r="D132" s="44"/>
      <c r="E132" s="44"/>
      <c r="F132" s="44"/>
      <c r="G132" s="44"/>
      <c r="H132" s="44"/>
      <c r="I132" s="44"/>
      <c r="J132" s="44"/>
      <c r="K132" s="44"/>
      <c r="L132" s="44"/>
      <c r="M132" s="44"/>
      <c r="N132" s="44"/>
      <c r="O132" s="44"/>
      <c r="P132" s="44"/>
      <c r="Q132" s="44"/>
      <c r="R132" s="44"/>
      <c r="S132" s="44"/>
    </row>
    <row r="133" spans="2:19" x14ac:dyDescent="0.2">
      <c r="B133" s="44"/>
      <c r="C133" s="44"/>
      <c r="D133" s="44"/>
      <c r="E133" s="44"/>
      <c r="F133" s="44"/>
      <c r="G133" s="44"/>
      <c r="H133" s="44"/>
      <c r="I133" s="44"/>
      <c r="J133" s="44"/>
      <c r="K133" s="44"/>
      <c r="L133" s="44"/>
      <c r="M133" s="44"/>
      <c r="N133" s="44"/>
      <c r="O133" s="44"/>
      <c r="P133" s="44"/>
      <c r="Q133" s="44"/>
      <c r="R133" s="44"/>
      <c r="S133" s="44"/>
    </row>
    <row r="134" spans="2:19" x14ac:dyDescent="0.2">
      <c r="B134" s="44"/>
      <c r="C134" s="44"/>
      <c r="D134" s="44"/>
      <c r="E134" s="44"/>
      <c r="F134" s="44"/>
      <c r="G134" s="44"/>
      <c r="H134" s="44"/>
      <c r="I134" s="44"/>
      <c r="J134" s="44"/>
      <c r="K134" s="44"/>
      <c r="L134" s="44"/>
      <c r="M134" s="44"/>
      <c r="N134" s="44"/>
      <c r="O134" s="44"/>
      <c r="P134" s="44"/>
      <c r="Q134" s="44"/>
      <c r="R134" s="44"/>
      <c r="S134" s="44"/>
    </row>
    <row r="135" spans="2:19" x14ac:dyDescent="0.2">
      <c r="B135" s="44"/>
      <c r="C135" s="44"/>
      <c r="D135" s="44"/>
      <c r="E135" s="44"/>
      <c r="F135" s="44"/>
      <c r="G135" s="44"/>
      <c r="H135" s="44"/>
      <c r="I135" s="44"/>
      <c r="J135" s="44"/>
      <c r="K135" s="44"/>
      <c r="L135" s="44"/>
      <c r="M135" s="44"/>
      <c r="N135" s="44"/>
      <c r="O135" s="44"/>
      <c r="P135" s="44"/>
      <c r="Q135" s="44"/>
      <c r="R135" s="44"/>
      <c r="S135" s="44"/>
    </row>
    <row r="136" spans="2:19" x14ac:dyDescent="0.2">
      <c r="B136" s="44"/>
      <c r="C136" s="44"/>
      <c r="D136" s="44"/>
      <c r="E136" s="44"/>
      <c r="F136" s="44"/>
      <c r="G136" s="44"/>
      <c r="H136" s="44"/>
      <c r="I136" s="44"/>
      <c r="J136" s="44"/>
      <c r="K136" s="44"/>
      <c r="L136" s="44"/>
      <c r="M136" s="44"/>
      <c r="N136" s="44"/>
      <c r="O136" s="44"/>
      <c r="P136" s="44"/>
      <c r="Q136" s="44"/>
      <c r="R136" s="44"/>
      <c r="S136" s="44"/>
    </row>
    <row r="137" spans="2:19" x14ac:dyDescent="0.2">
      <c r="B137" s="44"/>
      <c r="C137" s="44"/>
      <c r="D137" s="44"/>
      <c r="E137" s="44"/>
      <c r="F137" s="44"/>
      <c r="G137" s="44"/>
      <c r="H137" s="44"/>
      <c r="I137" s="44"/>
      <c r="J137" s="44"/>
      <c r="K137" s="44"/>
      <c r="L137" s="44"/>
      <c r="M137" s="44"/>
      <c r="N137" s="44"/>
      <c r="O137" s="44"/>
      <c r="P137" s="44"/>
      <c r="Q137" s="44"/>
      <c r="R137" s="44"/>
      <c r="S137" s="44"/>
    </row>
    <row r="138" spans="2:19" x14ac:dyDescent="0.2">
      <c r="B138" s="44"/>
      <c r="C138" s="44"/>
      <c r="D138" s="44"/>
      <c r="E138" s="44"/>
      <c r="F138" s="44"/>
      <c r="G138" s="44"/>
      <c r="H138" s="44"/>
      <c r="I138" s="44"/>
      <c r="J138" s="44"/>
      <c r="K138" s="44"/>
      <c r="L138" s="44"/>
      <c r="M138" s="44"/>
      <c r="N138" s="44"/>
      <c r="O138" s="44"/>
      <c r="P138" s="44"/>
      <c r="Q138" s="44"/>
      <c r="R138" s="44"/>
      <c r="S138" s="44"/>
    </row>
    <row r="139" spans="2:19" x14ac:dyDescent="0.2">
      <c r="B139" s="44"/>
      <c r="C139" s="44"/>
      <c r="D139" s="44"/>
      <c r="E139" s="44"/>
      <c r="F139" s="44"/>
      <c r="G139" s="44"/>
      <c r="H139" s="44"/>
      <c r="I139" s="44"/>
      <c r="J139" s="44"/>
      <c r="K139" s="44"/>
      <c r="L139" s="44"/>
      <c r="M139" s="44"/>
      <c r="N139" s="44"/>
      <c r="O139" s="44"/>
      <c r="P139" s="44"/>
      <c r="Q139" s="44"/>
      <c r="R139" s="44"/>
      <c r="S139" s="44"/>
    </row>
    <row r="140" spans="2:19" x14ac:dyDescent="0.2">
      <c r="B140" s="44"/>
      <c r="C140" s="44"/>
      <c r="D140" s="44"/>
      <c r="E140" s="44"/>
      <c r="F140" s="44"/>
      <c r="G140" s="44"/>
      <c r="H140" s="44"/>
      <c r="I140" s="44"/>
      <c r="J140" s="44"/>
      <c r="K140" s="44"/>
      <c r="L140" s="44"/>
      <c r="M140" s="44"/>
      <c r="N140" s="44"/>
      <c r="O140" s="44"/>
      <c r="P140" s="44"/>
      <c r="Q140" s="44"/>
      <c r="R140" s="44"/>
      <c r="S140" s="44"/>
    </row>
    <row r="141" spans="2:19" x14ac:dyDescent="0.2">
      <c r="B141" s="44"/>
      <c r="C141" s="44"/>
      <c r="D141" s="44"/>
      <c r="E141" s="44"/>
      <c r="F141" s="44"/>
      <c r="G141" s="44"/>
      <c r="H141" s="44"/>
      <c r="I141" s="44"/>
      <c r="J141" s="44"/>
      <c r="K141" s="44"/>
      <c r="L141" s="44"/>
      <c r="M141" s="44"/>
      <c r="N141" s="44"/>
      <c r="O141" s="44"/>
      <c r="P141" s="44"/>
      <c r="Q141" s="44"/>
      <c r="R141" s="44"/>
      <c r="S141" s="44"/>
    </row>
    <row r="142" spans="2:19" x14ac:dyDescent="0.2">
      <c r="B142" s="44"/>
      <c r="C142" s="44"/>
      <c r="D142" s="44"/>
      <c r="E142" s="44"/>
      <c r="F142" s="44"/>
      <c r="G142" s="44"/>
      <c r="H142" s="44"/>
      <c r="I142" s="44"/>
      <c r="J142" s="44"/>
      <c r="K142" s="44"/>
      <c r="L142" s="44"/>
      <c r="M142" s="44"/>
      <c r="N142" s="44"/>
      <c r="O142" s="44"/>
      <c r="P142" s="44"/>
      <c r="Q142" s="44"/>
      <c r="R142" s="44"/>
      <c r="S142" s="44"/>
    </row>
    <row r="143" spans="2:19" x14ac:dyDescent="0.2">
      <c r="B143" s="44"/>
      <c r="C143" s="44"/>
      <c r="D143" s="44"/>
      <c r="E143" s="44"/>
      <c r="F143" s="44"/>
      <c r="G143" s="44"/>
      <c r="H143" s="44"/>
      <c r="I143" s="44"/>
      <c r="J143" s="44"/>
      <c r="K143" s="44"/>
      <c r="L143" s="44"/>
      <c r="M143" s="44"/>
      <c r="N143" s="44"/>
      <c r="O143" s="44"/>
      <c r="P143" s="44"/>
      <c r="Q143" s="44"/>
      <c r="R143" s="44"/>
      <c r="S143" s="44"/>
    </row>
    <row r="144" spans="2:19" x14ac:dyDescent="0.2">
      <c r="B144" s="44"/>
      <c r="C144" s="44"/>
      <c r="D144" s="44"/>
      <c r="E144" s="44"/>
      <c r="F144" s="44"/>
      <c r="G144" s="44"/>
      <c r="H144" s="44"/>
      <c r="I144" s="44"/>
      <c r="J144" s="44"/>
      <c r="K144" s="44"/>
      <c r="L144" s="44"/>
      <c r="M144" s="44"/>
      <c r="N144" s="44"/>
      <c r="O144" s="44"/>
      <c r="P144" s="44"/>
      <c r="Q144" s="44"/>
      <c r="R144" s="44"/>
      <c r="S144" s="44"/>
    </row>
    <row r="145" spans="2:19" x14ac:dyDescent="0.2">
      <c r="B145" s="44"/>
      <c r="C145" s="44"/>
      <c r="D145" s="44"/>
      <c r="E145" s="44"/>
      <c r="F145" s="44"/>
      <c r="G145" s="44"/>
      <c r="H145" s="44"/>
      <c r="I145" s="44"/>
      <c r="J145" s="44"/>
      <c r="K145" s="44"/>
      <c r="L145" s="44"/>
      <c r="M145" s="44"/>
      <c r="N145" s="44"/>
      <c r="O145" s="44"/>
      <c r="P145" s="44"/>
      <c r="Q145" s="44"/>
      <c r="R145" s="44"/>
      <c r="S145" s="44"/>
    </row>
    <row r="146" spans="2:19" x14ac:dyDescent="0.2">
      <c r="B146" s="44"/>
      <c r="C146" s="44"/>
      <c r="D146" s="44"/>
      <c r="E146" s="44"/>
      <c r="F146" s="44"/>
      <c r="G146" s="44"/>
      <c r="H146" s="44"/>
      <c r="I146" s="44"/>
      <c r="J146" s="44"/>
      <c r="K146" s="44"/>
      <c r="L146" s="44"/>
      <c r="M146" s="44"/>
      <c r="N146" s="44"/>
      <c r="O146" s="44"/>
      <c r="P146" s="44"/>
      <c r="Q146" s="44"/>
      <c r="R146" s="44"/>
      <c r="S146" s="44"/>
    </row>
    <row r="147" spans="2:19" x14ac:dyDescent="0.2">
      <c r="B147" s="44"/>
      <c r="C147" s="44"/>
      <c r="D147" s="44"/>
      <c r="E147" s="44"/>
      <c r="F147" s="44"/>
      <c r="G147" s="44"/>
      <c r="H147" s="44"/>
      <c r="I147" s="44"/>
      <c r="J147" s="44"/>
      <c r="K147" s="44"/>
      <c r="L147" s="44"/>
      <c r="M147" s="44"/>
      <c r="N147" s="44"/>
      <c r="O147" s="44"/>
      <c r="P147" s="44"/>
      <c r="Q147" s="44"/>
      <c r="R147" s="44"/>
      <c r="S147" s="44"/>
    </row>
    <row r="148" spans="2:19" x14ac:dyDescent="0.2">
      <c r="B148" s="44"/>
      <c r="C148" s="44"/>
      <c r="D148" s="44"/>
      <c r="E148" s="44"/>
      <c r="F148" s="44"/>
      <c r="G148" s="44"/>
      <c r="H148" s="44"/>
      <c r="I148" s="44"/>
      <c r="J148" s="44"/>
      <c r="K148" s="44"/>
      <c r="L148" s="44"/>
      <c r="M148" s="44"/>
      <c r="N148" s="44"/>
      <c r="O148" s="44"/>
      <c r="P148" s="44"/>
      <c r="Q148" s="44"/>
      <c r="R148" s="44"/>
      <c r="S148" s="44"/>
    </row>
    <row r="149" spans="2:19" x14ac:dyDescent="0.2">
      <c r="B149" s="44"/>
      <c r="C149" s="44"/>
      <c r="D149" s="44"/>
      <c r="E149" s="44"/>
      <c r="F149" s="44"/>
      <c r="G149" s="44"/>
      <c r="H149" s="44"/>
      <c r="I149" s="44"/>
      <c r="J149" s="44"/>
      <c r="K149" s="44"/>
      <c r="L149" s="44"/>
      <c r="M149" s="44"/>
      <c r="N149" s="44"/>
      <c r="O149" s="44"/>
      <c r="P149" s="44"/>
      <c r="Q149" s="44"/>
      <c r="R149" s="44"/>
      <c r="S149" s="44"/>
    </row>
    <row r="150" spans="2:19" x14ac:dyDescent="0.2">
      <c r="B150" s="44"/>
      <c r="C150" s="44"/>
      <c r="D150" s="44"/>
      <c r="E150" s="44"/>
      <c r="F150" s="44"/>
      <c r="G150" s="44"/>
      <c r="H150" s="44"/>
      <c r="I150" s="44"/>
      <c r="J150" s="44"/>
      <c r="K150" s="44"/>
      <c r="L150" s="44"/>
      <c r="M150" s="44"/>
      <c r="N150" s="44"/>
      <c r="O150" s="44"/>
      <c r="P150" s="44"/>
      <c r="Q150" s="44"/>
      <c r="R150" s="44"/>
      <c r="S150" s="44"/>
    </row>
    <row r="151" spans="2:19" x14ac:dyDescent="0.2">
      <c r="B151" s="44"/>
      <c r="C151" s="44"/>
      <c r="D151" s="44"/>
      <c r="E151" s="44"/>
      <c r="F151" s="44"/>
      <c r="G151" s="44"/>
      <c r="H151" s="44"/>
      <c r="I151" s="44"/>
      <c r="J151" s="44"/>
      <c r="K151" s="44"/>
      <c r="L151" s="44"/>
      <c r="M151" s="44"/>
      <c r="N151" s="44"/>
      <c r="O151" s="44"/>
      <c r="P151" s="44"/>
      <c r="Q151" s="44"/>
      <c r="R151" s="44"/>
      <c r="S151" s="44"/>
    </row>
    <row r="152" spans="2:19" x14ac:dyDescent="0.2">
      <c r="B152" s="44"/>
      <c r="C152" s="44"/>
      <c r="D152" s="44"/>
      <c r="E152" s="44"/>
      <c r="F152" s="44"/>
      <c r="G152" s="44"/>
      <c r="H152" s="44"/>
      <c r="I152" s="44"/>
      <c r="J152" s="44"/>
      <c r="K152" s="44"/>
      <c r="L152" s="44"/>
      <c r="M152" s="44"/>
      <c r="N152" s="44"/>
      <c r="O152" s="44"/>
      <c r="P152" s="44"/>
      <c r="Q152" s="44"/>
      <c r="R152" s="44"/>
      <c r="S152" s="44"/>
    </row>
    <row r="153" spans="2:19" x14ac:dyDescent="0.2">
      <c r="B153" s="44"/>
      <c r="C153" s="44"/>
      <c r="D153" s="44"/>
      <c r="E153" s="44"/>
      <c r="F153" s="44"/>
      <c r="G153" s="44"/>
      <c r="H153" s="44"/>
      <c r="I153" s="44"/>
      <c r="J153" s="44"/>
      <c r="K153" s="44"/>
      <c r="L153" s="44"/>
      <c r="M153" s="44"/>
      <c r="N153" s="44"/>
      <c r="O153" s="44"/>
      <c r="P153" s="44"/>
      <c r="Q153" s="44"/>
      <c r="R153" s="44"/>
      <c r="S153" s="44"/>
    </row>
    <row r="154" spans="2:19" x14ac:dyDescent="0.2">
      <c r="B154" s="44"/>
      <c r="C154" s="44"/>
      <c r="D154" s="44"/>
      <c r="E154" s="44"/>
      <c r="F154" s="44"/>
      <c r="G154" s="44"/>
      <c r="H154" s="44"/>
      <c r="I154" s="44"/>
      <c r="J154" s="44"/>
      <c r="K154" s="44"/>
      <c r="L154" s="44"/>
      <c r="M154" s="44"/>
      <c r="N154" s="44"/>
      <c r="O154" s="44"/>
      <c r="P154" s="44"/>
      <c r="Q154" s="44"/>
      <c r="R154" s="44"/>
      <c r="S154" s="44"/>
    </row>
    <row r="155" spans="2:19" x14ac:dyDescent="0.2">
      <c r="B155" s="44"/>
      <c r="C155" s="44"/>
      <c r="D155" s="44"/>
      <c r="E155" s="44"/>
      <c r="F155" s="44"/>
      <c r="G155" s="44"/>
      <c r="H155" s="44"/>
      <c r="I155" s="44"/>
      <c r="J155" s="44"/>
      <c r="K155" s="44"/>
      <c r="L155" s="44"/>
      <c r="M155" s="44"/>
      <c r="N155" s="44"/>
      <c r="O155" s="44"/>
      <c r="P155" s="44"/>
      <c r="Q155" s="44"/>
      <c r="R155" s="44"/>
      <c r="S155" s="44"/>
    </row>
    <row r="156" spans="2:19" x14ac:dyDescent="0.2">
      <c r="B156" s="44"/>
      <c r="C156" s="44"/>
      <c r="D156" s="44"/>
      <c r="E156" s="44"/>
      <c r="F156" s="44"/>
      <c r="G156" s="44"/>
      <c r="H156" s="44"/>
      <c r="I156" s="44"/>
      <c r="J156" s="44"/>
      <c r="K156" s="44"/>
      <c r="L156" s="44"/>
      <c r="M156" s="44"/>
      <c r="N156" s="44"/>
      <c r="O156" s="44"/>
      <c r="P156" s="44"/>
      <c r="Q156" s="44"/>
      <c r="R156" s="44"/>
      <c r="S156" s="44"/>
    </row>
    <row r="157" spans="2:19" x14ac:dyDescent="0.2">
      <c r="B157" s="44"/>
      <c r="C157" s="44"/>
      <c r="D157" s="44"/>
      <c r="E157" s="44"/>
      <c r="F157" s="44"/>
      <c r="G157" s="44"/>
      <c r="H157" s="44"/>
      <c r="I157" s="44"/>
      <c r="J157" s="44"/>
      <c r="K157" s="44"/>
      <c r="L157" s="44"/>
      <c r="M157" s="44"/>
      <c r="N157" s="44"/>
      <c r="O157" s="44"/>
      <c r="P157" s="44"/>
      <c r="Q157" s="44"/>
      <c r="R157" s="44"/>
      <c r="S157" s="44"/>
    </row>
    <row r="158" spans="2:19" x14ac:dyDescent="0.2">
      <c r="B158" s="44"/>
      <c r="C158" s="44"/>
      <c r="D158" s="44"/>
      <c r="E158" s="44"/>
      <c r="F158" s="44"/>
      <c r="G158" s="44"/>
      <c r="H158" s="44"/>
      <c r="I158" s="44"/>
      <c r="J158" s="44"/>
      <c r="K158" s="44"/>
      <c r="L158" s="44"/>
      <c r="M158" s="44"/>
      <c r="N158" s="44"/>
      <c r="O158" s="44"/>
      <c r="P158" s="44"/>
      <c r="Q158" s="44"/>
      <c r="R158" s="44"/>
      <c r="S158" s="44"/>
    </row>
    <row r="159" spans="2:19" x14ac:dyDescent="0.2">
      <c r="B159" s="44"/>
      <c r="C159" s="44"/>
      <c r="D159" s="44"/>
      <c r="E159" s="44"/>
      <c r="F159" s="44"/>
      <c r="G159" s="44"/>
      <c r="H159" s="44"/>
      <c r="I159" s="44"/>
      <c r="J159" s="44"/>
      <c r="K159" s="44"/>
      <c r="L159" s="44"/>
      <c r="M159" s="44"/>
      <c r="N159" s="44"/>
      <c r="O159" s="44"/>
      <c r="P159" s="44"/>
      <c r="Q159" s="44"/>
      <c r="R159" s="44"/>
      <c r="S159" s="44"/>
    </row>
    <row r="160" spans="2:19" x14ac:dyDescent="0.2">
      <c r="B160" s="44"/>
      <c r="C160" s="44"/>
      <c r="D160" s="44"/>
      <c r="E160" s="44"/>
      <c r="F160" s="44"/>
      <c r="G160" s="44"/>
      <c r="H160" s="44"/>
      <c r="I160" s="44"/>
      <c r="J160" s="44"/>
      <c r="K160" s="44"/>
      <c r="L160" s="44"/>
      <c r="M160" s="44"/>
      <c r="N160" s="44"/>
      <c r="O160" s="44"/>
      <c r="P160" s="44"/>
      <c r="Q160" s="44"/>
      <c r="R160" s="44"/>
      <c r="S160" s="44"/>
    </row>
    <row r="161" spans="2:19" x14ac:dyDescent="0.2">
      <c r="B161" s="44"/>
      <c r="C161" s="44"/>
      <c r="D161" s="44"/>
      <c r="E161" s="44"/>
      <c r="F161" s="44"/>
      <c r="G161" s="44"/>
      <c r="H161" s="44"/>
      <c r="I161" s="44"/>
      <c r="J161" s="44"/>
      <c r="K161" s="44"/>
      <c r="L161" s="44"/>
      <c r="M161" s="44"/>
      <c r="N161" s="44"/>
      <c r="O161" s="44"/>
      <c r="P161" s="44"/>
      <c r="Q161" s="44"/>
      <c r="R161" s="44"/>
      <c r="S161" s="44"/>
    </row>
    <row r="162" spans="2:19" x14ac:dyDescent="0.2">
      <c r="B162" s="44"/>
      <c r="C162" s="44"/>
      <c r="D162" s="44"/>
      <c r="E162" s="44"/>
      <c r="F162" s="44"/>
      <c r="G162" s="44"/>
      <c r="H162" s="44"/>
      <c r="I162" s="44"/>
      <c r="J162" s="44"/>
      <c r="K162" s="44"/>
      <c r="L162" s="44"/>
      <c r="M162" s="44"/>
      <c r="N162" s="44"/>
      <c r="O162" s="44"/>
      <c r="P162" s="44"/>
      <c r="Q162" s="44"/>
      <c r="R162" s="44"/>
      <c r="S162" s="44"/>
    </row>
    <row r="163" spans="2:19" x14ac:dyDescent="0.2">
      <c r="B163" s="44"/>
      <c r="C163" s="44"/>
      <c r="D163" s="44"/>
      <c r="E163" s="44"/>
      <c r="F163" s="44"/>
      <c r="G163" s="44"/>
      <c r="H163" s="44"/>
      <c r="I163" s="44"/>
      <c r="J163" s="44"/>
      <c r="K163" s="44"/>
      <c r="L163" s="44"/>
      <c r="M163" s="44"/>
      <c r="N163" s="44"/>
      <c r="O163" s="44"/>
      <c r="P163" s="44"/>
      <c r="Q163" s="44"/>
      <c r="R163" s="44"/>
      <c r="S163" s="44"/>
    </row>
    <row r="164" spans="2:19" x14ac:dyDescent="0.2">
      <c r="B164" s="44"/>
      <c r="C164" s="44"/>
      <c r="D164" s="44"/>
      <c r="E164" s="44"/>
      <c r="F164" s="44"/>
      <c r="G164" s="44"/>
      <c r="H164" s="44"/>
      <c r="I164" s="44"/>
      <c r="J164" s="44"/>
      <c r="K164" s="44"/>
      <c r="L164" s="44"/>
      <c r="M164" s="44"/>
      <c r="N164" s="44"/>
      <c r="O164" s="44"/>
      <c r="P164" s="44"/>
      <c r="Q164" s="44"/>
      <c r="R164" s="44"/>
      <c r="S164" s="44"/>
    </row>
    <row r="165" spans="2:19" x14ac:dyDescent="0.2">
      <c r="B165" s="44"/>
      <c r="C165" s="44"/>
      <c r="D165" s="44"/>
      <c r="E165" s="44"/>
      <c r="F165" s="44"/>
      <c r="G165" s="44"/>
      <c r="H165" s="44"/>
      <c r="I165" s="44"/>
      <c r="J165" s="44"/>
      <c r="K165" s="44"/>
      <c r="L165" s="44"/>
      <c r="M165" s="44"/>
      <c r="N165" s="44"/>
      <c r="O165" s="44"/>
      <c r="P165" s="44"/>
      <c r="Q165" s="44"/>
      <c r="R165" s="44"/>
      <c r="S165" s="44"/>
    </row>
    <row r="166" spans="2:19" x14ac:dyDescent="0.2">
      <c r="B166" s="44"/>
      <c r="C166" s="44"/>
      <c r="D166" s="44"/>
      <c r="E166" s="44"/>
      <c r="F166" s="44"/>
      <c r="G166" s="44"/>
      <c r="H166" s="44"/>
      <c r="I166" s="44"/>
      <c r="J166" s="44"/>
      <c r="K166" s="44"/>
      <c r="L166" s="44"/>
      <c r="M166" s="44"/>
      <c r="N166" s="44"/>
      <c r="O166" s="44"/>
      <c r="P166" s="44"/>
      <c r="Q166" s="44"/>
      <c r="R166" s="44"/>
      <c r="S166" s="44"/>
    </row>
    <row r="167" spans="2:19" x14ac:dyDescent="0.2">
      <c r="B167" s="44"/>
      <c r="C167" s="44"/>
      <c r="D167" s="44"/>
      <c r="E167" s="44"/>
      <c r="F167" s="44"/>
      <c r="G167" s="44"/>
      <c r="H167" s="44"/>
      <c r="I167" s="44"/>
      <c r="J167" s="44"/>
      <c r="K167" s="44"/>
      <c r="L167" s="44"/>
      <c r="M167" s="44"/>
      <c r="N167" s="44"/>
      <c r="O167" s="44"/>
      <c r="P167" s="44"/>
      <c r="Q167" s="44"/>
      <c r="R167" s="44"/>
      <c r="S167" s="44"/>
    </row>
    <row r="168" spans="2:19" x14ac:dyDescent="0.2">
      <c r="B168" s="44"/>
      <c r="C168" s="44"/>
      <c r="D168" s="44"/>
      <c r="E168" s="44"/>
      <c r="F168" s="44"/>
      <c r="G168" s="44"/>
      <c r="H168" s="44"/>
      <c r="I168" s="44"/>
      <c r="J168" s="44"/>
      <c r="K168" s="44"/>
      <c r="L168" s="44"/>
      <c r="M168" s="44"/>
      <c r="N168" s="44"/>
      <c r="O168" s="44"/>
      <c r="P168" s="44"/>
      <c r="Q168" s="44"/>
      <c r="R168" s="44"/>
      <c r="S168" s="44"/>
    </row>
    <row r="169" spans="2:19" x14ac:dyDescent="0.2">
      <c r="B169" s="44"/>
      <c r="C169" s="44"/>
      <c r="D169" s="44"/>
      <c r="E169" s="44"/>
      <c r="F169" s="44"/>
      <c r="G169" s="44"/>
      <c r="H169" s="44"/>
      <c r="I169" s="44"/>
      <c r="J169" s="44"/>
      <c r="K169" s="44"/>
      <c r="L169" s="44"/>
      <c r="M169" s="44"/>
      <c r="N169" s="44"/>
      <c r="O169" s="44"/>
      <c r="P169" s="44"/>
      <c r="Q169" s="44"/>
      <c r="R169" s="44"/>
      <c r="S169" s="44"/>
    </row>
    <row r="170" spans="2:19" x14ac:dyDescent="0.2">
      <c r="B170" s="44"/>
      <c r="C170" s="44"/>
      <c r="D170" s="44"/>
      <c r="E170" s="44"/>
      <c r="F170" s="44"/>
      <c r="G170" s="44"/>
      <c r="H170" s="44"/>
      <c r="I170" s="44"/>
      <c r="J170" s="44"/>
      <c r="K170" s="44"/>
      <c r="L170" s="44"/>
      <c r="M170" s="44"/>
      <c r="N170" s="44"/>
      <c r="O170" s="44"/>
      <c r="P170" s="44"/>
      <c r="Q170" s="44"/>
      <c r="R170" s="44"/>
      <c r="S170" s="44"/>
    </row>
    <row r="171" spans="2:19" x14ac:dyDescent="0.2">
      <c r="B171" s="44"/>
      <c r="C171" s="44"/>
      <c r="D171" s="44"/>
      <c r="E171" s="44"/>
      <c r="F171" s="44"/>
      <c r="G171" s="44"/>
      <c r="H171" s="44"/>
      <c r="I171" s="44"/>
      <c r="J171" s="44"/>
      <c r="K171" s="44"/>
      <c r="L171" s="44"/>
      <c r="M171" s="44"/>
      <c r="N171" s="44"/>
      <c r="O171" s="44"/>
      <c r="P171" s="44"/>
      <c r="Q171" s="44"/>
      <c r="R171" s="44"/>
      <c r="S171" s="44"/>
    </row>
    <row r="172" spans="2:19" x14ac:dyDescent="0.2">
      <c r="B172" s="44"/>
      <c r="C172" s="44"/>
      <c r="D172" s="44"/>
      <c r="E172" s="44"/>
      <c r="F172" s="44"/>
      <c r="G172" s="44"/>
      <c r="H172" s="44"/>
      <c r="I172" s="44"/>
      <c r="J172" s="44"/>
      <c r="K172" s="44"/>
      <c r="L172" s="44"/>
      <c r="M172" s="44"/>
      <c r="N172" s="44"/>
      <c r="O172" s="44"/>
      <c r="P172" s="44"/>
      <c r="Q172" s="44"/>
      <c r="R172" s="44"/>
      <c r="S172" s="44"/>
    </row>
    <row r="173" spans="2:19" x14ac:dyDescent="0.2">
      <c r="B173" s="44"/>
      <c r="C173" s="44"/>
      <c r="D173" s="44"/>
      <c r="E173" s="44"/>
      <c r="F173" s="44"/>
      <c r="G173" s="44"/>
      <c r="H173" s="44"/>
      <c r="I173" s="44"/>
      <c r="J173" s="44"/>
      <c r="K173" s="44"/>
      <c r="L173" s="44"/>
      <c r="M173" s="44"/>
      <c r="N173" s="44"/>
      <c r="O173" s="44"/>
      <c r="P173" s="44"/>
      <c r="Q173" s="44"/>
      <c r="R173" s="44"/>
      <c r="S173" s="44"/>
    </row>
    <row r="174" spans="2:19" x14ac:dyDescent="0.2">
      <c r="B174" s="44"/>
      <c r="C174" s="44"/>
      <c r="D174" s="44"/>
      <c r="E174" s="44"/>
      <c r="F174" s="44"/>
      <c r="G174" s="44"/>
      <c r="H174" s="44"/>
      <c r="I174" s="44"/>
      <c r="J174" s="44"/>
      <c r="K174" s="44"/>
      <c r="L174" s="44"/>
      <c r="M174" s="44"/>
      <c r="N174" s="44"/>
      <c r="O174" s="44"/>
      <c r="P174" s="44"/>
      <c r="Q174" s="44"/>
      <c r="R174" s="44"/>
      <c r="S174" s="44"/>
    </row>
    <row r="175" spans="2:19" x14ac:dyDescent="0.2">
      <c r="B175" s="44"/>
      <c r="C175" s="44"/>
      <c r="D175" s="44"/>
      <c r="E175" s="44"/>
      <c r="F175" s="44"/>
      <c r="G175" s="44"/>
      <c r="H175" s="44"/>
      <c r="I175" s="44"/>
      <c r="J175" s="44"/>
      <c r="K175" s="44"/>
      <c r="L175" s="44"/>
      <c r="M175" s="44"/>
      <c r="N175" s="44"/>
      <c r="O175" s="44"/>
      <c r="P175" s="44"/>
      <c r="Q175" s="44"/>
      <c r="R175" s="44"/>
      <c r="S175" s="44"/>
    </row>
    <row r="176" spans="2:19" x14ac:dyDescent="0.2">
      <c r="B176" s="44"/>
      <c r="C176" s="44"/>
      <c r="D176" s="44"/>
      <c r="E176" s="44"/>
      <c r="F176" s="44"/>
      <c r="G176" s="44"/>
      <c r="H176" s="44"/>
      <c r="I176" s="44"/>
      <c r="J176" s="44"/>
      <c r="K176" s="44"/>
      <c r="L176" s="44"/>
      <c r="M176" s="44"/>
      <c r="N176" s="44"/>
      <c r="O176" s="44"/>
      <c r="P176" s="44"/>
      <c r="Q176" s="44"/>
      <c r="R176" s="44"/>
      <c r="S176" s="44"/>
    </row>
    <row r="177" spans="2:19" x14ac:dyDescent="0.2">
      <c r="B177" s="44"/>
      <c r="C177" s="44"/>
      <c r="D177" s="44"/>
      <c r="E177" s="44"/>
      <c r="F177" s="44"/>
      <c r="G177" s="44"/>
      <c r="H177" s="44"/>
      <c r="I177" s="44"/>
      <c r="J177" s="44"/>
      <c r="K177" s="44"/>
      <c r="L177" s="44"/>
      <c r="M177" s="44"/>
      <c r="N177" s="44"/>
      <c r="O177" s="44"/>
      <c r="P177" s="44"/>
      <c r="Q177" s="44"/>
      <c r="R177" s="44"/>
      <c r="S177" s="44"/>
    </row>
    <row r="178" spans="2:19" x14ac:dyDescent="0.2">
      <c r="B178" s="44"/>
      <c r="C178" s="44"/>
      <c r="D178" s="44"/>
      <c r="E178" s="44"/>
      <c r="F178" s="44"/>
      <c r="G178" s="44"/>
      <c r="H178" s="44"/>
      <c r="I178" s="44"/>
      <c r="J178" s="44"/>
      <c r="K178" s="44"/>
      <c r="L178" s="44"/>
      <c r="M178" s="44"/>
      <c r="N178" s="44"/>
      <c r="O178" s="44"/>
      <c r="P178" s="44"/>
      <c r="Q178" s="44"/>
      <c r="R178" s="44"/>
      <c r="S178" s="44"/>
    </row>
    <row r="179" spans="2:19" x14ac:dyDescent="0.2">
      <c r="B179" s="44"/>
      <c r="C179" s="44"/>
      <c r="D179" s="44"/>
      <c r="E179" s="44"/>
      <c r="F179" s="44"/>
      <c r="G179" s="44"/>
      <c r="H179" s="44"/>
      <c r="I179" s="44"/>
      <c r="J179" s="44"/>
      <c r="K179" s="44"/>
      <c r="L179" s="44"/>
      <c r="M179" s="44"/>
      <c r="N179" s="44"/>
      <c r="O179" s="44"/>
      <c r="P179" s="44"/>
      <c r="Q179" s="44"/>
      <c r="R179" s="44"/>
      <c r="S179" s="44"/>
    </row>
    <row r="180" spans="2:19" x14ac:dyDescent="0.2">
      <c r="B180" s="44"/>
      <c r="C180" s="44"/>
      <c r="D180" s="44"/>
      <c r="E180" s="44"/>
      <c r="F180" s="44"/>
      <c r="G180" s="44"/>
      <c r="H180" s="44"/>
      <c r="I180" s="44"/>
      <c r="J180" s="44"/>
      <c r="K180" s="44"/>
      <c r="L180" s="44"/>
      <c r="M180" s="44"/>
      <c r="N180" s="44"/>
      <c r="O180" s="44"/>
      <c r="P180" s="44"/>
      <c r="Q180" s="44"/>
      <c r="R180" s="44"/>
      <c r="S180" s="44"/>
    </row>
    <row r="181" spans="2:19" x14ac:dyDescent="0.2">
      <c r="B181" s="44"/>
      <c r="C181" s="44"/>
      <c r="D181" s="44"/>
      <c r="E181" s="44"/>
      <c r="F181" s="44"/>
      <c r="G181" s="44"/>
      <c r="H181" s="44"/>
      <c r="I181" s="44"/>
      <c r="J181" s="44"/>
      <c r="K181" s="44"/>
      <c r="L181" s="44"/>
      <c r="M181" s="44"/>
      <c r="N181" s="44"/>
      <c r="O181" s="44"/>
      <c r="P181" s="44"/>
      <c r="Q181" s="44"/>
      <c r="R181" s="44"/>
      <c r="S181" s="44"/>
    </row>
    <row r="182" spans="2:19" x14ac:dyDescent="0.2">
      <c r="B182" s="44"/>
      <c r="C182" s="44"/>
      <c r="D182" s="44"/>
      <c r="E182" s="44"/>
      <c r="F182" s="44"/>
      <c r="G182" s="44"/>
      <c r="H182" s="44"/>
      <c r="I182" s="44"/>
      <c r="J182" s="44"/>
      <c r="K182" s="44"/>
      <c r="L182" s="44"/>
      <c r="M182" s="44"/>
      <c r="N182" s="44"/>
      <c r="O182" s="44"/>
      <c r="P182" s="44"/>
      <c r="Q182" s="44"/>
      <c r="R182" s="44"/>
      <c r="S182" s="44"/>
    </row>
    <row r="183" spans="2:19" x14ac:dyDescent="0.2">
      <c r="B183" s="44"/>
      <c r="C183" s="44"/>
      <c r="D183" s="44"/>
      <c r="E183" s="44"/>
      <c r="F183" s="44"/>
      <c r="G183" s="44"/>
      <c r="H183" s="44"/>
      <c r="I183" s="44"/>
      <c r="J183" s="44"/>
      <c r="K183" s="44"/>
      <c r="L183" s="44"/>
      <c r="M183" s="44"/>
      <c r="N183" s="44"/>
      <c r="O183" s="44"/>
      <c r="P183" s="44"/>
      <c r="Q183" s="44"/>
      <c r="R183" s="44"/>
      <c r="S183" s="44"/>
    </row>
    <row r="184" spans="2:19" x14ac:dyDescent="0.2">
      <c r="B184" s="44"/>
      <c r="C184" s="44"/>
      <c r="D184" s="44"/>
      <c r="E184" s="44"/>
      <c r="F184" s="44"/>
      <c r="G184" s="44"/>
      <c r="H184" s="44"/>
      <c r="I184" s="44"/>
      <c r="J184" s="44"/>
      <c r="K184" s="44"/>
      <c r="L184" s="44"/>
      <c r="M184" s="44"/>
      <c r="N184" s="44"/>
      <c r="O184" s="44"/>
      <c r="P184" s="44"/>
      <c r="Q184" s="44"/>
      <c r="R184" s="44"/>
      <c r="S184" s="44"/>
    </row>
    <row r="185" spans="2:19" x14ac:dyDescent="0.2">
      <c r="B185" s="44"/>
      <c r="C185" s="44"/>
      <c r="D185" s="44"/>
      <c r="E185" s="44"/>
      <c r="F185" s="44"/>
      <c r="G185" s="44"/>
      <c r="H185" s="44"/>
      <c r="I185" s="44"/>
      <c r="J185" s="44"/>
      <c r="K185" s="44"/>
      <c r="L185" s="44"/>
      <c r="M185" s="44"/>
      <c r="N185" s="44"/>
      <c r="O185" s="44"/>
      <c r="P185" s="44"/>
      <c r="Q185" s="44"/>
      <c r="R185" s="44"/>
      <c r="S185" s="44"/>
    </row>
    <row r="186" spans="2:19" x14ac:dyDescent="0.2">
      <c r="B186" s="44"/>
      <c r="C186" s="44"/>
      <c r="D186" s="44"/>
      <c r="E186" s="44"/>
      <c r="F186" s="44"/>
      <c r="G186" s="44"/>
      <c r="H186" s="44"/>
      <c r="I186" s="44"/>
      <c r="J186" s="44"/>
      <c r="K186" s="44"/>
      <c r="L186" s="44"/>
      <c r="M186" s="44"/>
      <c r="N186" s="44"/>
      <c r="O186" s="44"/>
      <c r="P186" s="44"/>
      <c r="Q186" s="44"/>
      <c r="R186" s="44"/>
      <c r="S186" s="44"/>
    </row>
    <row r="187" spans="2:19" x14ac:dyDescent="0.2">
      <c r="B187" s="44"/>
      <c r="C187" s="44"/>
      <c r="D187" s="44"/>
      <c r="E187" s="44"/>
      <c r="F187" s="44"/>
      <c r="G187" s="44"/>
      <c r="H187" s="44"/>
      <c r="I187" s="44"/>
      <c r="J187" s="44"/>
      <c r="K187" s="44"/>
      <c r="L187" s="44"/>
      <c r="M187" s="44"/>
      <c r="N187" s="44"/>
      <c r="O187" s="44"/>
      <c r="P187" s="44"/>
      <c r="Q187" s="44"/>
      <c r="R187" s="44"/>
      <c r="S187" s="44"/>
    </row>
    <row r="188" spans="2:19" x14ac:dyDescent="0.2">
      <c r="B188" s="44"/>
      <c r="C188" s="44"/>
      <c r="D188" s="44"/>
      <c r="E188" s="44"/>
      <c r="F188" s="44"/>
      <c r="G188" s="44"/>
      <c r="H188" s="44"/>
      <c r="I188" s="44"/>
      <c r="J188" s="44"/>
      <c r="K188" s="44"/>
      <c r="L188" s="44"/>
      <c r="M188" s="44"/>
      <c r="N188" s="44"/>
      <c r="O188" s="44"/>
      <c r="P188" s="44"/>
      <c r="Q188" s="44"/>
      <c r="R188" s="44"/>
      <c r="S188" s="44"/>
    </row>
    <row r="189" spans="2:19" x14ac:dyDescent="0.2">
      <c r="B189" s="44"/>
      <c r="C189" s="44"/>
      <c r="D189" s="44"/>
      <c r="E189" s="44"/>
      <c r="F189" s="44"/>
      <c r="G189" s="44"/>
      <c r="H189" s="44"/>
      <c r="I189" s="44"/>
      <c r="J189" s="44"/>
      <c r="K189" s="44"/>
      <c r="L189" s="44"/>
      <c r="M189" s="44"/>
      <c r="N189" s="44"/>
      <c r="O189" s="44"/>
      <c r="P189" s="44"/>
      <c r="Q189" s="44"/>
      <c r="R189" s="44"/>
      <c r="S189" s="44"/>
    </row>
    <row r="190" spans="2:19" x14ac:dyDescent="0.2">
      <c r="B190" s="44"/>
      <c r="C190" s="44"/>
      <c r="D190" s="44"/>
      <c r="E190" s="44"/>
      <c r="F190" s="44"/>
      <c r="G190" s="44"/>
      <c r="H190" s="44"/>
      <c r="I190" s="44"/>
      <c r="J190" s="44"/>
      <c r="K190" s="44"/>
      <c r="L190" s="44"/>
      <c r="M190" s="44"/>
      <c r="N190" s="44"/>
      <c r="O190" s="44"/>
      <c r="P190" s="44"/>
      <c r="Q190" s="44"/>
      <c r="R190" s="44"/>
      <c r="S190" s="44"/>
    </row>
    <row r="191" spans="2:19" x14ac:dyDescent="0.2">
      <c r="B191" s="44"/>
      <c r="C191" s="44"/>
      <c r="D191" s="44"/>
      <c r="E191" s="44"/>
      <c r="F191" s="44"/>
      <c r="G191" s="44"/>
      <c r="H191" s="44"/>
      <c r="I191" s="44"/>
      <c r="J191" s="44"/>
      <c r="K191" s="44"/>
      <c r="L191" s="44"/>
      <c r="M191" s="44"/>
      <c r="N191" s="44"/>
      <c r="O191" s="44"/>
      <c r="P191" s="44"/>
      <c r="Q191" s="44"/>
      <c r="R191" s="44"/>
      <c r="S191" s="44"/>
    </row>
    <row r="192" spans="2:19" x14ac:dyDescent="0.2">
      <c r="B192" s="44"/>
      <c r="C192" s="44"/>
      <c r="D192" s="44"/>
      <c r="E192" s="44"/>
      <c r="F192" s="44"/>
      <c r="G192" s="44"/>
      <c r="H192" s="44"/>
      <c r="I192" s="44"/>
      <c r="J192" s="44"/>
      <c r="K192" s="44"/>
      <c r="L192" s="44"/>
      <c r="M192" s="44"/>
      <c r="N192" s="44"/>
      <c r="O192" s="44"/>
      <c r="P192" s="44"/>
      <c r="Q192" s="44"/>
      <c r="R192" s="44"/>
      <c r="S192" s="44"/>
    </row>
    <row r="193" spans="2:19" x14ac:dyDescent="0.2">
      <c r="B193" s="44"/>
      <c r="C193" s="44"/>
      <c r="D193" s="44"/>
      <c r="E193" s="44"/>
      <c r="F193" s="44"/>
      <c r="G193" s="44"/>
      <c r="H193" s="44"/>
      <c r="I193" s="44"/>
      <c r="J193" s="44"/>
      <c r="K193" s="44"/>
      <c r="L193" s="44"/>
      <c r="M193" s="44"/>
      <c r="N193" s="44"/>
      <c r="O193" s="44"/>
      <c r="P193" s="44"/>
      <c r="Q193" s="44"/>
      <c r="R193" s="44"/>
      <c r="S193" s="44"/>
    </row>
    <row r="194" spans="2:19" x14ac:dyDescent="0.2">
      <c r="B194" s="44"/>
      <c r="C194" s="44"/>
      <c r="D194" s="44"/>
      <c r="E194" s="44"/>
      <c r="F194" s="44"/>
      <c r="G194" s="44"/>
      <c r="H194" s="44"/>
      <c r="I194" s="44"/>
      <c r="J194" s="44"/>
      <c r="K194" s="44"/>
      <c r="L194" s="44"/>
      <c r="M194" s="44"/>
      <c r="N194" s="44"/>
      <c r="O194" s="44"/>
      <c r="P194" s="44"/>
      <c r="Q194" s="44"/>
      <c r="R194" s="44"/>
      <c r="S194" s="44"/>
    </row>
    <row r="195" spans="2:19" x14ac:dyDescent="0.2">
      <c r="B195" s="44"/>
      <c r="C195" s="44"/>
      <c r="D195" s="44"/>
      <c r="E195" s="44"/>
      <c r="F195" s="44"/>
      <c r="G195" s="44"/>
      <c r="H195" s="44"/>
      <c r="I195" s="44"/>
      <c r="J195" s="44"/>
      <c r="K195" s="44"/>
      <c r="L195" s="44"/>
      <c r="M195" s="44"/>
      <c r="N195" s="44"/>
      <c r="O195" s="44"/>
      <c r="P195" s="44"/>
      <c r="Q195" s="44"/>
      <c r="R195" s="44"/>
      <c r="S195" s="44"/>
    </row>
    <row r="196" spans="2:19" x14ac:dyDescent="0.2">
      <c r="B196" s="44"/>
      <c r="C196" s="44"/>
      <c r="D196" s="44"/>
      <c r="E196" s="44"/>
      <c r="F196" s="44"/>
      <c r="G196" s="44"/>
      <c r="H196" s="44"/>
      <c r="I196" s="44"/>
      <c r="J196" s="44"/>
      <c r="K196" s="44"/>
      <c r="L196" s="44"/>
      <c r="M196" s="44"/>
      <c r="N196" s="44"/>
      <c r="O196" s="44"/>
      <c r="P196" s="44"/>
      <c r="Q196" s="44"/>
      <c r="R196" s="44"/>
      <c r="S196" s="44"/>
    </row>
    <row r="197" spans="2:19" x14ac:dyDescent="0.2">
      <c r="B197" s="44"/>
      <c r="C197" s="44"/>
      <c r="D197" s="44"/>
      <c r="E197" s="44"/>
      <c r="F197" s="44"/>
      <c r="G197" s="44"/>
      <c r="H197" s="44"/>
      <c r="I197" s="44"/>
      <c r="J197" s="44"/>
      <c r="K197" s="44"/>
      <c r="L197" s="44"/>
      <c r="M197" s="44"/>
      <c r="N197" s="44"/>
      <c r="O197" s="44"/>
      <c r="P197" s="44"/>
      <c r="Q197" s="44"/>
      <c r="R197" s="44"/>
      <c r="S197" s="44"/>
    </row>
    <row r="198" spans="2:19" x14ac:dyDescent="0.2">
      <c r="B198" s="44"/>
      <c r="C198" s="44"/>
      <c r="D198" s="44"/>
      <c r="E198" s="44"/>
      <c r="F198" s="44"/>
      <c r="G198" s="44"/>
      <c r="H198" s="44"/>
      <c r="I198" s="44"/>
      <c r="J198" s="44"/>
      <c r="K198" s="44"/>
      <c r="L198" s="44"/>
      <c r="M198" s="44"/>
      <c r="N198" s="44"/>
      <c r="O198" s="44"/>
      <c r="P198" s="44"/>
      <c r="Q198" s="44"/>
      <c r="R198" s="44"/>
      <c r="S198" s="44"/>
    </row>
    <row r="199" spans="2:19" x14ac:dyDescent="0.2">
      <c r="B199" s="44"/>
      <c r="C199" s="44"/>
      <c r="D199" s="44"/>
      <c r="E199" s="44"/>
      <c r="F199" s="44"/>
      <c r="G199" s="44"/>
      <c r="H199" s="44"/>
      <c r="I199" s="44"/>
      <c r="J199" s="44"/>
      <c r="K199" s="44"/>
      <c r="L199" s="44"/>
      <c r="M199" s="44"/>
      <c r="N199" s="44"/>
      <c r="O199" s="44"/>
      <c r="P199" s="44"/>
      <c r="Q199" s="44"/>
      <c r="R199" s="44"/>
      <c r="S199" s="44"/>
    </row>
    <row r="200" spans="2:19" x14ac:dyDescent="0.2">
      <c r="B200" s="44"/>
      <c r="C200" s="44"/>
      <c r="D200" s="44"/>
      <c r="E200" s="44"/>
      <c r="F200" s="44"/>
      <c r="G200" s="44"/>
      <c r="H200" s="44"/>
      <c r="I200" s="44"/>
      <c r="J200" s="44"/>
      <c r="K200" s="44"/>
      <c r="L200" s="44"/>
      <c r="M200" s="44"/>
      <c r="N200" s="44"/>
      <c r="O200" s="44"/>
      <c r="P200" s="44"/>
      <c r="Q200" s="44"/>
      <c r="R200" s="44"/>
      <c r="S200" s="44"/>
    </row>
    <row r="201" spans="2:19" x14ac:dyDescent="0.2">
      <c r="B201" s="44"/>
      <c r="C201" s="44"/>
      <c r="D201" s="44"/>
      <c r="E201" s="44"/>
      <c r="F201" s="44"/>
      <c r="G201" s="44"/>
      <c r="H201" s="44"/>
      <c r="I201" s="44"/>
      <c r="J201" s="44"/>
      <c r="K201" s="44"/>
      <c r="L201" s="44"/>
      <c r="M201" s="44"/>
      <c r="N201" s="44"/>
      <c r="O201" s="44"/>
      <c r="P201" s="44"/>
      <c r="Q201" s="44"/>
      <c r="R201" s="44"/>
      <c r="S201" s="44"/>
    </row>
    <row r="202" spans="2:19" x14ac:dyDescent="0.2">
      <c r="B202" s="44"/>
      <c r="C202" s="44"/>
      <c r="D202" s="44"/>
      <c r="E202" s="44"/>
      <c r="F202" s="44"/>
      <c r="G202" s="44"/>
      <c r="H202" s="44"/>
      <c r="I202" s="44"/>
      <c r="J202" s="44"/>
      <c r="K202" s="44"/>
      <c r="L202" s="44"/>
      <c r="M202" s="44"/>
      <c r="N202" s="44"/>
      <c r="O202" s="44"/>
      <c r="P202" s="44"/>
      <c r="Q202" s="44"/>
      <c r="R202" s="44"/>
      <c r="S202" s="44"/>
    </row>
    <row r="203" spans="2:19" x14ac:dyDescent="0.2">
      <c r="B203" s="44"/>
      <c r="C203" s="44"/>
      <c r="D203" s="44"/>
      <c r="E203" s="44"/>
      <c r="F203" s="44"/>
      <c r="G203" s="44"/>
      <c r="H203" s="44"/>
      <c r="I203" s="44"/>
      <c r="J203" s="44"/>
      <c r="K203" s="44"/>
      <c r="L203" s="44"/>
      <c r="M203" s="44"/>
      <c r="N203" s="44"/>
      <c r="O203" s="44"/>
      <c r="P203" s="44"/>
      <c r="Q203" s="44"/>
      <c r="R203" s="44"/>
      <c r="S203" s="44"/>
    </row>
    <row r="204" spans="2:19" x14ac:dyDescent="0.2">
      <c r="B204" s="44"/>
      <c r="C204" s="44"/>
      <c r="D204" s="44"/>
      <c r="E204" s="44"/>
      <c r="F204" s="44"/>
      <c r="G204" s="44"/>
      <c r="H204" s="44"/>
      <c r="I204" s="44"/>
      <c r="J204" s="44"/>
      <c r="K204" s="44"/>
      <c r="L204" s="44"/>
      <c r="M204" s="44"/>
      <c r="N204" s="44"/>
      <c r="O204" s="44"/>
      <c r="P204" s="44"/>
      <c r="Q204" s="44"/>
      <c r="R204" s="44"/>
      <c r="S204" s="44"/>
    </row>
    <row r="205" spans="2:19" x14ac:dyDescent="0.2">
      <c r="B205" s="44"/>
      <c r="C205" s="44"/>
      <c r="D205" s="44"/>
      <c r="E205" s="44"/>
      <c r="F205" s="44"/>
      <c r="G205" s="44"/>
      <c r="H205" s="44"/>
      <c r="I205" s="44"/>
      <c r="J205" s="44"/>
      <c r="K205" s="44"/>
      <c r="L205" s="44"/>
      <c r="M205" s="44"/>
      <c r="N205" s="44"/>
      <c r="O205" s="44"/>
      <c r="P205" s="44"/>
      <c r="Q205" s="44"/>
      <c r="R205" s="44"/>
      <c r="S205" s="44"/>
    </row>
    <row r="206" spans="2:19" x14ac:dyDescent="0.2">
      <c r="B206" s="44"/>
      <c r="C206" s="44"/>
      <c r="D206" s="44"/>
      <c r="E206" s="44"/>
      <c r="F206" s="44"/>
      <c r="G206" s="44"/>
      <c r="H206" s="44"/>
      <c r="I206" s="44"/>
      <c r="J206" s="44"/>
      <c r="K206" s="44"/>
      <c r="L206" s="44"/>
      <c r="M206" s="44"/>
      <c r="N206" s="44"/>
      <c r="O206" s="44"/>
      <c r="P206" s="44"/>
      <c r="Q206" s="44"/>
      <c r="R206" s="44"/>
      <c r="S206" s="44"/>
    </row>
    <row r="207" spans="2:19" x14ac:dyDescent="0.2">
      <c r="B207" s="44"/>
      <c r="C207" s="44"/>
      <c r="D207" s="44"/>
      <c r="E207" s="44"/>
      <c r="F207" s="44"/>
      <c r="G207" s="44"/>
      <c r="H207" s="44"/>
      <c r="I207" s="44"/>
      <c r="J207" s="44"/>
      <c r="K207" s="44"/>
      <c r="L207" s="44"/>
      <c r="M207" s="44"/>
      <c r="N207" s="44"/>
      <c r="O207" s="44"/>
      <c r="P207" s="44"/>
      <c r="Q207" s="44"/>
      <c r="R207" s="44"/>
      <c r="S207" s="44"/>
    </row>
    <row r="208" spans="2:19" x14ac:dyDescent="0.2">
      <c r="B208" s="44"/>
      <c r="C208" s="44"/>
      <c r="D208" s="44"/>
      <c r="E208" s="44"/>
      <c r="F208" s="44"/>
      <c r="G208" s="44"/>
      <c r="H208" s="44"/>
      <c r="I208" s="44"/>
      <c r="J208" s="44"/>
      <c r="K208" s="44"/>
      <c r="L208" s="44"/>
      <c r="M208" s="44"/>
      <c r="N208" s="44"/>
      <c r="O208" s="44"/>
      <c r="P208" s="44"/>
      <c r="Q208" s="44"/>
      <c r="R208" s="44"/>
      <c r="S208" s="44"/>
    </row>
    <row r="209" spans="2:22" x14ac:dyDescent="0.2">
      <c r="B209" s="44"/>
      <c r="C209" s="44"/>
      <c r="D209" s="44"/>
      <c r="E209" s="44"/>
      <c r="F209" s="44"/>
      <c r="G209" s="44"/>
      <c r="H209" s="44"/>
      <c r="I209" s="44"/>
      <c r="J209" s="44"/>
      <c r="K209" s="44"/>
      <c r="L209" s="44"/>
      <c r="M209" s="44"/>
      <c r="N209" s="44"/>
      <c r="O209" s="44"/>
      <c r="P209" s="44"/>
      <c r="Q209" s="44"/>
      <c r="R209" s="44"/>
      <c r="S209" s="44"/>
    </row>
    <row r="210" spans="2:22" x14ac:dyDescent="0.2">
      <c r="B210" s="44"/>
      <c r="C210" s="44"/>
      <c r="D210" s="44"/>
      <c r="E210" s="44"/>
      <c r="F210" s="44"/>
      <c r="G210" s="44"/>
      <c r="H210" s="44"/>
      <c r="I210" s="44"/>
      <c r="J210" s="44"/>
      <c r="K210" s="44"/>
      <c r="L210" s="44"/>
      <c r="M210" s="44"/>
      <c r="N210" s="44"/>
      <c r="O210" s="44"/>
      <c r="P210" s="44"/>
      <c r="Q210" s="44"/>
      <c r="R210" s="44"/>
      <c r="S210" s="44"/>
    </row>
    <row r="211" spans="2:22" x14ac:dyDescent="0.2">
      <c r="B211" s="44"/>
      <c r="C211" s="44"/>
      <c r="D211" s="44"/>
      <c r="E211" s="44"/>
      <c r="F211" s="44"/>
      <c r="G211" s="44"/>
      <c r="H211" s="44"/>
      <c r="I211" s="44"/>
      <c r="J211" s="44"/>
      <c r="K211" s="44"/>
      <c r="L211" s="44"/>
      <c r="M211" s="44"/>
      <c r="N211" s="44"/>
      <c r="O211" s="44"/>
      <c r="P211" s="44"/>
      <c r="Q211" s="44"/>
      <c r="R211" s="44"/>
      <c r="S211" s="44"/>
    </row>
    <row r="212" spans="2:22" x14ac:dyDescent="0.2">
      <c r="B212" s="44"/>
      <c r="C212" s="44"/>
      <c r="D212" s="44"/>
      <c r="E212" s="44"/>
      <c r="F212" s="44"/>
      <c r="G212" s="44"/>
      <c r="H212" s="44"/>
      <c r="I212" s="44"/>
      <c r="J212" s="44"/>
      <c r="K212" s="44"/>
      <c r="L212" s="44"/>
      <c r="M212" s="44"/>
      <c r="N212" s="44"/>
      <c r="O212" s="44"/>
      <c r="P212" s="44"/>
      <c r="Q212" s="44"/>
      <c r="R212" s="44"/>
      <c r="S212" s="44"/>
    </row>
    <row r="213" spans="2:22" x14ac:dyDescent="0.2">
      <c r="B213" s="44"/>
      <c r="C213" s="44"/>
      <c r="D213" s="44"/>
      <c r="E213" s="44"/>
      <c r="F213" s="44"/>
      <c r="G213" s="44"/>
      <c r="H213" s="44"/>
      <c r="I213" s="44"/>
      <c r="J213" s="44"/>
      <c r="K213" s="44"/>
      <c r="L213" s="44"/>
      <c r="M213" s="44"/>
      <c r="N213" s="44"/>
      <c r="O213" s="44"/>
      <c r="P213" s="44"/>
      <c r="Q213" s="44"/>
      <c r="R213" s="44"/>
      <c r="S213" s="44"/>
    </row>
    <row r="214" spans="2:22" x14ac:dyDescent="0.2">
      <c r="B214" s="44"/>
      <c r="C214" s="44"/>
      <c r="D214" s="44"/>
      <c r="E214" s="44"/>
      <c r="F214" s="44"/>
      <c r="G214" s="44"/>
      <c r="H214" s="44"/>
      <c r="I214" s="44"/>
      <c r="J214" s="44"/>
      <c r="K214" s="44"/>
      <c r="L214" s="44"/>
      <c r="M214" s="44"/>
      <c r="N214" s="44"/>
      <c r="O214" s="44"/>
      <c r="P214" s="44"/>
      <c r="Q214" s="44"/>
      <c r="R214" s="44"/>
      <c r="S214" s="44"/>
    </row>
    <row r="215" spans="2:22" x14ac:dyDescent="0.2">
      <c r="B215" s="44"/>
      <c r="C215" s="44"/>
      <c r="D215" s="44"/>
      <c r="E215" s="44"/>
      <c r="F215" s="44"/>
      <c r="G215" s="44"/>
      <c r="H215" s="44"/>
      <c r="I215" s="44"/>
      <c r="J215" s="44"/>
      <c r="K215" s="44"/>
      <c r="L215" s="44"/>
      <c r="M215" s="44"/>
      <c r="N215" s="44"/>
      <c r="O215" s="44"/>
      <c r="P215" s="44"/>
      <c r="Q215" s="44"/>
      <c r="R215" s="44"/>
      <c r="S215" s="44"/>
    </row>
    <row r="216" spans="2:22" x14ac:dyDescent="0.2">
      <c r="B216" s="44"/>
      <c r="C216" s="44"/>
      <c r="D216" s="44"/>
      <c r="E216" s="44"/>
      <c r="F216" s="44"/>
      <c r="G216" s="44"/>
      <c r="H216" s="44"/>
      <c r="I216" s="44"/>
      <c r="J216" s="44"/>
      <c r="K216" s="44"/>
      <c r="L216" s="44"/>
      <c r="M216" s="44"/>
      <c r="N216" s="44"/>
      <c r="O216" s="44"/>
      <c r="P216" s="44"/>
      <c r="Q216" s="44"/>
      <c r="R216" s="44"/>
      <c r="S216" s="44"/>
    </row>
    <row r="218" spans="2:22" ht="18" x14ac:dyDescent="0.25">
      <c r="B218" s="520"/>
      <c r="C218" s="520"/>
      <c r="D218" s="520"/>
      <c r="E218" s="520"/>
      <c r="F218" s="520"/>
      <c r="G218" s="520"/>
      <c r="H218" s="520"/>
      <c r="I218" s="520"/>
      <c r="K218" s="528"/>
      <c r="L218" s="528"/>
      <c r="M218" s="528"/>
      <c r="N218" s="528"/>
      <c r="O218" s="528"/>
      <c r="P218" s="528"/>
      <c r="Q218" s="528"/>
      <c r="R218" s="528"/>
      <c r="S218" s="528"/>
      <c r="T218" s="528"/>
      <c r="U218" s="528"/>
      <c r="V218" s="528"/>
    </row>
    <row r="219" spans="2:22" x14ac:dyDescent="0.2">
      <c r="B219" s="116"/>
      <c r="C219" s="116"/>
      <c r="D219" s="116"/>
      <c r="E219" s="116"/>
      <c r="F219" s="116"/>
      <c r="G219" s="116"/>
      <c r="H219" s="116"/>
      <c r="I219" s="116"/>
    </row>
    <row r="220" spans="2:22" x14ac:dyDescent="0.2">
      <c r="H220" s="127"/>
      <c r="I220" s="128"/>
    </row>
    <row r="221" spans="2:22" x14ac:dyDescent="0.2">
      <c r="H221" s="127"/>
      <c r="I221" s="128"/>
      <c r="L221" s="129"/>
      <c r="M221" s="129"/>
      <c r="N221" s="129"/>
      <c r="O221" s="129"/>
      <c r="P221" s="129"/>
      <c r="Q221" s="129"/>
      <c r="R221" s="129"/>
      <c r="S221" s="129"/>
      <c r="T221" s="129"/>
      <c r="U221" s="129"/>
      <c r="V221" s="129"/>
    </row>
    <row r="222" spans="2:22" x14ac:dyDescent="0.2">
      <c r="H222" s="127"/>
      <c r="I222" s="128"/>
      <c r="L222" s="129"/>
      <c r="M222" s="129"/>
      <c r="N222" s="129"/>
      <c r="O222" s="129"/>
      <c r="P222" s="129"/>
      <c r="Q222" s="129"/>
      <c r="R222" s="129"/>
      <c r="S222" s="129"/>
      <c r="T222" s="129"/>
      <c r="U222" s="129"/>
      <c r="V222" s="129"/>
    </row>
    <row r="223" spans="2:22" x14ac:dyDescent="0.2">
      <c r="H223" s="127"/>
      <c r="I223" s="128"/>
      <c r="K223" s="528"/>
      <c r="L223" s="528"/>
      <c r="M223" s="528"/>
      <c r="N223" s="528"/>
      <c r="O223" s="528"/>
      <c r="P223" s="528"/>
      <c r="Q223" s="528"/>
      <c r="R223" s="528"/>
      <c r="S223" s="528"/>
      <c r="T223" s="528"/>
      <c r="U223" s="528"/>
      <c r="V223" s="528"/>
    </row>
    <row r="224" spans="2:22" x14ac:dyDescent="0.2">
      <c r="H224" s="127"/>
      <c r="I224" s="128"/>
    </row>
    <row r="225" spans="2:22" x14ac:dyDescent="0.2">
      <c r="H225" s="127"/>
      <c r="I225" s="128"/>
    </row>
    <row r="226" spans="2:22" x14ac:dyDescent="0.2">
      <c r="H226" s="127"/>
      <c r="I226" s="128"/>
    </row>
    <row r="227" spans="2:22" x14ac:dyDescent="0.2">
      <c r="H227" s="127"/>
      <c r="I227" s="128"/>
    </row>
    <row r="228" spans="2:22" x14ac:dyDescent="0.2">
      <c r="H228" s="127"/>
      <c r="I228" s="128"/>
    </row>
    <row r="229" spans="2:22" x14ac:dyDescent="0.2">
      <c r="H229" s="127"/>
      <c r="I229" s="128"/>
    </row>
    <row r="231" spans="2:22" ht="18" x14ac:dyDescent="0.25">
      <c r="B231" s="520"/>
      <c r="C231" s="520"/>
      <c r="E231" s="520"/>
      <c r="F231" s="520"/>
      <c r="G231" s="520"/>
    </row>
    <row r="232" spans="2:22" x14ac:dyDescent="0.2">
      <c r="B232" s="116"/>
      <c r="C232" s="116"/>
      <c r="E232" s="116"/>
      <c r="F232" s="116"/>
      <c r="G232" s="116"/>
    </row>
    <row r="233" spans="2:22" x14ac:dyDescent="0.2">
      <c r="B233" s="130"/>
      <c r="K233" s="528"/>
      <c r="L233" s="528"/>
      <c r="M233" s="528"/>
      <c r="N233" s="528"/>
      <c r="O233" s="528"/>
      <c r="P233" s="528"/>
      <c r="Q233" s="528"/>
      <c r="R233" s="528"/>
      <c r="S233" s="528"/>
      <c r="T233" s="528"/>
      <c r="U233" s="528"/>
      <c r="V233" s="528"/>
    </row>
    <row r="234" spans="2:22" x14ac:dyDescent="0.2">
      <c r="B234" s="130"/>
    </row>
    <row r="235" spans="2:22" x14ac:dyDescent="0.2">
      <c r="B235" s="130"/>
    </row>
    <row r="236" spans="2:22" x14ac:dyDescent="0.2">
      <c r="B236" s="130"/>
    </row>
    <row r="237" spans="2:22" x14ac:dyDescent="0.2">
      <c r="B237" s="130"/>
    </row>
    <row r="241" spans="2:24" ht="18" x14ac:dyDescent="0.25">
      <c r="B241" s="520"/>
      <c r="C241" s="520"/>
      <c r="D241" s="520"/>
      <c r="E241" s="520"/>
      <c r="F241" s="520"/>
      <c r="G241" s="520"/>
      <c r="H241" s="520"/>
      <c r="I241" s="520"/>
    </row>
    <row r="242" spans="2:24" x14ac:dyDescent="0.2">
      <c r="B242" s="116"/>
      <c r="C242" s="116"/>
      <c r="D242" s="116"/>
      <c r="E242" s="116"/>
      <c r="F242" s="116"/>
      <c r="G242" s="116"/>
      <c r="H242" s="116"/>
      <c r="I242" s="116"/>
    </row>
    <row r="254" spans="2:24" ht="18" x14ac:dyDescent="0.25">
      <c r="B254" s="533"/>
      <c r="C254" s="533"/>
      <c r="D254" s="533"/>
      <c r="E254" s="533"/>
      <c r="F254" s="533"/>
      <c r="G254" s="533"/>
      <c r="H254" s="533"/>
      <c r="I254" s="533"/>
      <c r="J254" s="533"/>
      <c r="K254" s="533"/>
      <c r="M254" s="533"/>
      <c r="N254" s="533"/>
      <c r="O254" s="533"/>
      <c r="P254" s="533"/>
      <c r="Q254" s="533"/>
      <c r="R254" s="533"/>
      <c r="S254" s="533"/>
      <c r="T254" s="533"/>
      <c r="U254" s="533"/>
      <c r="V254" s="533"/>
      <c r="X254" s="1"/>
    </row>
    <row r="255" spans="2:24" x14ac:dyDescent="0.2">
      <c r="B255" s="116"/>
      <c r="C255" s="116"/>
      <c r="D255" s="116"/>
      <c r="E255" s="116"/>
      <c r="F255" s="116"/>
      <c r="G255" s="116"/>
      <c r="H255" s="116"/>
      <c r="I255" s="116"/>
      <c r="J255" s="116"/>
      <c r="K255" s="116"/>
      <c r="M255" s="116"/>
      <c r="N255" s="116"/>
      <c r="O255" s="116"/>
      <c r="P255" s="116"/>
      <c r="Q255" s="116"/>
      <c r="R255" s="116"/>
      <c r="S255" s="116"/>
      <c r="T255" s="116"/>
      <c r="U255" s="116"/>
      <c r="V255" s="116"/>
      <c r="X255" s="1"/>
    </row>
    <row r="256" spans="2:24" x14ac:dyDescent="0.2">
      <c r="E256" s="127"/>
      <c r="X256" s="1"/>
    </row>
    <row r="257" spans="2:25" x14ac:dyDescent="0.2">
      <c r="E257" s="127"/>
      <c r="X257" s="1"/>
    </row>
    <row r="258" spans="2:25" x14ac:dyDescent="0.2">
      <c r="D258" s="127"/>
      <c r="E258" s="127"/>
      <c r="G258" s="127"/>
      <c r="H258" s="127"/>
      <c r="I258" s="127"/>
      <c r="J258" s="127"/>
      <c r="K258" s="127"/>
      <c r="X258" s="1"/>
    </row>
    <row r="259" spans="2:25" x14ac:dyDescent="0.2">
      <c r="N259" s="127"/>
      <c r="Q259" s="127"/>
      <c r="S259" s="127"/>
      <c r="T259" s="127"/>
      <c r="U259" s="127"/>
      <c r="V259" s="127"/>
      <c r="X259" s="1"/>
    </row>
    <row r="260" spans="2:25" x14ac:dyDescent="0.2">
      <c r="D260" s="127"/>
      <c r="E260" s="127"/>
      <c r="F260" s="127"/>
      <c r="I260" s="127"/>
      <c r="J260" s="127"/>
      <c r="K260" s="127"/>
      <c r="X260" s="1"/>
    </row>
    <row r="261" spans="2:25" x14ac:dyDescent="0.2">
      <c r="X261" s="1"/>
    </row>
    <row r="262" spans="2:25" x14ac:dyDescent="0.2">
      <c r="C262" s="127"/>
      <c r="D262" s="127"/>
      <c r="E262" s="127"/>
      <c r="F262" s="127"/>
      <c r="G262" s="127"/>
      <c r="H262" s="127"/>
      <c r="I262" s="127"/>
      <c r="J262" s="127"/>
      <c r="K262" s="127"/>
      <c r="S262" s="127"/>
      <c r="T262" s="127"/>
      <c r="U262" s="127"/>
      <c r="V262" s="127"/>
      <c r="X262" s="1"/>
    </row>
    <row r="263" spans="2:25" x14ac:dyDescent="0.2">
      <c r="C263" s="127"/>
      <c r="D263" s="127"/>
      <c r="E263" s="127"/>
      <c r="F263" s="127"/>
      <c r="G263" s="127"/>
      <c r="H263" s="127"/>
      <c r="I263" s="127"/>
      <c r="J263" s="127"/>
      <c r="K263" s="127"/>
      <c r="N263" s="127"/>
      <c r="O263" s="127"/>
      <c r="P263" s="127"/>
      <c r="Q263" s="127"/>
      <c r="R263" s="127"/>
      <c r="S263" s="127"/>
      <c r="T263" s="127"/>
      <c r="U263" s="127"/>
      <c r="V263" s="127"/>
      <c r="X263" s="1"/>
    </row>
    <row r="264" spans="2:25" x14ac:dyDescent="0.2">
      <c r="N264" s="127"/>
      <c r="R264" s="127"/>
      <c r="S264" s="127"/>
      <c r="T264" s="127"/>
      <c r="U264" s="127"/>
      <c r="V264" s="127"/>
      <c r="X264" s="1"/>
    </row>
    <row r="265" spans="2:25" x14ac:dyDescent="0.2">
      <c r="X265" s="1"/>
    </row>
    <row r="266" spans="2:25" x14ac:dyDescent="0.2">
      <c r="C266" s="127"/>
      <c r="D266" s="127"/>
      <c r="E266" s="127"/>
      <c r="F266" s="127"/>
      <c r="G266" s="127"/>
      <c r="I266" s="127"/>
      <c r="J266" s="127"/>
      <c r="K266" s="127"/>
      <c r="X266" s="1"/>
    </row>
    <row r="267" spans="2:25" x14ac:dyDescent="0.2">
      <c r="D267" s="127"/>
      <c r="E267" s="127"/>
      <c r="I267" s="127"/>
      <c r="J267" s="127"/>
      <c r="K267" s="127"/>
      <c r="X267" s="1"/>
    </row>
    <row r="268" spans="2:25" x14ac:dyDescent="0.2">
      <c r="D268" s="127"/>
      <c r="E268" s="127"/>
      <c r="F268" s="127"/>
      <c r="I268" s="127"/>
      <c r="J268" s="127"/>
      <c r="K268" s="127"/>
      <c r="X268" s="1"/>
    </row>
    <row r="269" spans="2:25" x14ac:dyDescent="0.2">
      <c r="N269" s="127"/>
      <c r="O269" s="127"/>
      <c r="P269" s="127"/>
      <c r="Q269" s="127"/>
      <c r="R269" s="127"/>
      <c r="S269" s="127"/>
      <c r="T269" s="127"/>
      <c r="U269" s="127"/>
      <c r="V269" s="127"/>
      <c r="X269" s="1"/>
    </row>
    <row r="270" spans="2:25" x14ac:dyDescent="0.2">
      <c r="K270" s="3"/>
      <c r="L270" s="3"/>
      <c r="M270" s="3"/>
      <c r="N270" s="3"/>
      <c r="O270" s="3"/>
      <c r="P270" s="3"/>
      <c r="Q270" s="3"/>
      <c r="R270" s="3"/>
    </row>
    <row r="271" spans="2:25" ht="18" x14ac:dyDescent="0.25">
      <c r="B271" s="520"/>
      <c r="C271" s="520"/>
      <c r="D271" s="520"/>
      <c r="E271" s="520"/>
      <c r="F271" s="520"/>
      <c r="G271" s="520"/>
      <c r="H271" s="520"/>
      <c r="I271" s="520"/>
      <c r="J271" s="520"/>
      <c r="K271" s="520"/>
      <c r="M271" s="4"/>
      <c r="O271" s="131"/>
      <c r="P271" s="132"/>
      <c r="Q271" s="520"/>
      <c r="R271" s="520"/>
      <c r="X271" s="1"/>
      <c r="Y271" s="1"/>
    </row>
    <row r="272" spans="2:25" x14ac:dyDescent="0.2">
      <c r="B272" s="116"/>
      <c r="C272" s="116"/>
      <c r="D272" s="116"/>
      <c r="E272" s="116"/>
      <c r="F272" s="116"/>
      <c r="G272" s="116"/>
      <c r="H272" s="116"/>
      <c r="I272" s="116"/>
      <c r="J272" s="116"/>
      <c r="K272" s="116"/>
      <c r="O272" s="133"/>
      <c r="P272" s="134"/>
      <c r="X272" s="1"/>
      <c r="Y272" s="1"/>
    </row>
    <row r="273" spans="2:25" x14ac:dyDescent="0.2">
      <c r="O273" s="133"/>
      <c r="P273" s="134"/>
      <c r="X273" s="1"/>
      <c r="Y273" s="1"/>
    </row>
    <row r="274" spans="2:25" x14ac:dyDescent="0.2">
      <c r="O274" s="133"/>
      <c r="P274" s="134"/>
      <c r="X274" s="1"/>
      <c r="Y274" s="1"/>
    </row>
    <row r="275" spans="2:25" x14ac:dyDescent="0.2">
      <c r="X275" s="1"/>
      <c r="Y275" s="1"/>
    </row>
    <row r="276" spans="2:25" x14ac:dyDescent="0.2">
      <c r="X276" s="1"/>
      <c r="Y276" s="1"/>
    </row>
    <row r="277" spans="2:25" x14ac:dyDescent="0.2">
      <c r="X277" s="1"/>
      <c r="Y277" s="1"/>
    </row>
    <row r="278" spans="2:25" x14ac:dyDescent="0.2">
      <c r="X278" s="1"/>
      <c r="Y278" s="1"/>
    </row>
    <row r="279" spans="2:25" x14ac:dyDescent="0.2">
      <c r="X279" s="1"/>
      <c r="Y279" s="1"/>
    </row>
    <row r="280" spans="2:25" x14ac:dyDescent="0.2">
      <c r="X280" s="1"/>
      <c r="Y280" s="1"/>
    </row>
    <row r="281" spans="2:25" x14ac:dyDescent="0.2">
      <c r="X281" s="1"/>
      <c r="Y281" s="1"/>
    </row>
    <row r="282" spans="2:25" ht="18" x14ac:dyDescent="0.25">
      <c r="M282" s="520"/>
      <c r="N282" s="520"/>
      <c r="O282" s="520"/>
      <c r="P282" s="520"/>
      <c r="X282" s="1"/>
      <c r="Y282" s="1"/>
    </row>
    <row r="283" spans="2:25" x14ac:dyDescent="0.2">
      <c r="M283" s="116"/>
      <c r="N283" s="116"/>
      <c r="O283" s="116"/>
      <c r="P283" s="116"/>
      <c r="X283" s="1"/>
      <c r="Y283" s="1"/>
    </row>
    <row r="284" spans="2:25" x14ac:dyDescent="0.2">
      <c r="X284" s="1"/>
      <c r="Y284" s="1"/>
    </row>
    <row r="285" spans="2:25" x14ac:dyDescent="0.2">
      <c r="X285" s="1"/>
      <c r="Y285" s="1"/>
    </row>
    <row r="286" spans="2:25" x14ac:dyDescent="0.2">
      <c r="X286" s="1"/>
      <c r="Y286" s="1"/>
    </row>
    <row r="288" spans="2:25" ht="18" x14ac:dyDescent="0.25">
      <c r="B288" s="4"/>
    </row>
    <row r="293" spans="2:13" ht="18" x14ac:dyDescent="0.25">
      <c r="B293" s="520"/>
      <c r="C293" s="520"/>
      <c r="D293" s="520"/>
      <c r="E293" s="520"/>
      <c r="F293" s="520"/>
      <c r="G293" s="520"/>
      <c r="H293" s="520"/>
      <c r="I293" s="520"/>
      <c r="K293" s="521"/>
      <c r="L293" s="532"/>
      <c r="M293" s="532"/>
    </row>
    <row r="294" spans="2:13" x14ac:dyDescent="0.2">
      <c r="B294" s="116"/>
      <c r="C294" s="116"/>
      <c r="D294" s="116"/>
      <c r="E294" s="116"/>
      <c r="F294" s="116"/>
      <c r="G294" s="116"/>
      <c r="H294" s="116"/>
      <c r="I294" s="116"/>
      <c r="K294" s="521"/>
      <c r="L294" s="132"/>
      <c r="M294" s="132"/>
    </row>
    <row r="295" spans="2:13" x14ac:dyDescent="0.2">
      <c r="H295" s="127"/>
      <c r="I295" s="128"/>
      <c r="K295" s="133"/>
      <c r="L295" s="134"/>
      <c r="M295" s="134"/>
    </row>
    <row r="296" spans="2:13" x14ac:dyDescent="0.2">
      <c r="H296" s="127"/>
      <c r="I296" s="128"/>
      <c r="K296" s="133"/>
      <c r="L296" s="134"/>
      <c r="M296" s="134"/>
    </row>
    <row r="297" spans="2:13" x14ac:dyDescent="0.2">
      <c r="H297" s="127"/>
      <c r="I297" s="128"/>
      <c r="K297" s="133"/>
      <c r="L297" s="134"/>
      <c r="M297" s="134"/>
    </row>
    <row r="298" spans="2:13" x14ac:dyDescent="0.2">
      <c r="H298" s="127"/>
      <c r="I298" s="128"/>
      <c r="K298" s="133"/>
      <c r="L298" s="134"/>
      <c r="M298" s="134"/>
    </row>
    <row r="299" spans="2:13" x14ac:dyDescent="0.2">
      <c r="H299" s="127"/>
      <c r="I299" s="128"/>
      <c r="K299" s="133"/>
      <c r="L299" s="134"/>
      <c r="M299" s="134"/>
    </row>
    <row r="300" spans="2:13" x14ac:dyDescent="0.2">
      <c r="H300" s="127"/>
      <c r="I300" s="128"/>
      <c r="K300" s="133"/>
      <c r="L300" s="134"/>
      <c r="M300" s="134"/>
    </row>
    <row r="301" spans="2:13" x14ac:dyDescent="0.2">
      <c r="H301" s="127"/>
      <c r="I301" s="128"/>
      <c r="K301" s="133"/>
      <c r="L301" s="134"/>
      <c r="M301" s="134"/>
    </row>
    <row r="302" spans="2:13" x14ac:dyDescent="0.2">
      <c r="H302" s="127"/>
      <c r="I302" s="128"/>
    </row>
    <row r="303" spans="2:13" x14ac:dyDescent="0.2">
      <c r="H303" s="127"/>
      <c r="I303" s="128"/>
    </row>
    <row r="304" spans="2:13" x14ac:dyDescent="0.2">
      <c r="H304" s="127"/>
      <c r="I304" s="128"/>
    </row>
  </sheetData>
  <sheetProtection algorithmName="SHA-512" hashValue="H05jB7XMoAkBQRNkOTHJbJ7Nc2iBqrGFkS2jImDuXe0GOhjigNNGEeKtkb0zqHiQLdpSn1u4u5qKQoh2DWrjsQ==" saltValue="x8M0MPo0hBYNhAdN7newig==" spinCount="100000" sheet="1" objects="1" scenarios="1"/>
  <mergeCells count="34">
    <mergeCell ref="P9:Q9"/>
    <mergeCell ref="P10:Q10"/>
    <mergeCell ref="P11:Q11"/>
    <mergeCell ref="D40:D41"/>
    <mergeCell ref="E40:E41"/>
    <mergeCell ref="F20:G20"/>
    <mergeCell ref="D18:G18"/>
    <mergeCell ref="D38:D39"/>
    <mergeCell ref="E38:E39"/>
    <mergeCell ref="D35:G35"/>
    <mergeCell ref="D36:G36"/>
    <mergeCell ref="D19:G19"/>
    <mergeCell ref="D20:E20"/>
    <mergeCell ref="M254:V254"/>
    <mergeCell ref="B271:K271"/>
    <mergeCell ref="M282:P282"/>
    <mergeCell ref="Q271:R271"/>
    <mergeCell ref="B241:I241"/>
    <mergeCell ref="B231:C231"/>
    <mergeCell ref="B218:I218"/>
    <mergeCell ref="B293:I293"/>
    <mergeCell ref="K293:K294"/>
    <mergeCell ref="D42:D43"/>
    <mergeCell ref="E231:G231"/>
    <mergeCell ref="E49:E50"/>
    <mergeCell ref="E42:E43"/>
    <mergeCell ref="E44:E45"/>
    <mergeCell ref="D44:D45"/>
    <mergeCell ref="K218:V218"/>
    <mergeCell ref="K223:V223"/>
    <mergeCell ref="D58:G58"/>
    <mergeCell ref="L293:M293"/>
    <mergeCell ref="K233:V233"/>
    <mergeCell ref="B254:K254"/>
  </mergeCells>
  <dataValidations disablePrompts="1" count="1">
    <dataValidation type="list" allowBlank="1" showInputMessage="1" showErrorMessage="1" sqref="J8" xr:uid="{A184469D-ACBE-4494-AD4D-3CDEF31FDADD}">
      <formula1>"Direct Discount, Downstream, PY16 LCI Bonus, PY16 SCI Bonus"</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0" tint="-0.14999847407452621"/>
  </sheetPr>
  <dimension ref="B2:J105"/>
  <sheetViews>
    <sheetView zoomScale="90" zoomScaleNormal="90" workbookViewId="0">
      <selection activeCell="Q30" sqref="Q30"/>
    </sheetView>
  </sheetViews>
  <sheetFormatPr defaultColWidth="8.625" defaultRowHeight="14.25" x14ac:dyDescent="0.2"/>
  <cols>
    <col min="1" max="1" width="3.125" style="1" customWidth="1"/>
    <col min="2" max="2" width="24" style="1" customWidth="1"/>
    <col min="3" max="3" width="55.625" style="1" customWidth="1"/>
    <col min="4" max="16384" width="8.625" style="1"/>
  </cols>
  <sheetData>
    <row r="2" spans="2:4" ht="34.5" x14ac:dyDescent="0.5">
      <c r="B2" s="5" t="s">
        <v>275</v>
      </c>
      <c r="C2" s="5"/>
      <c r="D2" s="5"/>
    </row>
    <row r="4" spans="2:4" x14ac:dyDescent="0.2">
      <c r="B4" s="112"/>
    </row>
    <row r="5" spans="2:4" ht="15" x14ac:dyDescent="0.2">
      <c r="B5" s="113" t="s">
        <v>276</v>
      </c>
    </row>
    <row r="6" spans="2:4" x14ac:dyDescent="0.2">
      <c r="B6" s="114"/>
      <c r="C6" s="114"/>
    </row>
    <row r="7" spans="2:4" x14ac:dyDescent="0.2">
      <c r="B7" s="114"/>
      <c r="C7" s="114"/>
    </row>
    <row r="8" spans="2:4" x14ac:dyDescent="0.2">
      <c r="B8" s="115"/>
      <c r="C8" s="114"/>
    </row>
    <row r="9" spans="2:4" x14ac:dyDescent="0.2">
      <c r="B9" s="114"/>
      <c r="C9" s="114"/>
    </row>
    <row r="13" spans="2:4" ht="33" customHeight="1" thickBot="1" x14ac:dyDescent="0.25">
      <c r="B13" s="99" t="s">
        <v>277</v>
      </c>
      <c r="C13"/>
    </row>
    <row r="14" spans="2:4" ht="24.75" customHeight="1" thickBot="1" x14ac:dyDescent="0.25">
      <c r="B14" s="100" t="s">
        <v>278</v>
      </c>
      <c r="C14" s="101" t="s">
        <v>279</v>
      </c>
    </row>
    <row r="15" spans="2:4" ht="24.75" customHeight="1" thickBot="1" x14ac:dyDescent="0.25">
      <c r="B15" s="102" t="s">
        <v>280</v>
      </c>
      <c r="C15" s="55" t="s">
        <v>281</v>
      </c>
    </row>
    <row r="16" spans="2:4" ht="24.75" customHeight="1" thickBot="1" x14ac:dyDescent="0.25">
      <c r="B16" s="102" t="s">
        <v>282</v>
      </c>
      <c r="C16" s="55" t="s">
        <v>283</v>
      </c>
    </row>
    <row r="17" spans="2:10" ht="24.75" customHeight="1" thickBot="1" x14ac:dyDescent="0.25">
      <c r="B17" s="102" t="s">
        <v>284</v>
      </c>
      <c r="C17" s="55" t="s">
        <v>285</v>
      </c>
    </row>
    <row r="18" spans="2:10" ht="15" thickBot="1" x14ac:dyDescent="0.25"/>
    <row r="19" spans="2:10" ht="15" thickBot="1" x14ac:dyDescent="0.25">
      <c r="B19" s="103" t="s">
        <v>235</v>
      </c>
      <c r="C19" s="98" t="s">
        <v>236</v>
      </c>
      <c r="D19" s="98" t="s">
        <v>237</v>
      </c>
      <c r="E19" s="98" t="s">
        <v>238</v>
      </c>
      <c r="G19" s="543" t="s">
        <v>180</v>
      </c>
      <c r="H19" s="544"/>
      <c r="I19" s="537" t="s">
        <v>184</v>
      </c>
      <c r="J19" s="538"/>
    </row>
    <row r="20" spans="2:10" ht="48.75" customHeight="1" thickBot="1" x14ac:dyDescent="0.25">
      <c r="B20" s="104" t="s">
        <v>286</v>
      </c>
      <c r="C20" s="105" t="s">
        <v>48</v>
      </c>
      <c r="D20" s="55" t="s">
        <v>240</v>
      </c>
      <c r="E20" s="55" t="s">
        <v>240</v>
      </c>
      <c r="G20" s="109" t="s">
        <v>48</v>
      </c>
      <c r="H20" s="110" t="s">
        <v>227</v>
      </c>
      <c r="I20" s="60" t="s">
        <v>48</v>
      </c>
      <c r="J20" s="110" t="s">
        <v>227</v>
      </c>
    </row>
    <row r="21" spans="2:10" ht="108.75" customHeight="1" thickBot="1" x14ac:dyDescent="0.25">
      <c r="B21" s="104" t="s">
        <v>287</v>
      </c>
      <c r="C21" s="105" t="s">
        <v>288</v>
      </c>
      <c r="D21" s="55" t="s">
        <v>289</v>
      </c>
      <c r="E21" s="55">
        <v>2</v>
      </c>
      <c r="G21" s="111">
        <v>15</v>
      </c>
      <c r="H21" s="55">
        <v>97.7</v>
      </c>
      <c r="I21" s="55">
        <v>15</v>
      </c>
      <c r="J21" s="55">
        <v>97.89</v>
      </c>
    </row>
    <row r="22" spans="2:10" ht="45" customHeight="1" thickBot="1" x14ac:dyDescent="0.25">
      <c r="B22" s="545" t="s">
        <v>290</v>
      </c>
      <c r="C22" s="547" t="s">
        <v>288</v>
      </c>
      <c r="D22" s="526" t="s">
        <v>240</v>
      </c>
      <c r="E22" s="106" t="s">
        <v>240</v>
      </c>
      <c r="G22" s="111">
        <v>25</v>
      </c>
      <c r="H22" s="55">
        <v>98</v>
      </c>
      <c r="I22" s="55">
        <v>30</v>
      </c>
      <c r="J22" s="55">
        <v>98.23</v>
      </c>
    </row>
    <row r="23" spans="2:10" ht="15" thickBot="1" x14ac:dyDescent="0.25">
      <c r="B23" s="546"/>
      <c r="C23" s="548"/>
      <c r="D23" s="527"/>
      <c r="E23" s="55">
        <v>3</v>
      </c>
      <c r="G23" s="111">
        <v>37.5</v>
      </c>
      <c r="H23" s="55">
        <v>98.2</v>
      </c>
      <c r="I23" s="55">
        <v>45</v>
      </c>
      <c r="J23" s="55">
        <v>98.4</v>
      </c>
    </row>
    <row r="24" spans="2:10" ht="24.75" thickBot="1" x14ac:dyDescent="0.25">
      <c r="B24" s="545" t="s">
        <v>291</v>
      </c>
      <c r="C24" s="547" t="s">
        <v>288</v>
      </c>
      <c r="D24" s="106" t="s">
        <v>240</v>
      </c>
      <c r="E24" s="106" t="s">
        <v>240</v>
      </c>
      <c r="G24" s="111">
        <v>50</v>
      </c>
      <c r="H24" s="55">
        <v>98.3</v>
      </c>
      <c r="I24" s="55">
        <v>75</v>
      </c>
      <c r="J24" s="55">
        <v>98.6</v>
      </c>
    </row>
    <row r="25" spans="2:10" ht="24.75" thickBot="1" x14ac:dyDescent="0.25">
      <c r="B25" s="546"/>
      <c r="C25" s="548"/>
      <c r="D25" s="55" t="s">
        <v>292</v>
      </c>
      <c r="E25" s="55">
        <v>3</v>
      </c>
      <c r="G25" s="111">
        <v>75</v>
      </c>
      <c r="H25" s="55">
        <v>98.5</v>
      </c>
      <c r="I25" s="55">
        <v>112.5</v>
      </c>
      <c r="J25" s="55">
        <v>98.74</v>
      </c>
    </row>
    <row r="26" spans="2:10" ht="57.75" thickBot="1" x14ac:dyDescent="0.25">
      <c r="B26" s="545" t="s">
        <v>293</v>
      </c>
      <c r="C26" s="547" t="s">
        <v>294</v>
      </c>
      <c r="D26" s="107" t="s">
        <v>295</v>
      </c>
      <c r="E26" s="55" t="s">
        <v>240</v>
      </c>
      <c r="G26" s="111">
        <v>100</v>
      </c>
      <c r="H26" s="55">
        <v>98.6</v>
      </c>
      <c r="I26" s="55">
        <v>150</v>
      </c>
      <c r="J26" s="55">
        <v>98.83</v>
      </c>
    </row>
    <row r="27" spans="2:10" ht="15" thickBot="1" x14ac:dyDescent="0.25">
      <c r="B27" s="546"/>
      <c r="C27" s="548"/>
      <c r="D27" s="55" t="s">
        <v>296</v>
      </c>
      <c r="E27" s="55">
        <v>4</v>
      </c>
      <c r="G27" s="111">
        <v>167</v>
      </c>
      <c r="H27" s="55">
        <v>98.7</v>
      </c>
      <c r="I27" s="55">
        <v>225</v>
      </c>
      <c r="J27" s="55">
        <v>98.94</v>
      </c>
    </row>
    <row r="28" spans="2:10" ht="15" thickBot="1" x14ac:dyDescent="0.25">
      <c r="B28"/>
      <c r="C28"/>
      <c r="D28"/>
      <c r="E28"/>
      <c r="G28" s="111">
        <v>250</v>
      </c>
      <c r="H28" s="55">
        <v>98.8</v>
      </c>
      <c r="I28" s="55">
        <v>300</v>
      </c>
      <c r="J28" s="55">
        <v>99.02</v>
      </c>
    </row>
    <row r="29" spans="2:10" ht="15" thickBot="1" x14ac:dyDescent="0.25">
      <c r="B29"/>
      <c r="C29"/>
      <c r="D29"/>
      <c r="E29"/>
      <c r="G29" s="111">
        <v>333</v>
      </c>
      <c r="H29" s="55">
        <v>98.9</v>
      </c>
      <c r="I29" s="55">
        <v>500</v>
      </c>
      <c r="J29" s="55">
        <v>99.14</v>
      </c>
    </row>
    <row r="30" spans="2:10" ht="34.5" customHeight="1" thickBot="1" x14ac:dyDescent="0.25">
      <c r="B30" s="108" t="s">
        <v>297</v>
      </c>
      <c r="C30"/>
      <c r="D30"/>
      <c r="E30"/>
      <c r="G30" s="111" t="s">
        <v>232</v>
      </c>
      <c r="H30" s="55" t="s">
        <v>232</v>
      </c>
      <c r="I30" s="55">
        <v>750</v>
      </c>
      <c r="J30" s="55">
        <v>99.23</v>
      </c>
    </row>
    <row r="31" spans="2:10" ht="15" thickBot="1" x14ac:dyDescent="0.25">
      <c r="G31" s="111" t="s">
        <v>232</v>
      </c>
      <c r="H31" s="55" t="s">
        <v>232</v>
      </c>
      <c r="I31" s="56">
        <v>1000</v>
      </c>
      <c r="J31" s="55">
        <v>99.28</v>
      </c>
    </row>
    <row r="47" spans="2:3" ht="18" x14ac:dyDescent="0.25">
      <c r="B47" s="549"/>
      <c r="C47" s="549"/>
    </row>
    <row r="48" spans="2:3" x14ac:dyDescent="0.2">
      <c r="B48" s="49"/>
    </row>
    <row r="76" spans="2:3" ht="18" x14ac:dyDescent="0.25">
      <c r="B76" s="549"/>
      <c r="C76" s="549"/>
    </row>
    <row r="77" spans="2:3" ht="18" x14ac:dyDescent="0.25">
      <c r="B77" s="49"/>
      <c r="C77" s="97"/>
    </row>
    <row r="104" spans="2:2" ht="18" x14ac:dyDescent="0.25">
      <c r="B104" s="50"/>
    </row>
    <row r="105" spans="2:2" x14ac:dyDescent="0.2">
      <c r="B105" s="49"/>
    </row>
  </sheetData>
  <sheetProtection algorithmName="SHA-512" hashValue="R09uO+pkLmJbqAOpEJVc8EIJBdt3zCGhj7xzIrvo1jdVfpPZlsEVNt2MIH+yqYyP60myOoKiF89kakrg4NQGxQ==" saltValue="dTbkfwi3cU9gvwQ+q+K/Gw==" spinCount="100000" sheet="1" objects="1" scenarios="1"/>
  <mergeCells count="11">
    <mergeCell ref="B26:B27"/>
    <mergeCell ref="C26:C27"/>
    <mergeCell ref="B47:C47"/>
    <mergeCell ref="B76:C76"/>
    <mergeCell ref="B22:B23"/>
    <mergeCell ref="C22:C23"/>
    <mergeCell ref="G19:H19"/>
    <mergeCell ref="I19:J19"/>
    <mergeCell ref="D22:D23"/>
    <mergeCell ref="B24:B25"/>
    <mergeCell ref="C24:C25"/>
  </mergeCells>
  <hyperlinks>
    <hyperlink ref="D26" location="_ftn1" display="_ftn1" xr:uid="{89D1DD80-6F75-464B-B462-6920EEB717AB}"/>
    <hyperlink ref="B30" location="_ftnref1" display="_ftnref1" xr:uid="{9F9C6F0F-8F02-4FFA-947E-99D5D1A12AE2}"/>
  </hyperlink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0" tint="-0.14999847407452621"/>
  </sheetPr>
  <dimension ref="A2:I25"/>
  <sheetViews>
    <sheetView topLeftCell="A3" workbookViewId="0">
      <selection activeCell="E15" sqref="E15"/>
    </sheetView>
  </sheetViews>
  <sheetFormatPr defaultColWidth="8.625" defaultRowHeight="14.25" x14ac:dyDescent="0.2"/>
  <cols>
    <col min="1" max="1" width="3.625" style="7" customWidth="1"/>
    <col min="2" max="2" width="8.625" style="7" customWidth="1"/>
    <col min="3" max="3" width="12.375" style="7" bestFit="1" customWidth="1"/>
    <col min="4" max="4" width="19.125" style="7" customWidth="1"/>
    <col min="5" max="5" width="52.625" style="10" customWidth="1"/>
    <col min="6" max="6" width="26.625" style="7" customWidth="1"/>
    <col min="7" max="16384" width="8.625" style="1"/>
  </cols>
  <sheetData>
    <row r="2" spans="1:9" ht="20.25" x14ac:dyDescent="0.2">
      <c r="B2" s="550" t="s">
        <v>14</v>
      </c>
      <c r="C2" s="550"/>
      <c r="D2" s="550"/>
      <c r="E2" s="550"/>
      <c r="F2" s="550"/>
    </row>
    <row r="4" spans="1:9" ht="15" x14ac:dyDescent="0.2">
      <c r="B4" s="26" t="s">
        <v>298</v>
      </c>
      <c r="D4" s="27" t="s">
        <v>299</v>
      </c>
      <c r="E4" s="28" t="s">
        <v>300</v>
      </c>
      <c r="F4" s="27"/>
    </row>
    <row r="5" spans="1:9" ht="15" x14ac:dyDescent="0.2">
      <c r="B5" s="26" t="s">
        <v>301</v>
      </c>
      <c r="D5" s="29" t="s">
        <v>299</v>
      </c>
      <c r="E5" s="30" t="s">
        <v>302</v>
      </c>
      <c r="F5" s="29"/>
    </row>
    <row r="6" spans="1:9" ht="25.5" customHeight="1" x14ac:dyDescent="0.2">
      <c r="H6" s="1" t="s">
        <v>303</v>
      </c>
      <c r="I6" s="1" cm="1">
        <f t="array" ref="I6">LOOKUP(2,1/(B:B&lt;&gt;""),B:B)</f>
        <v>5</v>
      </c>
    </row>
    <row r="7" spans="1:9" s="12" customFormat="1" ht="15" x14ac:dyDescent="0.25">
      <c r="A7" s="11"/>
      <c r="B7" s="14" t="s">
        <v>77</v>
      </c>
      <c r="C7" s="15" t="s">
        <v>17</v>
      </c>
      <c r="D7" s="15" t="s">
        <v>304</v>
      </c>
      <c r="E7" s="16" t="s">
        <v>305</v>
      </c>
      <c r="F7" s="17" t="s">
        <v>306</v>
      </c>
      <c r="H7" s="1" t="s">
        <v>307</v>
      </c>
      <c r="I7" s="169" cm="1">
        <f t="array" ref="I7">LOOKUP(2,1/(C:C&lt;&gt;""),C:C)</f>
        <v>46174</v>
      </c>
    </row>
    <row r="8" spans="1:9" ht="28.5" customHeight="1" x14ac:dyDescent="0.2">
      <c r="B8" s="165">
        <v>4</v>
      </c>
      <c r="C8" s="19">
        <v>44389</v>
      </c>
      <c r="D8" s="19" t="s">
        <v>308</v>
      </c>
      <c r="E8" s="20" t="s">
        <v>309</v>
      </c>
      <c r="F8" s="21" t="s">
        <v>310</v>
      </c>
    </row>
    <row r="9" spans="1:9" ht="36" customHeight="1" x14ac:dyDescent="0.2">
      <c r="B9" s="165">
        <v>4.01</v>
      </c>
      <c r="C9" s="19" t="s">
        <v>311</v>
      </c>
      <c r="D9" s="22" t="s">
        <v>311</v>
      </c>
      <c r="E9" s="20" t="s">
        <v>311</v>
      </c>
      <c r="F9" s="21" t="s">
        <v>311</v>
      </c>
    </row>
    <row r="10" spans="1:9" ht="28.5" customHeight="1" x14ac:dyDescent="0.2">
      <c r="B10" s="165">
        <v>4.0199999999999996</v>
      </c>
      <c r="C10" s="19">
        <v>44487</v>
      </c>
      <c r="D10" s="22" t="s">
        <v>312</v>
      </c>
      <c r="E10" s="20" t="s">
        <v>313</v>
      </c>
      <c r="F10" s="21" t="s">
        <v>314</v>
      </c>
    </row>
    <row r="11" spans="1:9" ht="28.5" customHeight="1" x14ac:dyDescent="0.2">
      <c r="B11" s="165">
        <v>4.03</v>
      </c>
      <c r="C11" s="19">
        <v>44547</v>
      </c>
      <c r="D11" s="20" t="s">
        <v>315</v>
      </c>
      <c r="E11" s="20" t="s">
        <v>316</v>
      </c>
      <c r="F11" s="21" t="s">
        <v>314</v>
      </c>
    </row>
    <row r="12" spans="1:9" ht="28.5" customHeight="1" x14ac:dyDescent="0.2">
      <c r="B12" s="165">
        <v>4.0999999999999996</v>
      </c>
      <c r="C12" s="19">
        <v>45065</v>
      </c>
      <c r="D12" s="22" t="s">
        <v>317</v>
      </c>
      <c r="E12" s="20" t="s">
        <v>318</v>
      </c>
      <c r="F12" s="21" t="s">
        <v>319</v>
      </c>
    </row>
    <row r="13" spans="1:9" ht="28.5" customHeight="1" x14ac:dyDescent="0.2">
      <c r="B13" s="165">
        <v>4.2</v>
      </c>
      <c r="C13" s="19">
        <v>45324</v>
      </c>
      <c r="D13" s="22" t="s">
        <v>320</v>
      </c>
      <c r="E13" s="20" t="s">
        <v>321</v>
      </c>
      <c r="F13" s="21" t="s">
        <v>314</v>
      </c>
    </row>
    <row r="14" spans="1:9" ht="28.5" customHeight="1" x14ac:dyDescent="0.2">
      <c r="B14" s="165">
        <v>4.3</v>
      </c>
      <c r="C14" s="19">
        <v>45717</v>
      </c>
      <c r="D14" s="191" t="s">
        <v>322</v>
      </c>
      <c r="E14" s="192" t="s">
        <v>323</v>
      </c>
      <c r="F14" s="21" t="s">
        <v>324</v>
      </c>
    </row>
    <row r="15" spans="1:9" ht="28.5" customHeight="1" x14ac:dyDescent="0.2">
      <c r="B15" s="165">
        <v>4.4000000000000004</v>
      </c>
      <c r="C15" s="19">
        <v>45883</v>
      </c>
      <c r="D15" s="22" t="s">
        <v>325</v>
      </c>
      <c r="E15" s="20" t="s">
        <v>326</v>
      </c>
      <c r="F15" s="21" t="s">
        <v>327</v>
      </c>
    </row>
    <row r="16" spans="1:9" ht="28.5" customHeight="1" x14ac:dyDescent="0.2">
      <c r="B16" s="165">
        <v>5</v>
      </c>
      <c r="C16" s="19">
        <v>46174</v>
      </c>
      <c r="D16" s="22" t="s">
        <v>328</v>
      </c>
      <c r="E16" s="20"/>
      <c r="F16" s="21" t="s">
        <v>324</v>
      </c>
    </row>
    <row r="17" spans="2:6" ht="28.5" customHeight="1" x14ac:dyDescent="0.2">
      <c r="B17" s="18"/>
      <c r="C17" s="22"/>
      <c r="D17" s="22"/>
      <c r="E17" s="20"/>
      <c r="F17" s="21"/>
    </row>
    <row r="18" spans="2:6" ht="28.5" customHeight="1" x14ac:dyDescent="0.2">
      <c r="B18" s="18"/>
      <c r="C18" s="22"/>
      <c r="D18" s="22"/>
      <c r="E18" s="20"/>
      <c r="F18" s="21"/>
    </row>
    <row r="19" spans="2:6" ht="28.5" customHeight="1" x14ac:dyDescent="0.2">
      <c r="B19" s="18"/>
      <c r="C19" s="22"/>
      <c r="D19" s="22"/>
      <c r="E19" s="20"/>
      <c r="F19" s="21"/>
    </row>
    <row r="20" spans="2:6" ht="28.5" customHeight="1" x14ac:dyDescent="0.2">
      <c r="B20" s="18"/>
      <c r="C20" s="22"/>
      <c r="D20" s="22"/>
      <c r="E20" s="20"/>
      <c r="F20" s="21"/>
    </row>
    <row r="21" spans="2:6" ht="28.5" customHeight="1" x14ac:dyDescent="0.2">
      <c r="B21" s="18"/>
      <c r="C21" s="22"/>
      <c r="D21" s="22"/>
      <c r="E21" s="20"/>
      <c r="F21" s="21"/>
    </row>
    <row r="22" spans="2:6" ht="28.5" customHeight="1" x14ac:dyDescent="0.2">
      <c r="B22" s="18"/>
      <c r="C22" s="22"/>
      <c r="D22" s="22"/>
      <c r="E22" s="20"/>
      <c r="F22" s="21"/>
    </row>
    <row r="23" spans="2:6" ht="28.5" customHeight="1" x14ac:dyDescent="0.2">
      <c r="B23" s="18"/>
      <c r="C23" s="22"/>
      <c r="D23" s="22"/>
      <c r="E23" s="20"/>
      <c r="F23" s="21"/>
    </row>
    <row r="24" spans="2:6" ht="28.5" customHeight="1" x14ac:dyDescent="0.2">
      <c r="B24" s="13"/>
      <c r="C24" s="23"/>
      <c r="D24" s="23"/>
      <c r="E24" s="24"/>
      <c r="F24" s="25"/>
    </row>
    <row r="25" spans="2:6" x14ac:dyDescent="0.2">
      <c r="B25" s="8"/>
      <c r="C25" s="8"/>
      <c r="D25" s="8"/>
      <c r="E25" s="9"/>
      <c r="F25" s="8"/>
    </row>
  </sheetData>
  <sheetProtection algorithmName="SHA-512" hashValue="n+4lvcsaWPAY8Kcx7Z5aC5q25rvO/KQJVe1lO0UEkT6B0iy1zBUvdL+Lyvth5//QaMQcTMkdY0Xh3gj8YpxWGQ==" saltValue="HGXTO2Oi81QN2KZLB5ifWw==" spinCount="100000" sheet="1" objects="1" scenarios="1"/>
  <mergeCells count="1">
    <mergeCell ref="B2:F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1489"/>
  </sheetPr>
  <dimension ref="A1:K47"/>
  <sheetViews>
    <sheetView zoomScaleNormal="100" workbookViewId="0">
      <selection activeCell="D11" sqref="D11"/>
    </sheetView>
  </sheetViews>
  <sheetFormatPr defaultColWidth="8.625" defaultRowHeight="14.25" x14ac:dyDescent="0.2"/>
  <cols>
    <col min="1" max="1" width="3.125" style="66" customWidth="1"/>
    <col min="2" max="2" width="35.125" style="66" customWidth="1"/>
    <col min="3" max="3" width="35.625" style="66" customWidth="1"/>
    <col min="4" max="4" width="47.625" style="66" customWidth="1"/>
    <col min="5" max="5" width="8.625" style="66"/>
    <col min="6" max="6" width="8.625" style="66" customWidth="1"/>
    <col min="7" max="10" width="8.625" style="66"/>
    <col min="11" max="11" width="17.125" style="66" customWidth="1"/>
    <col min="12" max="16384" width="8.625" style="66"/>
  </cols>
  <sheetData>
    <row r="1" spans="1:4" ht="64.5" customHeight="1" x14ac:dyDescent="0.2">
      <c r="A1" s="84"/>
      <c r="B1" s="84"/>
      <c r="C1" s="84"/>
      <c r="D1" s="84"/>
    </row>
    <row r="2" spans="1:4" ht="34.5" x14ac:dyDescent="0.5">
      <c r="B2" s="429" t="str">
        <f>CR_Utility_Alt&amp;" Misc / Other Estimator"</f>
        <v>PPL Electric Misc / Other Estimator</v>
      </c>
      <c r="C2" s="85"/>
      <c r="D2" s="86"/>
    </row>
    <row r="3" spans="1:4" ht="6" customHeight="1" x14ac:dyDescent="0.2"/>
    <row r="4" spans="1:4" ht="113.25" customHeight="1" x14ac:dyDescent="0.2">
      <c r="B4" s="464" t="s">
        <v>345</v>
      </c>
      <c r="C4" s="464"/>
      <c r="D4" s="464"/>
    </row>
    <row r="5" spans="1:4" x14ac:dyDescent="0.2">
      <c r="B5" s="94"/>
      <c r="C5" s="94"/>
      <c r="D5" s="94"/>
    </row>
    <row r="6" spans="1:4" ht="24.75" customHeight="1" x14ac:dyDescent="0.2">
      <c r="B6" s="466" t="s">
        <v>0</v>
      </c>
      <c r="C6" s="466"/>
      <c r="D6" s="87"/>
    </row>
    <row r="7" spans="1:4" ht="22.35" customHeight="1" x14ac:dyDescent="0.2">
      <c r="B7" s="467" t="s">
        <v>1</v>
      </c>
      <c r="C7" s="467"/>
      <c r="D7" s="88"/>
    </row>
    <row r="8" spans="1:4" ht="22.35" customHeight="1" x14ac:dyDescent="0.2">
      <c r="B8" s="468" t="s">
        <v>2</v>
      </c>
      <c r="C8" s="468"/>
      <c r="D8" s="88"/>
    </row>
    <row r="9" spans="1:4" ht="15" x14ac:dyDescent="0.25">
      <c r="B9" s="89"/>
      <c r="C9" s="89"/>
      <c r="D9" s="89"/>
    </row>
    <row r="10" spans="1:4" ht="26.85" customHeight="1" x14ac:dyDescent="0.25">
      <c r="B10" s="469" t="s">
        <v>3</v>
      </c>
      <c r="C10" s="469"/>
      <c r="D10" s="89"/>
    </row>
    <row r="11" spans="1:4" ht="22.35" customHeight="1" x14ac:dyDescent="0.2">
      <c r="B11" s="46" t="s">
        <v>4</v>
      </c>
      <c r="C11" s="47"/>
      <c r="D11" s="95"/>
    </row>
    <row r="12" spans="1:4" ht="22.35" customHeight="1" x14ac:dyDescent="0.2">
      <c r="B12" s="465" t="s">
        <v>5</v>
      </c>
      <c r="C12" s="465"/>
      <c r="D12" s="465"/>
    </row>
    <row r="13" spans="1:4" ht="11.1" customHeight="1" x14ac:dyDescent="0.2"/>
    <row r="14" spans="1:4" ht="22.35" customHeight="1" x14ac:dyDescent="0.2">
      <c r="B14" s="46" t="s">
        <v>6</v>
      </c>
      <c r="C14" s="47"/>
      <c r="D14" s="95"/>
    </row>
    <row r="15" spans="1:4" ht="22.35" customHeight="1" x14ac:dyDescent="0.2">
      <c r="B15" s="465" t="s">
        <v>7</v>
      </c>
      <c r="C15" s="465"/>
      <c r="D15" s="465"/>
    </row>
    <row r="16" spans="1:4" ht="11.1" customHeight="1" x14ac:dyDescent="0.2">
      <c r="B16" s="95"/>
      <c r="C16" s="95"/>
      <c r="D16" s="95"/>
    </row>
    <row r="17" spans="2:4" ht="22.35" customHeight="1" x14ac:dyDescent="0.2">
      <c r="B17" s="46" t="s">
        <v>8</v>
      </c>
      <c r="C17" s="47"/>
      <c r="D17" s="95"/>
    </row>
    <row r="18" spans="2:4" ht="45" customHeight="1" x14ac:dyDescent="0.2">
      <c r="B18" s="465" t="s">
        <v>9</v>
      </c>
      <c r="C18" s="465"/>
      <c r="D18" s="465"/>
    </row>
    <row r="19" spans="2:4" ht="11.1" customHeight="1" x14ac:dyDescent="0.2">
      <c r="B19" s="95"/>
      <c r="C19" s="95"/>
      <c r="D19" s="95"/>
    </row>
    <row r="20" spans="2:4" ht="21.75" customHeight="1" x14ac:dyDescent="0.2">
      <c r="B20" s="48" t="s">
        <v>10</v>
      </c>
      <c r="C20" s="95"/>
      <c r="D20" s="95"/>
    </row>
    <row r="21" spans="2:4" ht="29.25" customHeight="1" x14ac:dyDescent="0.2">
      <c r="B21" s="465" t="s">
        <v>11</v>
      </c>
      <c r="C21" s="465"/>
      <c r="D21" s="465"/>
    </row>
    <row r="22" spans="2:4" ht="11.1" customHeight="1" x14ac:dyDescent="0.2">
      <c r="B22" s="95"/>
      <c r="C22" s="95"/>
      <c r="D22" s="95"/>
    </row>
    <row r="23" spans="2:4" ht="21.75" customHeight="1" x14ac:dyDescent="0.2">
      <c r="B23" s="48" t="s">
        <v>12</v>
      </c>
      <c r="C23" s="95"/>
      <c r="D23" s="95"/>
    </row>
    <row r="24" spans="2:4" ht="45.75" customHeight="1" x14ac:dyDescent="0.2">
      <c r="B24" s="464" t="s">
        <v>13</v>
      </c>
      <c r="C24" s="464"/>
      <c r="D24" s="464"/>
    </row>
    <row r="25" spans="2:4" ht="11.1" customHeight="1" x14ac:dyDescent="0.2">
      <c r="B25" s="95"/>
      <c r="C25" s="95"/>
      <c r="D25" s="95"/>
    </row>
    <row r="26" spans="2:4" ht="11.1" customHeight="1" x14ac:dyDescent="0.2">
      <c r="B26" s="95"/>
      <c r="C26" s="95"/>
      <c r="D26" s="95"/>
    </row>
    <row r="27" spans="2:4" ht="22.35" customHeight="1" x14ac:dyDescent="0.2">
      <c r="B27" s="46" t="s">
        <v>14</v>
      </c>
      <c r="C27" s="47"/>
      <c r="D27" s="95"/>
    </row>
    <row r="28" spans="2:4" ht="22.35" customHeight="1" x14ac:dyDescent="0.2">
      <c r="B28" s="465" t="s">
        <v>15</v>
      </c>
      <c r="C28" s="465"/>
      <c r="D28" s="465"/>
    </row>
    <row r="29" spans="2:4" ht="15" x14ac:dyDescent="0.25">
      <c r="B29" s="89"/>
      <c r="C29" s="89"/>
      <c r="D29" s="89"/>
    </row>
    <row r="30" spans="2:4" ht="27.6" customHeight="1" x14ac:dyDescent="0.25">
      <c r="B30" s="469" t="s">
        <v>16</v>
      </c>
      <c r="C30" s="469"/>
      <c r="D30" s="89"/>
    </row>
    <row r="31" spans="2:4" ht="22.35" customHeight="1" x14ac:dyDescent="0.2">
      <c r="B31" s="96" t="s">
        <v>17</v>
      </c>
      <c r="C31" s="470" t="s">
        <v>18</v>
      </c>
      <c r="D31" s="470"/>
    </row>
    <row r="32" spans="2:4" ht="22.35" customHeight="1" x14ac:dyDescent="0.2">
      <c r="B32" s="96" t="s">
        <v>19</v>
      </c>
      <c r="C32" s="462" t="s">
        <v>20</v>
      </c>
      <c r="D32" s="463"/>
    </row>
    <row r="33" spans="2:11" ht="22.35" customHeight="1" x14ac:dyDescent="0.2">
      <c r="B33" s="96" t="s">
        <v>21</v>
      </c>
      <c r="C33" s="462" t="s">
        <v>22</v>
      </c>
      <c r="D33" s="463"/>
      <c r="I33" s="90"/>
    </row>
    <row r="34" spans="2:11" ht="22.35" customHeight="1" x14ac:dyDescent="0.2">
      <c r="B34" s="96" t="s">
        <v>23</v>
      </c>
      <c r="C34" s="462" t="s">
        <v>24</v>
      </c>
      <c r="D34" s="463"/>
      <c r="I34" s="90"/>
      <c r="K34" s="90"/>
    </row>
    <row r="35" spans="2:11" ht="22.35" customHeight="1" x14ac:dyDescent="0.2">
      <c r="B35" s="96" t="s">
        <v>25</v>
      </c>
      <c r="C35" s="462" t="s">
        <v>26</v>
      </c>
      <c r="D35" s="463"/>
      <c r="I35" s="90"/>
      <c r="J35" s="90"/>
      <c r="K35" s="90"/>
    </row>
    <row r="36" spans="2:11" ht="22.35" customHeight="1" x14ac:dyDescent="0.2">
      <c r="B36" s="96" t="s">
        <v>27</v>
      </c>
      <c r="C36" s="92" t="s">
        <v>28</v>
      </c>
      <c r="D36" s="93"/>
      <c r="I36" s="90"/>
      <c r="J36" s="90"/>
      <c r="K36" s="90"/>
    </row>
    <row r="37" spans="2:11" ht="22.35" customHeight="1" x14ac:dyDescent="0.2">
      <c r="B37" s="96" t="s">
        <v>29</v>
      </c>
      <c r="C37" s="471" t="s">
        <v>342</v>
      </c>
      <c r="D37" s="472"/>
      <c r="J37" s="90"/>
      <c r="K37" s="90"/>
    </row>
    <row r="38" spans="2:11" ht="15" x14ac:dyDescent="0.25">
      <c r="B38" s="89"/>
      <c r="C38" s="89"/>
      <c r="D38" s="89"/>
    </row>
    <row r="39" spans="2:11" ht="26.85" customHeight="1" x14ac:dyDescent="0.25">
      <c r="B39" s="469" t="s">
        <v>30</v>
      </c>
      <c r="C39" s="469"/>
      <c r="D39" s="89"/>
    </row>
    <row r="40" spans="2:11" ht="22.35" customHeight="1" x14ac:dyDescent="0.2">
      <c r="B40" s="91" t="s">
        <v>31</v>
      </c>
      <c r="C40" s="470" t="s">
        <v>32</v>
      </c>
      <c r="D40" s="470" t="s">
        <v>33</v>
      </c>
    </row>
    <row r="41" spans="2:11" ht="22.35" customHeight="1" x14ac:dyDescent="0.2">
      <c r="B41" s="91" t="s">
        <v>34</v>
      </c>
      <c r="C41" s="462" t="s">
        <v>35</v>
      </c>
      <c r="D41" s="463"/>
    </row>
    <row r="42" spans="2:11" ht="22.35" customHeight="1" x14ac:dyDescent="0.2">
      <c r="B42" s="91" t="s">
        <v>36</v>
      </c>
      <c r="C42" s="462" t="s">
        <v>37</v>
      </c>
      <c r="D42" s="463"/>
    </row>
    <row r="43" spans="2:11" ht="22.35" customHeight="1" x14ac:dyDescent="0.2">
      <c r="B43" s="91" t="s">
        <v>38</v>
      </c>
      <c r="C43" s="462" t="s">
        <v>39</v>
      </c>
      <c r="D43" s="463"/>
    </row>
    <row r="44" spans="2:11" ht="22.35" customHeight="1" x14ac:dyDescent="0.2">
      <c r="B44" s="91" t="s">
        <v>40</v>
      </c>
      <c r="C44" s="462" t="s">
        <v>41</v>
      </c>
      <c r="D44" s="463"/>
    </row>
    <row r="45" spans="2:11" ht="22.35" customHeight="1" x14ac:dyDescent="0.2">
      <c r="B45" s="91" t="s">
        <v>42</v>
      </c>
      <c r="C45" s="462" t="s">
        <v>43</v>
      </c>
      <c r="D45" s="463"/>
    </row>
    <row r="46" spans="2:11" ht="22.35" customHeight="1" x14ac:dyDescent="0.2">
      <c r="B46" s="91" t="s">
        <v>44</v>
      </c>
      <c r="C46" s="462" t="s">
        <v>45</v>
      </c>
      <c r="D46" s="463"/>
    </row>
    <row r="47" spans="2:11" ht="23.25" customHeight="1" x14ac:dyDescent="0.2">
      <c r="B47" s="91" t="s">
        <v>46</v>
      </c>
      <c r="C47" s="462" t="s">
        <v>47</v>
      </c>
      <c r="D47" s="463"/>
    </row>
  </sheetData>
  <sheetProtection algorithmName="SHA-512" hashValue="dgUpa+p3S6sTQQcAY29BGtMEKMZTT2KVj/HZ8WfrTToYNYPNU6W7HO0VVCtxHNCMcv5uBOnjneQkINfP2O3zkQ==" saltValue="sG5NxGdDqcKH+Q6+C7g6wQ==" spinCount="100000" sheet="1" objects="1" scenarios="1"/>
  <mergeCells count="27">
    <mergeCell ref="C43:D43"/>
    <mergeCell ref="C33:D33"/>
    <mergeCell ref="C34:D34"/>
    <mergeCell ref="C35:D35"/>
    <mergeCell ref="C37:D37"/>
    <mergeCell ref="B30:C30"/>
    <mergeCell ref="C31:D31"/>
    <mergeCell ref="C41:D41"/>
    <mergeCell ref="C42:D42"/>
    <mergeCell ref="B39:C39"/>
    <mergeCell ref="C40:D40"/>
    <mergeCell ref="C47:D47"/>
    <mergeCell ref="C45:D45"/>
    <mergeCell ref="C46:D46"/>
    <mergeCell ref="B4:D4"/>
    <mergeCell ref="B28:D28"/>
    <mergeCell ref="B15:D15"/>
    <mergeCell ref="B18:D18"/>
    <mergeCell ref="B6:C6"/>
    <mergeCell ref="B7:C7"/>
    <mergeCell ref="B8:C8"/>
    <mergeCell ref="B10:C10"/>
    <mergeCell ref="B21:D21"/>
    <mergeCell ref="B24:D24"/>
    <mergeCell ref="B12:D12"/>
    <mergeCell ref="C32:D32"/>
    <mergeCell ref="C44:D4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2BE22-6605-41D9-9A2D-56DFA52AAC94}">
  <sheetPr codeName="Sheet7">
    <tabColor theme="0" tint="-0.14999847407452621"/>
  </sheetPr>
  <dimension ref="B4:W44"/>
  <sheetViews>
    <sheetView workbookViewId="0">
      <selection activeCell="E11" sqref="E11"/>
    </sheetView>
  </sheetViews>
  <sheetFormatPr defaultColWidth="9" defaultRowHeight="14.25" x14ac:dyDescent="0.2"/>
  <cols>
    <col min="1" max="1" width="9" style="1"/>
    <col min="2" max="2" width="3.625" style="1" customWidth="1"/>
    <col min="3" max="3" width="13.625" style="1" customWidth="1"/>
    <col min="4" max="4" width="14.125" style="1" customWidth="1"/>
    <col min="5" max="8" width="9" style="1"/>
    <col min="9" max="9" width="10.375" style="1" bestFit="1" customWidth="1"/>
    <col min="10" max="10" width="10.75" style="1" bestFit="1" customWidth="1"/>
    <col min="11" max="11" width="9" style="1" bestFit="1" customWidth="1"/>
    <col min="12" max="12" width="11.75" style="1" customWidth="1"/>
    <col min="13" max="13" width="12.75" style="1" customWidth="1"/>
    <col min="14" max="14" width="13.625" style="1" customWidth="1"/>
    <col min="15" max="15" width="11.875" style="1" customWidth="1"/>
    <col min="16" max="16" width="14.125" style="1" customWidth="1"/>
    <col min="17" max="18" width="9" style="1"/>
    <col min="19" max="19" width="10.375" style="1" bestFit="1" customWidth="1"/>
    <col min="20" max="20" width="13.625" style="1" customWidth="1"/>
    <col min="21" max="16384" width="9" style="1"/>
  </cols>
  <sheetData>
    <row r="4" spans="2:15" ht="15" thickBot="1" x14ac:dyDescent="0.25"/>
    <row r="5" spans="2:15" ht="15" thickBot="1" x14ac:dyDescent="0.25">
      <c r="C5" s="473" t="s">
        <v>8</v>
      </c>
      <c r="D5" s="474"/>
      <c r="E5" s="474"/>
      <c r="F5" s="474"/>
      <c r="G5" s="474"/>
      <c r="H5" s="474"/>
      <c r="I5" s="474"/>
      <c r="J5" s="474"/>
      <c r="K5" s="474"/>
      <c r="L5" s="474"/>
      <c r="M5" s="475"/>
    </row>
    <row r="6" spans="2:15" ht="16.5" thickBot="1" x14ac:dyDescent="0.25">
      <c r="C6" s="143"/>
      <c r="D6" s="204" t="s">
        <v>48</v>
      </c>
      <c r="E6" s="145" t="s">
        <v>49</v>
      </c>
      <c r="F6" s="205" t="s">
        <v>50</v>
      </c>
      <c r="G6" s="145" t="s">
        <v>42</v>
      </c>
      <c r="H6" s="145" t="s">
        <v>44</v>
      </c>
      <c r="I6" s="204" t="s">
        <v>51</v>
      </c>
      <c r="J6" s="144" t="s">
        <v>52</v>
      </c>
      <c r="K6" s="144" t="s">
        <v>53</v>
      </c>
      <c r="L6" s="210" t="s">
        <v>31</v>
      </c>
      <c r="M6" s="196" t="s">
        <v>54</v>
      </c>
      <c r="N6" s="146" t="s">
        <v>55</v>
      </c>
      <c r="O6" s="146" t="s">
        <v>56</v>
      </c>
    </row>
    <row r="7" spans="2:15" x14ac:dyDescent="0.2">
      <c r="B7" s="1">
        <v>1</v>
      </c>
      <c r="C7" s="147">
        <f>'High Efficiency Transformer'!D8</f>
        <v>0</v>
      </c>
      <c r="D7" s="188">
        <f>'High Efficiency Transformer'!F8</f>
        <v>0</v>
      </c>
      <c r="E7" s="224" t="e">
        <f>IF(Calculations!C7='Lookup Table'!$H$3,VLOOKUP(D7,'Lookup Table'!$D$22:$E$30,2,FALSE),VLOOKUP(Calculations!D7,'Lookup Table'!$F$22:$G$32,2,FALSE))</f>
        <v>#N/A</v>
      </c>
      <c r="F7" s="225">
        <f>'High Efficiency Transformer'!G8</f>
        <v>0</v>
      </c>
      <c r="G7" s="148">
        <f>'Lookup Table'!$I$20</f>
        <v>0.35</v>
      </c>
      <c r="H7" s="148">
        <f>'Lookup Table'!$J$20</f>
        <v>1</v>
      </c>
      <c r="I7" s="188">
        <v>8760</v>
      </c>
      <c r="J7" s="139" t="str">
        <f>IFERROR(D7*G7*H7*(1/E7-1)*I7," ")</f>
        <v xml:space="preserve"> </v>
      </c>
      <c r="K7" s="148" t="str">
        <f t="shared" ref="K7:K16" si="0">IFERROR(D7*G7*H7*(1/F7-1)*I7," ")</f>
        <v xml:space="preserve"> </v>
      </c>
      <c r="L7" s="212" t="str">
        <f>IFERROR(J7-K7,"")</f>
        <v/>
      </c>
      <c r="M7" s="148" t="str">
        <f>IFERROR(L7/I7,"")</f>
        <v/>
      </c>
      <c r="N7" s="148" t="str">
        <f>IFERROR(L7/I7,"")</f>
        <v/>
      </c>
      <c r="O7" s="213" t="str">
        <f>IFERROR(AVERAGE(M7:N7),"")</f>
        <v/>
      </c>
    </row>
    <row r="8" spans="2:15" x14ac:dyDescent="0.2">
      <c r="B8" s="1">
        <v>2</v>
      </c>
      <c r="C8" s="138">
        <f>'High Efficiency Transformer'!D9</f>
        <v>0</v>
      </c>
      <c r="D8" s="189">
        <f>'High Efficiency Transformer'!F9</f>
        <v>0</v>
      </c>
      <c r="E8" s="226" t="e">
        <f>IF(Calculations!C8='Lookup Table'!$H$3,VLOOKUP(D8,'Lookup Table'!$D$22:$E$30,2,FALSE),VLOOKUP(Calculations!D8,'Lookup Table'!$F$22:$G$32,2,FALSE))</f>
        <v>#N/A</v>
      </c>
      <c r="F8" s="227">
        <f>'High Efficiency Transformer'!G9</f>
        <v>0</v>
      </c>
      <c r="G8" s="139">
        <f>'Lookup Table'!$I$20</f>
        <v>0.35</v>
      </c>
      <c r="H8" s="139">
        <f>'Lookup Table'!$J$20</f>
        <v>1</v>
      </c>
      <c r="I8" s="189">
        <v>8760</v>
      </c>
      <c r="J8" s="139" t="str">
        <f t="shared" ref="J8:J16" si="1">IFERROR(D8*G8*H8*(1/E8-1)*I8," ")</f>
        <v xml:space="preserve"> </v>
      </c>
      <c r="K8" s="139" t="str">
        <f t="shared" si="0"/>
        <v xml:space="preserve"> </v>
      </c>
      <c r="L8" s="207" t="str">
        <f t="shared" ref="L8:L16" si="2">IFERROR(J8-K8,"")</f>
        <v/>
      </c>
      <c r="M8" s="139" t="str">
        <f t="shared" ref="M8:M16" si="3">IFERROR(L8/I8,"")</f>
        <v/>
      </c>
      <c r="N8" s="139" t="str">
        <f t="shared" ref="N8:N16" si="4">IFERROR(L8/I8,"")</f>
        <v/>
      </c>
      <c r="O8" s="140" t="str">
        <f t="shared" ref="O8:O16" si="5">IFERROR(AVERAGE(M8:N8),"")</f>
        <v/>
      </c>
    </row>
    <row r="9" spans="2:15" x14ac:dyDescent="0.2">
      <c r="B9" s="1">
        <v>3</v>
      </c>
      <c r="C9" s="138">
        <f>'High Efficiency Transformer'!D10</f>
        <v>0</v>
      </c>
      <c r="D9" s="189">
        <f>'High Efficiency Transformer'!F10</f>
        <v>0</v>
      </c>
      <c r="E9" s="226" t="e">
        <f>IF(Calculations!C9='Lookup Table'!$H$3,VLOOKUP(D9,'Lookup Table'!$D$22:$E$30,2,FALSE),VLOOKUP(Calculations!D9,'Lookup Table'!$F$22:$G$32,2,FALSE))</f>
        <v>#N/A</v>
      </c>
      <c r="F9" s="227">
        <f>'High Efficiency Transformer'!G10</f>
        <v>0</v>
      </c>
      <c r="G9" s="139">
        <f>'Lookup Table'!$I$20</f>
        <v>0.35</v>
      </c>
      <c r="H9" s="139">
        <f>'Lookup Table'!$J$20</f>
        <v>1</v>
      </c>
      <c r="I9" s="189">
        <v>8760</v>
      </c>
      <c r="J9" s="139" t="str">
        <f t="shared" si="1"/>
        <v xml:space="preserve"> </v>
      </c>
      <c r="K9" s="139" t="str">
        <f t="shared" si="0"/>
        <v xml:space="preserve"> </v>
      </c>
      <c r="L9" s="208" t="str">
        <f t="shared" si="2"/>
        <v/>
      </c>
      <c r="M9" s="139" t="str">
        <f t="shared" si="3"/>
        <v/>
      </c>
      <c r="N9" s="139" t="str">
        <f t="shared" si="4"/>
        <v/>
      </c>
      <c r="O9" s="140" t="str">
        <f t="shared" si="5"/>
        <v/>
      </c>
    </row>
    <row r="10" spans="2:15" x14ac:dyDescent="0.2">
      <c r="B10" s="1">
        <v>4</v>
      </c>
      <c r="C10" s="138">
        <f>'High Efficiency Transformer'!D11</f>
        <v>0</v>
      </c>
      <c r="D10" s="189">
        <f>'High Efficiency Transformer'!F11</f>
        <v>0</v>
      </c>
      <c r="E10" s="226" t="e">
        <f>IF(Calculations!C10='Lookup Table'!$H$3,VLOOKUP(D10,'Lookup Table'!$D$22:$E$30,2,FALSE),VLOOKUP(Calculations!D10,'Lookup Table'!$F$22:$G$32,2,FALSE))</f>
        <v>#N/A</v>
      </c>
      <c r="F10" s="227">
        <f>'High Efficiency Transformer'!G11</f>
        <v>0</v>
      </c>
      <c r="G10" s="139">
        <f>'Lookup Table'!$I$20</f>
        <v>0.35</v>
      </c>
      <c r="H10" s="139">
        <f>'Lookup Table'!$J$20</f>
        <v>1</v>
      </c>
      <c r="I10" s="189">
        <v>8760</v>
      </c>
      <c r="J10" s="139" t="str">
        <f t="shared" si="1"/>
        <v xml:space="preserve"> </v>
      </c>
      <c r="K10" s="139" t="str">
        <f t="shared" si="0"/>
        <v xml:space="preserve"> </v>
      </c>
      <c r="L10" s="208" t="str">
        <f t="shared" si="2"/>
        <v/>
      </c>
      <c r="M10" s="139" t="str">
        <f t="shared" si="3"/>
        <v/>
      </c>
      <c r="N10" s="139" t="str">
        <f t="shared" si="4"/>
        <v/>
      </c>
      <c r="O10" s="140" t="str">
        <f t="shared" si="5"/>
        <v/>
      </c>
    </row>
    <row r="11" spans="2:15" x14ac:dyDescent="0.2">
      <c r="B11" s="1">
        <v>5</v>
      </c>
      <c r="C11" s="138">
        <f>'High Efficiency Transformer'!D12</f>
        <v>0</v>
      </c>
      <c r="D11" s="189">
        <f>'High Efficiency Transformer'!F12</f>
        <v>0</v>
      </c>
      <c r="E11" s="226" t="e">
        <f>IF(Calculations!C11='Lookup Table'!$H$3,VLOOKUP(D11,'Lookup Table'!$D$22:$E$30,2,FALSE),VLOOKUP(Calculations!D11,'Lookup Table'!$F$22:$G$32,2,FALSE))</f>
        <v>#N/A</v>
      </c>
      <c r="F11" s="227">
        <f>'High Efficiency Transformer'!G12</f>
        <v>0</v>
      </c>
      <c r="G11" s="139">
        <f>'Lookup Table'!$I$20</f>
        <v>0.35</v>
      </c>
      <c r="H11" s="139">
        <f>'Lookup Table'!$J$20</f>
        <v>1</v>
      </c>
      <c r="I11" s="189">
        <v>8760</v>
      </c>
      <c r="J11" s="139" t="str">
        <f t="shared" si="1"/>
        <v xml:space="preserve"> </v>
      </c>
      <c r="K11" s="139" t="str">
        <f t="shared" si="0"/>
        <v xml:space="preserve"> </v>
      </c>
      <c r="L11" s="208" t="str">
        <f t="shared" si="2"/>
        <v/>
      </c>
      <c r="M11" s="139" t="str">
        <f t="shared" si="3"/>
        <v/>
      </c>
      <c r="N11" s="139" t="str">
        <f t="shared" si="4"/>
        <v/>
      </c>
      <c r="O11" s="140" t="str">
        <f t="shared" si="5"/>
        <v/>
      </c>
    </row>
    <row r="12" spans="2:15" x14ac:dyDescent="0.2">
      <c r="B12" s="1">
        <v>6</v>
      </c>
      <c r="C12" s="138">
        <f>'High Efficiency Transformer'!D13</f>
        <v>0</v>
      </c>
      <c r="D12" s="189">
        <f>'High Efficiency Transformer'!F13</f>
        <v>0</v>
      </c>
      <c r="E12" s="226" t="e">
        <f>IF(Calculations!C12='Lookup Table'!$H$3,VLOOKUP(D12,'Lookup Table'!$D$22:$E$30,2,FALSE),VLOOKUP(Calculations!D12,'Lookup Table'!$F$22:$G$32,2,FALSE))</f>
        <v>#N/A</v>
      </c>
      <c r="F12" s="227">
        <f>'High Efficiency Transformer'!G13</f>
        <v>0</v>
      </c>
      <c r="G12" s="139">
        <f>'Lookup Table'!$I$20</f>
        <v>0.35</v>
      </c>
      <c r="H12" s="139">
        <f>'Lookup Table'!$J$20</f>
        <v>1</v>
      </c>
      <c r="I12" s="189">
        <v>8760</v>
      </c>
      <c r="J12" s="139" t="str">
        <f t="shared" si="1"/>
        <v xml:space="preserve"> </v>
      </c>
      <c r="K12" s="139" t="str">
        <f t="shared" si="0"/>
        <v xml:space="preserve"> </v>
      </c>
      <c r="L12" s="208" t="str">
        <f t="shared" si="2"/>
        <v/>
      </c>
      <c r="M12" s="139" t="str">
        <f t="shared" si="3"/>
        <v/>
      </c>
      <c r="N12" s="139" t="str">
        <f t="shared" si="4"/>
        <v/>
      </c>
      <c r="O12" s="140" t="str">
        <f t="shared" si="5"/>
        <v/>
      </c>
    </row>
    <row r="13" spans="2:15" x14ac:dyDescent="0.2">
      <c r="B13" s="1">
        <v>7</v>
      </c>
      <c r="C13" s="138">
        <f>'High Efficiency Transformer'!D14</f>
        <v>0</v>
      </c>
      <c r="D13" s="189">
        <f>'High Efficiency Transformer'!F14</f>
        <v>0</v>
      </c>
      <c r="E13" s="226" t="e">
        <f>IF(Calculations!C13='Lookup Table'!$H$3,VLOOKUP(D13,'Lookup Table'!$D$22:$E$30,2,FALSE),VLOOKUP(Calculations!D13,'Lookup Table'!$F$22:$G$32,2,FALSE))</f>
        <v>#N/A</v>
      </c>
      <c r="F13" s="227">
        <f>'High Efficiency Transformer'!G14</f>
        <v>0</v>
      </c>
      <c r="G13" s="139">
        <f>'Lookup Table'!$I$20</f>
        <v>0.35</v>
      </c>
      <c r="H13" s="139">
        <f>'Lookup Table'!$J$20</f>
        <v>1</v>
      </c>
      <c r="I13" s="189">
        <v>8760</v>
      </c>
      <c r="J13" s="139" t="str">
        <f t="shared" si="1"/>
        <v xml:space="preserve"> </v>
      </c>
      <c r="K13" s="139" t="str">
        <f t="shared" si="0"/>
        <v xml:space="preserve"> </v>
      </c>
      <c r="L13" s="208" t="str">
        <f>IFERROR(J13-K13,"")</f>
        <v/>
      </c>
      <c r="M13" s="139" t="str">
        <f t="shared" si="3"/>
        <v/>
      </c>
      <c r="N13" s="139" t="str">
        <f t="shared" si="4"/>
        <v/>
      </c>
      <c r="O13" s="140" t="str">
        <f t="shared" si="5"/>
        <v/>
      </c>
    </row>
    <row r="14" spans="2:15" x14ac:dyDescent="0.2">
      <c r="B14" s="1">
        <v>8</v>
      </c>
      <c r="C14" s="138">
        <f>'High Efficiency Transformer'!D15</f>
        <v>0</v>
      </c>
      <c r="D14" s="189">
        <f>'High Efficiency Transformer'!F15</f>
        <v>0</v>
      </c>
      <c r="E14" s="226" t="e">
        <f>IF(Calculations!C14='Lookup Table'!$H$3,VLOOKUP(D14,'Lookup Table'!$D$22:$E$30,2,FALSE),VLOOKUP(Calculations!D14,'Lookup Table'!$F$22:$G$32,2,FALSE))</f>
        <v>#N/A</v>
      </c>
      <c r="F14" s="227">
        <f>'High Efficiency Transformer'!G15</f>
        <v>0</v>
      </c>
      <c r="G14" s="139">
        <f>'Lookup Table'!$I$20</f>
        <v>0.35</v>
      </c>
      <c r="H14" s="139">
        <f>'Lookup Table'!$J$20</f>
        <v>1</v>
      </c>
      <c r="I14" s="189">
        <v>8760</v>
      </c>
      <c r="J14" s="139" t="str">
        <f t="shared" si="1"/>
        <v xml:space="preserve"> </v>
      </c>
      <c r="K14" s="139" t="str">
        <f t="shared" si="0"/>
        <v xml:space="preserve"> </v>
      </c>
      <c r="L14" s="208" t="str">
        <f t="shared" si="2"/>
        <v/>
      </c>
      <c r="M14" s="139" t="str">
        <f t="shared" si="3"/>
        <v/>
      </c>
      <c r="N14" s="139" t="str">
        <f t="shared" si="4"/>
        <v/>
      </c>
      <c r="O14" s="140" t="str">
        <f t="shared" si="5"/>
        <v/>
      </c>
    </row>
    <row r="15" spans="2:15" x14ac:dyDescent="0.2">
      <c r="B15" s="1">
        <v>9</v>
      </c>
      <c r="C15" s="138">
        <f>'High Efficiency Transformer'!D16</f>
        <v>0</v>
      </c>
      <c r="D15" s="189">
        <f>'High Efficiency Transformer'!F16</f>
        <v>0</v>
      </c>
      <c r="E15" s="226" t="e">
        <f>IF(Calculations!C15='Lookup Table'!$H$3,VLOOKUP(D15,'Lookup Table'!$D$22:$E$30,2,FALSE),VLOOKUP(Calculations!D15,'Lookup Table'!$F$22:$G$32,2,FALSE))</f>
        <v>#N/A</v>
      </c>
      <c r="F15" s="227">
        <f>'High Efficiency Transformer'!G16</f>
        <v>0</v>
      </c>
      <c r="G15" s="139">
        <f>'Lookup Table'!$I$20</f>
        <v>0.35</v>
      </c>
      <c r="H15" s="139">
        <f>'Lookup Table'!$J$20</f>
        <v>1</v>
      </c>
      <c r="I15" s="189">
        <v>8760</v>
      </c>
      <c r="J15" s="139" t="str">
        <f t="shared" si="1"/>
        <v xml:space="preserve"> </v>
      </c>
      <c r="K15" s="139" t="str">
        <f t="shared" si="0"/>
        <v xml:space="preserve"> </v>
      </c>
      <c r="L15" s="208" t="str">
        <f t="shared" si="2"/>
        <v/>
      </c>
      <c r="M15" s="139" t="str">
        <f t="shared" si="3"/>
        <v/>
      </c>
      <c r="N15" s="139" t="str">
        <f t="shared" si="4"/>
        <v/>
      </c>
      <c r="O15" s="140" t="str">
        <f t="shared" si="5"/>
        <v/>
      </c>
    </row>
    <row r="16" spans="2:15" ht="15" thickBot="1" x14ac:dyDescent="0.25">
      <c r="B16" s="1">
        <v>10</v>
      </c>
      <c r="C16" s="141">
        <f>'High Efficiency Transformer'!D17</f>
        <v>0</v>
      </c>
      <c r="D16" s="190">
        <f>'High Efficiency Transformer'!F17</f>
        <v>0</v>
      </c>
      <c r="E16" s="228" t="e">
        <f>IF(Calculations!C16='Lookup Table'!$H$3,VLOOKUP(D16,'Lookup Table'!$D$22:$E$30,2,FALSE),VLOOKUP(Calculations!D16,'Lookup Table'!$F$22:$G$32,2,FALSE))</f>
        <v>#N/A</v>
      </c>
      <c r="F16" s="229">
        <f>'High Efficiency Transformer'!G17</f>
        <v>0</v>
      </c>
      <c r="G16" s="142">
        <f>'Lookup Table'!$I$20</f>
        <v>0.35</v>
      </c>
      <c r="H16" s="142">
        <f>'Lookup Table'!$J$20</f>
        <v>1</v>
      </c>
      <c r="I16" s="190">
        <v>8760</v>
      </c>
      <c r="J16" s="142" t="str">
        <f t="shared" si="1"/>
        <v xml:space="preserve"> </v>
      </c>
      <c r="K16" s="142" t="str">
        <f t="shared" si="0"/>
        <v xml:space="preserve"> </v>
      </c>
      <c r="L16" s="214" t="str">
        <f t="shared" si="2"/>
        <v/>
      </c>
      <c r="M16" s="142" t="str">
        <f t="shared" si="3"/>
        <v/>
      </c>
      <c r="N16" s="142" t="str">
        <f t="shared" si="4"/>
        <v/>
      </c>
      <c r="O16" s="215" t="str">
        <f t="shared" si="5"/>
        <v/>
      </c>
    </row>
    <row r="18" spans="3:15" ht="15" thickBot="1" x14ac:dyDescent="0.25"/>
    <row r="19" spans="3:15" ht="15" thickBot="1" x14ac:dyDescent="0.25">
      <c r="C19" s="473" t="s">
        <v>57</v>
      </c>
      <c r="D19" s="474"/>
      <c r="E19" s="474"/>
      <c r="F19" s="474"/>
      <c r="G19" s="474"/>
      <c r="H19" s="474"/>
      <c r="I19" s="477"/>
      <c r="J19" s="152"/>
      <c r="K19" s="152"/>
      <c r="L19" s="152"/>
      <c r="M19" s="152"/>
    </row>
    <row r="20" spans="3:15" ht="15" thickBot="1" x14ac:dyDescent="0.25">
      <c r="C20" s="143" t="s">
        <v>58</v>
      </c>
      <c r="D20" s="144" t="s">
        <v>59</v>
      </c>
      <c r="E20" s="145" t="s">
        <v>51</v>
      </c>
      <c r="F20" s="145" t="s">
        <v>60</v>
      </c>
      <c r="G20" s="145" t="s">
        <v>61</v>
      </c>
      <c r="H20" s="145" t="s">
        <v>33</v>
      </c>
      <c r="I20" s="196" t="s">
        <v>54</v>
      </c>
      <c r="J20" s="146" t="s">
        <v>55</v>
      </c>
      <c r="K20" s="146" t="s">
        <v>62</v>
      </c>
      <c r="L20" s="152"/>
      <c r="M20" s="152"/>
      <c r="N20" s="152"/>
      <c r="O20" s="152"/>
    </row>
    <row r="21" spans="3:15" x14ac:dyDescent="0.2">
      <c r="C21" s="147">
        <f>'Engine Block Heat Timer'!D8</f>
        <v>0</v>
      </c>
      <c r="D21" s="148">
        <v>1.3</v>
      </c>
      <c r="E21" s="223">
        <v>9</v>
      </c>
      <c r="F21" s="223">
        <v>65</v>
      </c>
      <c r="G21" s="148">
        <v>0.97</v>
      </c>
      <c r="H21" s="148" t="str">
        <f>IF('Engine Block Heat Timer'!D8="","",C21*D21*E21*F21*G21)</f>
        <v/>
      </c>
      <c r="I21" s="148" t="str">
        <f>IF('Engine Block Heat Timer'!D8="","",0)</f>
        <v/>
      </c>
      <c r="J21" s="148" t="str">
        <f>IF('Engine Block Heat Timer'!D8="","",0)</f>
        <v/>
      </c>
      <c r="K21" s="213" t="str">
        <f t="shared" ref="K21:K30" si="6">IFERROR(AVERAGE(I21:J21)," ")</f>
        <v xml:space="preserve"> </v>
      </c>
      <c r="L21" s="155"/>
      <c r="M21" s="155"/>
      <c r="N21" s="155"/>
      <c r="O21" s="155"/>
    </row>
    <row r="22" spans="3:15" ht="19.899999999999999" customHeight="1" x14ac:dyDescent="0.2">
      <c r="C22" s="138">
        <f>'Engine Block Heat Timer'!D9</f>
        <v>0</v>
      </c>
      <c r="D22" s="139">
        <v>1.3</v>
      </c>
      <c r="E22" s="260">
        <v>9</v>
      </c>
      <c r="F22" s="260">
        <v>65</v>
      </c>
      <c r="G22" s="139">
        <v>0.97</v>
      </c>
      <c r="H22" s="139" t="str">
        <f>IF('Engine Block Heat Timer'!D9="","",C22*D22*E22*F22*G22)</f>
        <v/>
      </c>
      <c r="I22" s="139" t="str">
        <f>IF('Engine Block Heat Timer'!D9="","",0)</f>
        <v/>
      </c>
      <c r="J22" s="139" t="str">
        <f>IF('Engine Block Heat Timer'!D9="","",0)</f>
        <v/>
      </c>
      <c r="K22" s="140" t="str">
        <f t="shared" si="6"/>
        <v xml:space="preserve"> </v>
      </c>
      <c r="L22" s="155"/>
      <c r="M22" s="155"/>
      <c r="N22" s="155"/>
      <c r="O22" s="155"/>
    </row>
    <row r="23" spans="3:15" x14ac:dyDescent="0.2">
      <c r="C23" s="138">
        <f>'Engine Block Heat Timer'!D10</f>
        <v>0</v>
      </c>
      <c r="D23" s="139">
        <v>1.3</v>
      </c>
      <c r="E23" s="260">
        <v>9</v>
      </c>
      <c r="F23" s="260">
        <v>65</v>
      </c>
      <c r="G23" s="139">
        <v>0.97</v>
      </c>
      <c r="H23" s="139" t="str">
        <f>IF('Engine Block Heat Timer'!D10="","",C23*D23*E23*F23*G23)</f>
        <v/>
      </c>
      <c r="I23" s="139" t="str">
        <f>IF('Engine Block Heat Timer'!D10="","",0)</f>
        <v/>
      </c>
      <c r="J23" s="139" t="str">
        <f>IF('Engine Block Heat Timer'!D10="","",0)</f>
        <v/>
      </c>
      <c r="K23" s="140" t="str">
        <f t="shared" si="6"/>
        <v xml:space="preserve"> </v>
      </c>
      <c r="L23" s="155"/>
      <c r="M23" s="155"/>
      <c r="N23" s="155"/>
      <c r="O23" s="155"/>
    </row>
    <row r="24" spans="3:15" x14ac:dyDescent="0.2">
      <c r="C24" s="138">
        <f>'Engine Block Heat Timer'!D11</f>
        <v>0</v>
      </c>
      <c r="D24" s="139">
        <v>1.3</v>
      </c>
      <c r="E24" s="260">
        <v>9</v>
      </c>
      <c r="F24" s="260">
        <v>65</v>
      </c>
      <c r="G24" s="139">
        <v>0.97</v>
      </c>
      <c r="H24" s="139" t="str">
        <f>IF('Engine Block Heat Timer'!D11="","",C24*D24*E24*F24*G24)</f>
        <v/>
      </c>
      <c r="I24" s="139" t="str">
        <f>IF('Engine Block Heat Timer'!D11="","",0)</f>
        <v/>
      </c>
      <c r="J24" s="139" t="str">
        <f>IF('Engine Block Heat Timer'!D11="","",0)</f>
        <v/>
      </c>
      <c r="K24" s="140" t="str">
        <f t="shared" si="6"/>
        <v xml:space="preserve"> </v>
      </c>
      <c r="L24" s="155"/>
      <c r="M24" s="155"/>
      <c r="N24" s="155"/>
      <c r="O24" s="155"/>
    </row>
    <row r="25" spans="3:15" x14ac:dyDescent="0.2">
      <c r="C25" s="138">
        <f>'Engine Block Heat Timer'!D12</f>
        <v>0</v>
      </c>
      <c r="D25" s="139">
        <v>1.3</v>
      </c>
      <c r="E25" s="260">
        <v>9</v>
      </c>
      <c r="F25" s="260">
        <v>65</v>
      </c>
      <c r="G25" s="139">
        <v>0.97</v>
      </c>
      <c r="H25" s="139" t="str">
        <f>IF('Engine Block Heat Timer'!D12="","",C25*D25*E25*F25*G25)</f>
        <v/>
      </c>
      <c r="I25" s="139" t="str">
        <f>IF('Engine Block Heat Timer'!D12="","",0)</f>
        <v/>
      </c>
      <c r="J25" s="139" t="str">
        <f>IF('Engine Block Heat Timer'!D12="","",0)</f>
        <v/>
      </c>
      <c r="K25" s="140" t="str">
        <f t="shared" si="6"/>
        <v xml:space="preserve"> </v>
      </c>
      <c r="L25" s="155"/>
      <c r="M25" s="155"/>
      <c r="N25" s="155"/>
      <c r="O25" s="155"/>
    </row>
    <row r="26" spans="3:15" x14ac:dyDescent="0.2">
      <c r="C26" s="138">
        <f>'Engine Block Heat Timer'!D13</f>
        <v>0</v>
      </c>
      <c r="D26" s="139">
        <v>1.3</v>
      </c>
      <c r="E26" s="260">
        <v>9</v>
      </c>
      <c r="F26" s="260">
        <v>65</v>
      </c>
      <c r="G26" s="139">
        <v>0.97</v>
      </c>
      <c r="H26" s="139" t="str">
        <f>IF('Engine Block Heat Timer'!D13="","",C26*D26*E26*F26*G26)</f>
        <v/>
      </c>
      <c r="I26" s="139" t="str">
        <f>IF('Engine Block Heat Timer'!D13="","",0)</f>
        <v/>
      </c>
      <c r="J26" s="139" t="str">
        <f>IF('Engine Block Heat Timer'!D13="","",0)</f>
        <v/>
      </c>
      <c r="K26" s="140" t="str">
        <f t="shared" si="6"/>
        <v xml:space="preserve"> </v>
      </c>
      <c r="L26" s="155"/>
      <c r="M26" s="155"/>
      <c r="N26" s="155"/>
      <c r="O26" s="155"/>
    </row>
    <row r="27" spans="3:15" x14ac:dyDescent="0.2">
      <c r="C27" s="138"/>
      <c r="D27" s="139"/>
      <c r="E27" s="154"/>
      <c r="F27" s="154"/>
      <c r="G27" s="139"/>
      <c r="H27" s="139" t="str">
        <f>IF('Engine Block Heat Timer'!D14="","",C27*D27*E27*F27*G27)</f>
        <v/>
      </c>
      <c r="I27" s="139" t="str">
        <f>IF('Engine Block Heat Timer'!D14="","",0)</f>
        <v/>
      </c>
      <c r="J27" s="139" t="str">
        <f>IF('Engine Block Heat Timer'!D14="","",0)</f>
        <v/>
      </c>
      <c r="K27" s="140" t="str">
        <f t="shared" si="6"/>
        <v xml:space="preserve"> </v>
      </c>
      <c r="L27" s="155"/>
      <c r="M27" s="155"/>
      <c r="N27" s="155"/>
      <c r="O27" s="155"/>
    </row>
    <row r="28" spans="3:15" x14ac:dyDescent="0.2">
      <c r="C28" s="138"/>
      <c r="D28" s="139"/>
      <c r="E28" s="154"/>
      <c r="F28" s="154"/>
      <c r="G28" s="139"/>
      <c r="H28" s="139" t="str">
        <f>IF('Engine Block Heat Timer'!D15="","",C28*D28*E28*F28*G28)</f>
        <v/>
      </c>
      <c r="I28" s="139" t="str">
        <f>IF('Engine Block Heat Timer'!D15="","",0)</f>
        <v/>
      </c>
      <c r="J28" s="139" t="str">
        <f>IF('Engine Block Heat Timer'!D15="","",0)</f>
        <v/>
      </c>
      <c r="K28" s="140" t="str">
        <f t="shared" si="6"/>
        <v xml:space="preserve"> </v>
      </c>
      <c r="L28" s="155"/>
      <c r="M28" s="155"/>
      <c r="O28" s="155"/>
    </row>
    <row r="29" spans="3:15" x14ac:dyDescent="0.2">
      <c r="C29" s="138"/>
      <c r="D29" s="139"/>
      <c r="E29" s="154"/>
      <c r="F29" s="154"/>
      <c r="G29" s="139"/>
      <c r="H29" s="139" t="str">
        <f>IF('Engine Block Heat Timer'!D16="","",C29*D29*E29*F29*G29)</f>
        <v/>
      </c>
      <c r="I29" s="139" t="str">
        <f>IF('Engine Block Heat Timer'!D16="","",0)</f>
        <v/>
      </c>
      <c r="J29" s="139" t="str">
        <f>IF('Engine Block Heat Timer'!D16="","",0)</f>
        <v/>
      </c>
      <c r="K29" s="140" t="str">
        <f t="shared" si="6"/>
        <v xml:space="preserve"> </v>
      </c>
      <c r="L29" s="155"/>
      <c r="M29" s="155"/>
      <c r="O29" s="155"/>
    </row>
    <row r="30" spans="3:15" ht="15" thickBot="1" x14ac:dyDescent="0.25">
      <c r="C30" s="141"/>
      <c r="D30" s="142"/>
      <c r="E30" s="156"/>
      <c r="F30" s="156"/>
      <c r="G30" s="142"/>
      <c r="H30" s="142" t="str">
        <f>IF('Engine Block Heat Timer'!D17="","",C30*D30*E30*F30*G30)</f>
        <v/>
      </c>
      <c r="I30" s="142" t="str">
        <f>IF('Engine Block Heat Timer'!D17="","",0)</f>
        <v/>
      </c>
      <c r="J30" s="142" t="str">
        <f>IF('Engine Block Heat Timer'!D17="","",0)</f>
        <v/>
      </c>
      <c r="K30" s="215" t="str">
        <f t="shared" si="6"/>
        <v xml:space="preserve"> </v>
      </c>
      <c r="L30" s="155"/>
      <c r="M30" s="155"/>
      <c r="N30" s="155"/>
      <c r="O30" s="155"/>
    </row>
    <row r="31" spans="3:15" x14ac:dyDescent="0.2">
      <c r="C31" s="476"/>
      <c r="D31" s="476"/>
      <c r="E31" s="476"/>
      <c r="F31" s="476"/>
      <c r="G31" s="476"/>
      <c r="H31" s="476"/>
      <c r="I31" s="476"/>
      <c r="J31" s="476"/>
      <c r="K31" s="476"/>
      <c r="L31" s="476"/>
      <c r="M31" s="476"/>
    </row>
    <row r="32" spans="3:15" ht="15" thickBot="1" x14ac:dyDescent="0.25">
      <c r="C32" s="152"/>
      <c r="D32" s="152"/>
      <c r="E32" s="153"/>
      <c r="F32" s="153"/>
      <c r="G32" s="153"/>
      <c r="H32" s="153"/>
      <c r="I32" s="152"/>
      <c r="J32" s="152"/>
      <c r="K32" s="152"/>
      <c r="L32" s="152"/>
      <c r="M32" s="152"/>
    </row>
    <row r="33" spans="3:23" ht="15" thickBot="1" x14ac:dyDescent="0.25">
      <c r="C33" s="478" t="s">
        <v>12</v>
      </c>
      <c r="D33" s="479"/>
      <c r="E33" s="479"/>
      <c r="F33" s="479"/>
      <c r="G33" s="479"/>
      <c r="H33" s="479"/>
      <c r="I33" s="479"/>
      <c r="J33" s="479"/>
      <c r="K33" s="479"/>
      <c r="L33" s="479"/>
      <c r="M33" s="480"/>
    </row>
    <row r="34" spans="3:23" ht="16.5" thickBot="1" x14ac:dyDescent="0.25">
      <c r="C34" s="219" t="s">
        <v>58</v>
      </c>
      <c r="D34" s="211" t="s">
        <v>63</v>
      </c>
      <c r="E34" s="211" t="s">
        <v>64</v>
      </c>
      <c r="F34" s="206" t="s">
        <v>65</v>
      </c>
      <c r="G34" s="206" t="s">
        <v>66</v>
      </c>
      <c r="H34" s="206" t="s">
        <v>67</v>
      </c>
      <c r="I34" s="206" t="s">
        <v>68</v>
      </c>
      <c r="J34" s="211" t="s">
        <v>69</v>
      </c>
      <c r="K34" s="211" t="s">
        <v>70</v>
      </c>
      <c r="L34" s="211" t="s">
        <v>71</v>
      </c>
      <c r="M34" s="211" t="s">
        <v>72</v>
      </c>
      <c r="N34" s="211" t="s">
        <v>73</v>
      </c>
      <c r="O34" s="211" t="s">
        <v>74</v>
      </c>
      <c r="P34" s="211" t="s">
        <v>75</v>
      </c>
      <c r="Q34" s="220" t="s">
        <v>76</v>
      </c>
      <c r="R34" s="221" t="s">
        <v>33</v>
      </c>
      <c r="S34" s="211" t="s">
        <v>54</v>
      </c>
      <c r="T34" s="211" t="s">
        <v>55</v>
      </c>
      <c r="U34" s="222" t="s">
        <v>62</v>
      </c>
      <c r="V34" s="152"/>
    </row>
    <row r="35" spans="3:23" x14ac:dyDescent="0.2">
      <c r="C35" s="216" t="str">
        <f>IF('High Frequency Battery Chargers'!D8="","",'High Frequency Battery Chargers'!D8)</f>
        <v/>
      </c>
      <c r="D35" s="209">
        <f>'High Frequency Battery Chargers'!E8</f>
        <v>0</v>
      </c>
      <c r="E35" s="209">
        <v>35</v>
      </c>
      <c r="F35" s="203">
        <v>0.8</v>
      </c>
      <c r="G35" s="217">
        <f>IF(D35=0,0,VLOOKUP(D35,'Lookup Table'!$D$51:$E$54,2,FALSE))</f>
        <v>0</v>
      </c>
      <c r="H35" s="209" t="e">
        <f>VLOOKUP('High Frequency Battery Chargers'!F8,'Lookup Table'!$D$60:$E$63,2,FALSE)</f>
        <v>#N/A</v>
      </c>
      <c r="I35" s="209" t="e">
        <f>VLOOKUP('High Frequency Battery Chargers'!F8,'Lookup Table'!$D$60:$F$63,3,FALSE)</f>
        <v>#N/A</v>
      </c>
      <c r="J35" s="209">
        <f>'Lookup Table'!$E$67</f>
        <v>1.1499999999999999</v>
      </c>
      <c r="K35" s="209">
        <f>'Lookup Table'!$E$68</f>
        <v>0.92</v>
      </c>
      <c r="L35" s="209" t="e">
        <f>VLOOKUP('High Frequency Battery Chargers'!F8,'Lookup Table'!$D$60:$G$63,4,FALSE)</f>
        <v>#N/A</v>
      </c>
      <c r="M35" s="209">
        <f>'Lookup Table'!$E$69</f>
        <v>0.96</v>
      </c>
      <c r="N35" s="209">
        <v>48</v>
      </c>
      <c r="O35" s="209">
        <v>81</v>
      </c>
      <c r="P35" s="209">
        <v>1000</v>
      </c>
      <c r="Q35" s="209">
        <f>IF(D35='Lookup Table'!$D$51,0,IF(Calculations!D35='Lookup Table'!$D$52,0,1))</f>
        <v>1</v>
      </c>
      <c r="R35" s="209" t="str">
        <f>IF(C35="","",ROUND((E35*F35)*G35*((H35/I35)-(J35/K35))*C35,2))</f>
        <v/>
      </c>
      <c r="S35" s="209" t="str">
        <f>IF(C35="","",ROUND(((L35/I35)-(M35/K35))*N35*(O35/P35)*Q35*C35,4))</f>
        <v/>
      </c>
      <c r="T35" s="209" t="str">
        <f>IF(C35="","",ROUND(((L35/I35)-(M35/K35))*N35*(O35/P35)*Q35*C35,4))</f>
        <v/>
      </c>
      <c r="U35" s="218" t="str">
        <f t="shared" ref="U35:U44" si="7">IFERROR(ROUND(AVERAGE(S35:T35),4)," ")</f>
        <v xml:space="preserve"> </v>
      </c>
      <c r="V35" s="155"/>
      <c r="W35" s="155"/>
    </row>
    <row r="36" spans="3:23" x14ac:dyDescent="0.2">
      <c r="C36" s="138" t="str">
        <f>IF('High Frequency Battery Chargers'!D9="","",'High Frequency Battery Chargers'!D9)</f>
        <v/>
      </c>
      <c r="D36" s="139">
        <f>'High Frequency Battery Chargers'!E9</f>
        <v>0</v>
      </c>
      <c r="E36" s="139">
        <v>35</v>
      </c>
      <c r="F36" s="149">
        <v>0.8</v>
      </c>
      <c r="G36" s="154">
        <f>IF(D36=0,0,VLOOKUP(D36,'Lookup Table'!$D$51:$E$54,2,FALSE))</f>
        <v>0</v>
      </c>
      <c r="H36" s="139" t="e">
        <f>VLOOKUP('High Frequency Battery Chargers'!F9,'Lookup Table'!$D$60:$E$63,2,FALSE)</f>
        <v>#N/A</v>
      </c>
      <c r="I36" s="209" t="e">
        <f>VLOOKUP('High Frequency Battery Chargers'!F9,'Lookup Table'!$D$60:$F$63,3,FALSE)</f>
        <v>#N/A</v>
      </c>
      <c r="J36" s="139">
        <f>'Lookup Table'!$E$67</f>
        <v>1.1499999999999999</v>
      </c>
      <c r="K36" s="139">
        <f>'Lookup Table'!$E$68</f>
        <v>0.92</v>
      </c>
      <c r="L36" s="139" t="e">
        <f>VLOOKUP('High Frequency Battery Chargers'!F9,'Lookup Table'!$D$60:$G$63,4,FALSE)</f>
        <v>#N/A</v>
      </c>
      <c r="M36" s="139">
        <f>'Lookup Table'!$E$69</f>
        <v>0.96</v>
      </c>
      <c r="N36" s="139">
        <v>48</v>
      </c>
      <c r="O36" s="139">
        <v>81</v>
      </c>
      <c r="P36" s="139">
        <v>1000</v>
      </c>
      <c r="Q36" s="139">
        <f>IF(D36='Lookup Table'!$D$51,0,IF(Calculations!D36='Lookup Table'!$D$52,0,1))</f>
        <v>1</v>
      </c>
      <c r="R36" s="139" t="str">
        <f t="shared" ref="R36:R44" si="8">IF(C36="","",ROUND((E36*F36)*G36*((H36/I36)-(J36/K36))*C36,2))</f>
        <v/>
      </c>
      <c r="S36" s="139" t="str">
        <f t="shared" ref="S36:S44" si="9">IF(C36="","",ROUND(((L36/I36)-(M36/K36))*N36*(O36/P36)*Q36*C36,4))</f>
        <v/>
      </c>
      <c r="T36" s="139" t="str">
        <f t="shared" ref="T36:T44" si="10">IF(C36="","",ROUND(((L36/I36)-(M36/K36))*N36*(O36/P36)*Q36*C36,4))</f>
        <v/>
      </c>
      <c r="U36" s="140" t="str">
        <f t="shared" si="7"/>
        <v xml:space="preserve"> </v>
      </c>
      <c r="V36" s="155"/>
      <c r="W36" s="155"/>
    </row>
    <row r="37" spans="3:23" x14ac:dyDescent="0.2">
      <c r="C37" s="138" t="str">
        <f>IF('High Frequency Battery Chargers'!D10="","",'High Frequency Battery Chargers'!D10)</f>
        <v/>
      </c>
      <c r="D37" s="139">
        <f>'High Frequency Battery Chargers'!E10</f>
        <v>0</v>
      </c>
      <c r="E37" s="139">
        <v>35</v>
      </c>
      <c r="F37" s="149">
        <v>0.8</v>
      </c>
      <c r="G37" s="154">
        <f>IF(D37=0,0,VLOOKUP(D37,'Lookup Table'!$D$51:$E$54,2,FALSE))</f>
        <v>0</v>
      </c>
      <c r="H37" s="139" t="e">
        <f>VLOOKUP('High Frequency Battery Chargers'!F10,'Lookup Table'!$D$60:$E$63,2,FALSE)</f>
        <v>#N/A</v>
      </c>
      <c r="I37" s="209" t="e">
        <f>VLOOKUP('High Frequency Battery Chargers'!F10,'Lookup Table'!$D$60:$F$63,3,FALSE)</f>
        <v>#N/A</v>
      </c>
      <c r="J37" s="139">
        <f>'Lookup Table'!$E$67</f>
        <v>1.1499999999999999</v>
      </c>
      <c r="K37" s="139">
        <f>'Lookup Table'!$E$68</f>
        <v>0.92</v>
      </c>
      <c r="L37" s="139" t="e">
        <f>VLOOKUP('High Frequency Battery Chargers'!F10,'Lookup Table'!$D$60:$G$63,4,FALSE)</f>
        <v>#N/A</v>
      </c>
      <c r="M37" s="139">
        <f>'Lookup Table'!$E$69</f>
        <v>0.96</v>
      </c>
      <c r="N37" s="139">
        <v>48</v>
      </c>
      <c r="O37" s="139">
        <v>81</v>
      </c>
      <c r="P37" s="139">
        <v>1000</v>
      </c>
      <c r="Q37" s="139">
        <f>IF(D37='Lookup Table'!$D$51,0,IF(Calculations!D37='Lookup Table'!$D$52,0,1))</f>
        <v>1</v>
      </c>
      <c r="R37" s="139" t="str">
        <f t="shared" si="8"/>
        <v/>
      </c>
      <c r="S37" s="139" t="str">
        <f t="shared" si="9"/>
        <v/>
      </c>
      <c r="T37" s="139" t="str">
        <f t="shared" si="10"/>
        <v/>
      </c>
      <c r="U37" s="140" t="str">
        <f t="shared" si="7"/>
        <v xml:space="preserve"> </v>
      </c>
      <c r="V37" s="155"/>
    </row>
    <row r="38" spans="3:23" x14ac:dyDescent="0.2">
      <c r="C38" s="138" t="str">
        <f>IF('High Frequency Battery Chargers'!D11="","",'High Frequency Battery Chargers'!D11)</f>
        <v/>
      </c>
      <c r="D38" s="139">
        <f>'High Frequency Battery Chargers'!E11</f>
        <v>0</v>
      </c>
      <c r="E38" s="139">
        <v>35</v>
      </c>
      <c r="F38" s="149">
        <v>0.8</v>
      </c>
      <c r="G38" s="154">
        <f>IF(D38=0,0,VLOOKUP(D38,'Lookup Table'!$D$51:$E$54,2,FALSE))</f>
        <v>0</v>
      </c>
      <c r="H38" s="139" t="e">
        <f>VLOOKUP('High Frequency Battery Chargers'!F11,'Lookup Table'!$D$60:$E$63,2,FALSE)</f>
        <v>#N/A</v>
      </c>
      <c r="I38" s="209" t="e">
        <f>VLOOKUP('High Frequency Battery Chargers'!F11,'Lookup Table'!$D$60:$F$63,3,FALSE)</f>
        <v>#N/A</v>
      </c>
      <c r="J38" s="139">
        <f>'Lookup Table'!$E$67</f>
        <v>1.1499999999999999</v>
      </c>
      <c r="K38" s="139">
        <f>'Lookup Table'!$E$68</f>
        <v>0.92</v>
      </c>
      <c r="L38" s="139" t="e">
        <f>VLOOKUP('High Frequency Battery Chargers'!F11,'Lookup Table'!$D$60:$G$63,4,FALSE)</f>
        <v>#N/A</v>
      </c>
      <c r="M38" s="139">
        <f>'Lookup Table'!$E$69</f>
        <v>0.96</v>
      </c>
      <c r="N38" s="139">
        <v>48</v>
      </c>
      <c r="O38" s="139">
        <v>81</v>
      </c>
      <c r="P38" s="139">
        <v>1000</v>
      </c>
      <c r="Q38" s="139">
        <f>IF(D38='Lookup Table'!$D$51,0,IF(Calculations!D38='Lookup Table'!$D$52,0,1))</f>
        <v>1</v>
      </c>
      <c r="R38" s="139" t="str">
        <f t="shared" si="8"/>
        <v/>
      </c>
      <c r="S38" s="139" t="str">
        <f t="shared" si="9"/>
        <v/>
      </c>
      <c r="T38" s="139" t="str">
        <f t="shared" si="10"/>
        <v/>
      </c>
      <c r="U38" s="140" t="str">
        <f t="shared" si="7"/>
        <v xml:space="preserve"> </v>
      </c>
      <c r="V38" s="155"/>
    </row>
    <row r="39" spans="3:23" x14ac:dyDescent="0.2">
      <c r="C39" s="138" t="str">
        <f>IF('High Frequency Battery Chargers'!D12="","",'High Frequency Battery Chargers'!D12)</f>
        <v/>
      </c>
      <c r="D39" s="139">
        <f>'High Frequency Battery Chargers'!E12</f>
        <v>0</v>
      </c>
      <c r="E39" s="139">
        <v>35</v>
      </c>
      <c r="F39" s="149">
        <v>0.8</v>
      </c>
      <c r="G39" s="154">
        <f>IF(D39=0,0,VLOOKUP(D39,'Lookup Table'!$D$51:$E$54,2,FALSE))</f>
        <v>0</v>
      </c>
      <c r="H39" s="139" t="e">
        <f>VLOOKUP('High Frequency Battery Chargers'!F12,'Lookup Table'!$D$60:$E$63,2,FALSE)</f>
        <v>#N/A</v>
      </c>
      <c r="I39" s="209" t="e">
        <f>VLOOKUP('High Frequency Battery Chargers'!F12,'Lookup Table'!$D$60:$F$63,3,FALSE)</f>
        <v>#N/A</v>
      </c>
      <c r="J39" s="139">
        <f>'Lookup Table'!$E$67</f>
        <v>1.1499999999999999</v>
      </c>
      <c r="K39" s="139">
        <f>'Lookup Table'!$E$68</f>
        <v>0.92</v>
      </c>
      <c r="L39" s="139" t="e">
        <f>VLOOKUP('High Frequency Battery Chargers'!F12,'Lookup Table'!$D$60:$G$63,4,FALSE)</f>
        <v>#N/A</v>
      </c>
      <c r="M39" s="139">
        <f>'Lookup Table'!$E$69</f>
        <v>0.96</v>
      </c>
      <c r="N39" s="139">
        <v>48</v>
      </c>
      <c r="O39" s="139">
        <v>81</v>
      </c>
      <c r="P39" s="139">
        <v>1000</v>
      </c>
      <c r="Q39" s="139">
        <f>IF(D39='Lookup Table'!$D$51,0,IF(Calculations!D39='Lookup Table'!$D$52,0,1))</f>
        <v>1</v>
      </c>
      <c r="R39" s="139" t="str">
        <f t="shared" si="8"/>
        <v/>
      </c>
      <c r="S39" s="139" t="str">
        <f>IF(C39="","",ROUND(((L39/I39)-(M39/K39))*N39*(O39/P39)*Q39*C39,4))</f>
        <v/>
      </c>
      <c r="T39" s="139" t="str">
        <f t="shared" si="10"/>
        <v/>
      </c>
      <c r="U39" s="140" t="str">
        <f t="shared" si="7"/>
        <v xml:space="preserve"> </v>
      </c>
      <c r="V39" s="155"/>
    </row>
    <row r="40" spans="3:23" x14ac:dyDescent="0.2">
      <c r="C40" s="138" t="str">
        <f>IF('High Frequency Battery Chargers'!D13="","",'High Frequency Battery Chargers'!D13)</f>
        <v/>
      </c>
      <c r="D40" s="139">
        <f>'High Frequency Battery Chargers'!E13</f>
        <v>0</v>
      </c>
      <c r="E40" s="139">
        <v>35</v>
      </c>
      <c r="F40" s="149">
        <v>0.8</v>
      </c>
      <c r="G40" s="154">
        <f>IF(D40=0,0,VLOOKUP(D40,'Lookup Table'!$D$51:$E$54,2,FALSE))</f>
        <v>0</v>
      </c>
      <c r="H40" s="139" t="e">
        <f>VLOOKUP('High Frequency Battery Chargers'!F13,'Lookup Table'!$D$60:$E$63,2,FALSE)</f>
        <v>#N/A</v>
      </c>
      <c r="I40" s="209" t="e">
        <f>VLOOKUP('High Frequency Battery Chargers'!F13,'Lookup Table'!$D$60:$F$63,3,FALSE)</f>
        <v>#N/A</v>
      </c>
      <c r="J40" s="139">
        <f>'Lookup Table'!$E$67</f>
        <v>1.1499999999999999</v>
      </c>
      <c r="K40" s="139">
        <f>'Lookup Table'!$E$68</f>
        <v>0.92</v>
      </c>
      <c r="L40" s="139" t="e">
        <f>VLOOKUP('High Frequency Battery Chargers'!F13,'Lookup Table'!$D$60:$G$63,4,FALSE)</f>
        <v>#N/A</v>
      </c>
      <c r="M40" s="139">
        <f>'Lookup Table'!$E$69</f>
        <v>0.96</v>
      </c>
      <c r="N40" s="139">
        <v>48</v>
      </c>
      <c r="O40" s="139">
        <v>81</v>
      </c>
      <c r="P40" s="139">
        <v>1000</v>
      </c>
      <c r="Q40" s="139">
        <f>IF(D40='Lookup Table'!$D$51,0,IF(Calculations!D40='Lookup Table'!$D$52,0,1))</f>
        <v>1</v>
      </c>
      <c r="R40" s="139" t="str">
        <f t="shared" si="8"/>
        <v/>
      </c>
      <c r="S40" s="139" t="str">
        <f t="shared" si="9"/>
        <v/>
      </c>
      <c r="T40" s="139" t="str">
        <f t="shared" si="10"/>
        <v/>
      </c>
      <c r="U40" s="140" t="str">
        <f t="shared" si="7"/>
        <v xml:space="preserve"> </v>
      </c>
      <c r="V40" s="155"/>
    </row>
    <row r="41" spans="3:23" x14ac:dyDescent="0.2">
      <c r="C41" s="138" t="str">
        <f>IF('High Frequency Battery Chargers'!D14="","",'High Frequency Battery Chargers'!D14)</f>
        <v/>
      </c>
      <c r="D41" s="139">
        <f>'High Frequency Battery Chargers'!E14</f>
        <v>0</v>
      </c>
      <c r="E41" s="139">
        <v>35</v>
      </c>
      <c r="F41" s="149">
        <v>0.8</v>
      </c>
      <c r="G41" s="154">
        <f>IF(D41=0,0,VLOOKUP(D41,'Lookup Table'!$D$51:$E$54,2,FALSE))</f>
        <v>0</v>
      </c>
      <c r="H41" s="139" t="e">
        <f>VLOOKUP('High Frequency Battery Chargers'!F14,'Lookup Table'!$D$60:$E$63,2,FALSE)</f>
        <v>#N/A</v>
      </c>
      <c r="I41" s="209" t="e">
        <f>VLOOKUP('High Frequency Battery Chargers'!F14,'Lookup Table'!$D$60:$F$63,3,FALSE)</f>
        <v>#N/A</v>
      </c>
      <c r="J41" s="139">
        <f>'Lookup Table'!$E$67</f>
        <v>1.1499999999999999</v>
      </c>
      <c r="K41" s="139">
        <f>'Lookup Table'!$E$68</f>
        <v>0.92</v>
      </c>
      <c r="L41" s="139" t="e">
        <f>VLOOKUP('High Frequency Battery Chargers'!F14,'Lookup Table'!$D$60:$G$63,4,FALSE)</f>
        <v>#N/A</v>
      </c>
      <c r="M41" s="139">
        <f>'Lookup Table'!$E$69</f>
        <v>0.96</v>
      </c>
      <c r="N41" s="139">
        <v>48</v>
      </c>
      <c r="O41" s="139">
        <v>81</v>
      </c>
      <c r="P41" s="139">
        <v>1000</v>
      </c>
      <c r="Q41" s="139">
        <f>IF(D41='Lookup Table'!$D$51,0,IF(Calculations!D41='Lookup Table'!$D$52,0,1))</f>
        <v>1</v>
      </c>
      <c r="R41" s="139" t="str">
        <f t="shared" si="8"/>
        <v/>
      </c>
      <c r="S41" s="139" t="str">
        <f t="shared" si="9"/>
        <v/>
      </c>
      <c r="T41" s="139" t="str">
        <f t="shared" si="10"/>
        <v/>
      </c>
      <c r="U41" s="140" t="str">
        <f t="shared" si="7"/>
        <v xml:space="preserve"> </v>
      </c>
      <c r="V41" s="155"/>
    </row>
    <row r="42" spans="3:23" x14ac:dyDescent="0.2">
      <c r="C42" s="138" t="str">
        <f>IF('High Frequency Battery Chargers'!D15="","",'High Frequency Battery Chargers'!D15)</f>
        <v/>
      </c>
      <c r="D42" s="139">
        <f>'High Frequency Battery Chargers'!E15</f>
        <v>0</v>
      </c>
      <c r="E42" s="139">
        <v>35</v>
      </c>
      <c r="F42" s="149">
        <v>0.8</v>
      </c>
      <c r="G42" s="154">
        <f>IF(D42=0,0,VLOOKUP(D42,'Lookup Table'!$D$51:$E$54,2,FALSE))</f>
        <v>0</v>
      </c>
      <c r="H42" s="139" t="e">
        <f>VLOOKUP('High Frequency Battery Chargers'!F15,'Lookup Table'!$D$60:$E$63,2,FALSE)</f>
        <v>#N/A</v>
      </c>
      <c r="I42" s="209" t="e">
        <f>VLOOKUP('High Frequency Battery Chargers'!F15,'Lookup Table'!$D$60:$F$63,3,FALSE)</f>
        <v>#N/A</v>
      </c>
      <c r="J42" s="139">
        <f>'Lookup Table'!$E$67</f>
        <v>1.1499999999999999</v>
      </c>
      <c r="K42" s="139">
        <f>'Lookup Table'!$E$68</f>
        <v>0.92</v>
      </c>
      <c r="L42" s="139" t="e">
        <f>VLOOKUP('High Frequency Battery Chargers'!F15,'Lookup Table'!$D$60:$G$63,4,FALSE)</f>
        <v>#N/A</v>
      </c>
      <c r="M42" s="139">
        <f>'Lookup Table'!$E$69</f>
        <v>0.96</v>
      </c>
      <c r="N42" s="139">
        <v>48</v>
      </c>
      <c r="O42" s="139">
        <v>81</v>
      </c>
      <c r="P42" s="139">
        <v>1000</v>
      </c>
      <c r="Q42" s="139">
        <f>IF(D42='Lookup Table'!$D$51,0,IF(Calculations!D42='Lookup Table'!$D$52,0,1))</f>
        <v>1</v>
      </c>
      <c r="R42" s="139" t="str">
        <f t="shared" si="8"/>
        <v/>
      </c>
      <c r="S42" s="139" t="str">
        <f t="shared" si="9"/>
        <v/>
      </c>
      <c r="T42" s="139" t="str">
        <f t="shared" si="10"/>
        <v/>
      </c>
      <c r="U42" s="140" t="str">
        <f t="shared" si="7"/>
        <v xml:space="preserve"> </v>
      </c>
      <c r="V42" s="155"/>
    </row>
    <row r="43" spans="3:23" x14ac:dyDescent="0.2">
      <c r="C43" s="138" t="str">
        <f>IF('High Frequency Battery Chargers'!D16="","",'High Frequency Battery Chargers'!D16)</f>
        <v/>
      </c>
      <c r="D43" s="139">
        <f>'High Frequency Battery Chargers'!E16</f>
        <v>0</v>
      </c>
      <c r="E43" s="139">
        <v>35</v>
      </c>
      <c r="F43" s="149">
        <v>0.8</v>
      </c>
      <c r="G43" s="154">
        <f>IF(D43=0,0,VLOOKUP(D43,'Lookup Table'!$D$51:$E$54,2,FALSE))</f>
        <v>0</v>
      </c>
      <c r="H43" s="139" t="e">
        <f>VLOOKUP('High Frequency Battery Chargers'!F16,'Lookup Table'!$D$60:$E$63,2,FALSE)</f>
        <v>#N/A</v>
      </c>
      <c r="I43" s="209" t="e">
        <f>VLOOKUP('High Frequency Battery Chargers'!F16,'Lookup Table'!$D$60:$F$63,3,FALSE)</f>
        <v>#N/A</v>
      </c>
      <c r="J43" s="139">
        <f>'Lookup Table'!$E$67</f>
        <v>1.1499999999999999</v>
      </c>
      <c r="K43" s="139">
        <f>'Lookup Table'!$E$68</f>
        <v>0.92</v>
      </c>
      <c r="L43" s="139" t="e">
        <f>VLOOKUP('High Frequency Battery Chargers'!F16,'Lookup Table'!$D$60:$G$63,4,FALSE)</f>
        <v>#N/A</v>
      </c>
      <c r="M43" s="139">
        <f>'Lookup Table'!$E$69</f>
        <v>0.96</v>
      </c>
      <c r="N43" s="139">
        <v>48</v>
      </c>
      <c r="O43" s="139">
        <v>81</v>
      </c>
      <c r="P43" s="139">
        <v>1000</v>
      </c>
      <c r="Q43" s="139">
        <f>IF(D43='Lookup Table'!$D$51,0,IF(Calculations!D43='Lookup Table'!$D$52,0,1))</f>
        <v>1</v>
      </c>
      <c r="R43" s="139" t="str">
        <f t="shared" si="8"/>
        <v/>
      </c>
      <c r="S43" s="139" t="str">
        <f t="shared" si="9"/>
        <v/>
      </c>
      <c r="T43" s="139" t="str">
        <f t="shared" si="10"/>
        <v/>
      </c>
      <c r="U43" s="140" t="str">
        <f t="shared" si="7"/>
        <v xml:space="preserve"> </v>
      </c>
      <c r="V43" s="155"/>
    </row>
    <row r="44" spans="3:23" ht="15" thickBot="1" x14ac:dyDescent="0.25">
      <c r="C44" s="141" t="str">
        <f>IF('High Frequency Battery Chargers'!D17="","",'High Frequency Battery Chargers'!D17)</f>
        <v/>
      </c>
      <c r="D44" s="142">
        <f>'High Frequency Battery Chargers'!E17</f>
        <v>0</v>
      </c>
      <c r="E44" s="142">
        <v>35</v>
      </c>
      <c r="F44" s="150">
        <v>0.8</v>
      </c>
      <c r="G44" s="156">
        <f>IF(D44=0,0,VLOOKUP(D44,'Lookup Table'!$D$51:$E$54,2,FALSE))</f>
        <v>0</v>
      </c>
      <c r="H44" s="142" t="e">
        <f>VLOOKUP('High Frequency Battery Chargers'!F17,'Lookup Table'!$D$60:$E$63,2,FALSE)</f>
        <v>#N/A</v>
      </c>
      <c r="I44" s="209" t="e">
        <f>VLOOKUP('High Frequency Battery Chargers'!F17,'Lookup Table'!$D$60:$F$63,3,FALSE)</f>
        <v>#N/A</v>
      </c>
      <c r="J44" s="142">
        <f>'Lookup Table'!$E$67</f>
        <v>1.1499999999999999</v>
      </c>
      <c r="K44" s="142">
        <f>'Lookup Table'!$E$68</f>
        <v>0.92</v>
      </c>
      <c r="L44" s="142" t="e">
        <f>VLOOKUP('High Frequency Battery Chargers'!F17,'Lookup Table'!$D$60:$G$63,4,FALSE)</f>
        <v>#N/A</v>
      </c>
      <c r="M44" s="142">
        <f>'Lookup Table'!$E$69</f>
        <v>0.96</v>
      </c>
      <c r="N44" s="142">
        <v>48</v>
      </c>
      <c r="O44" s="142">
        <v>81</v>
      </c>
      <c r="P44" s="142">
        <v>1000</v>
      </c>
      <c r="Q44" s="142">
        <f>IF(D44='Lookup Table'!$D$51,0,IF(Calculations!D44='Lookup Table'!$D$52,0,1))</f>
        <v>1</v>
      </c>
      <c r="R44" s="142" t="str">
        <f t="shared" si="8"/>
        <v/>
      </c>
      <c r="S44" s="142" t="str">
        <f t="shared" si="9"/>
        <v/>
      </c>
      <c r="T44" s="142" t="str">
        <f t="shared" si="10"/>
        <v/>
      </c>
      <c r="U44" s="215" t="str">
        <f t="shared" si="7"/>
        <v xml:space="preserve"> </v>
      </c>
      <c r="V44" s="155"/>
    </row>
  </sheetData>
  <sheetProtection algorithmName="SHA-512" hashValue="BEyUppysE9MZ5v6fR2A40ZuWA9GcLpRACodrzPw/TCZYmeHGqnZvqMwbsryLAYqU0bbiuwKgh6vtcnJm8P3kjw==" saltValue="+Um9vWnrMVD/OvL+O7SL/Q==" spinCount="100000" sheet="1" objects="1" scenarios="1"/>
  <mergeCells count="4">
    <mergeCell ref="C5:M5"/>
    <mergeCell ref="C31:M31"/>
    <mergeCell ref="C19:I19"/>
    <mergeCell ref="C33:M33"/>
  </mergeCells>
  <phoneticPr fontId="74"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E47B-3AB1-4A0B-89D6-BCB8ED3D7603}">
  <sheetPr codeName="Sheet1">
    <tabColor rgb="FF001489"/>
  </sheetPr>
  <dimension ref="A1:M23"/>
  <sheetViews>
    <sheetView tabSelected="1" zoomScaleNormal="100" workbookViewId="0">
      <selection activeCell="C7" sqref="C7:D7"/>
    </sheetView>
  </sheetViews>
  <sheetFormatPr defaultColWidth="8.625" defaultRowHeight="14.25" x14ac:dyDescent="0.2"/>
  <cols>
    <col min="1" max="1" width="3.625" style="66" customWidth="1"/>
    <col min="2" max="2" width="31.625" style="66" customWidth="1"/>
    <col min="3" max="3" width="18.125" style="66" customWidth="1"/>
    <col min="4" max="4" width="20.875" style="66" customWidth="1"/>
    <col min="5" max="5" width="17.625" style="66" customWidth="1"/>
    <col min="6" max="6" width="16.625" style="66" customWidth="1"/>
    <col min="7" max="7" width="12" style="66" hidden="1" customWidth="1"/>
    <col min="8" max="8" width="11.625" style="66" bestFit="1" customWidth="1"/>
    <col min="9" max="9" width="9.625" style="66" bestFit="1" customWidth="1"/>
    <col min="10" max="16384" width="8.625" style="66"/>
  </cols>
  <sheetData>
    <row r="1" spans="1:13" x14ac:dyDescent="0.2">
      <c r="A1" s="65"/>
      <c r="G1" s="385" t="s">
        <v>91</v>
      </c>
      <c r="H1" s="82" t="s">
        <v>77</v>
      </c>
      <c r="I1" s="171">
        <f>'Version Log'!I6</f>
        <v>5</v>
      </c>
    </row>
    <row r="2" spans="1:13" x14ac:dyDescent="0.2">
      <c r="G2" s="385"/>
      <c r="H2" s="82" t="s">
        <v>78</v>
      </c>
      <c r="I2" s="83">
        <f>'Version Log'!I7</f>
        <v>46174</v>
      </c>
    </row>
    <row r="3" spans="1:13" ht="34.5" customHeight="1" x14ac:dyDescent="0.35">
      <c r="B3" s="445" t="s">
        <v>6</v>
      </c>
      <c r="C3" s="445"/>
      <c r="D3" s="445"/>
      <c r="E3" s="194"/>
      <c r="F3" s="194"/>
      <c r="G3" s="385"/>
    </row>
    <row r="4" spans="1:13" ht="29.1" customHeight="1" x14ac:dyDescent="0.2">
      <c r="B4" s="446" t="s">
        <v>79</v>
      </c>
      <c r="C4" s="446"/>
      <c r="D4" s="446"/>
      <c r="E4" s="195"/>
      <c r="F4" s="195"/>
    </row>
    <row r="5" spans="1:13" ht="9" customHeight="1" thickBot="1" x14ac:dyDescent="0.3">
      <c r="B5" s="67"/>
      <c r="C5" s="67"/>
    </row>
    <row r="6" spans="1:13" s="68" customFormat="1" ht="22.35" customHeight="1" x14ac:dyDescent="0.2">
      <c r="B6" s="411" t="s">
        <v>17</v>
      </c>
      <c r="C6" s="447"/>
      <c r="D6" s="448"/>
      <c r="K6" s="66"/>
      <c r="L6" s="66"/>
      <c r="M6" s="66"/>
    </row>
    <row r="7" spans="1:13" s="68" customFormat="1" ht="22.35" customHeight="1" x14ac:dyDescent="0.2">
      <c r="B7" s="412" t="s">
        <v>19</v>
      </c>
      <c r="C7" s="449"/>
      <c r="D7" s="450"/>
      <c r="K7" s="66"/>
      <c r="L7" s="66"/>
      <c r="M7" s="66"/>
    </row>
    <row r="8" spans="1:13" s="68" customFormat="1" ht="22.35" customHeight="1" x14ac:dyDescent="0.2">
      <c r="B8" s="412" t="s">
        <v>21</v>
      </c>
      <c r="C8" s="442"/>
      <c r="D8" s="443"/>
      <c r="K8" s="66"/>
      <c r="L8" s="66"/>
      <c r="M8" s="66"/>
    </row>
    <row r="9" spans="1:13" s="68" customFormat="1" ht="22.35" customHeight="1" x14ac:dyDescent="0.2">
      <c r="B9" s="412" t="s">
        <v>23</v>
      </c>
      <c r="C9" s="444"/>
      <c r="D9" s="443"/>
    </row>
    <row r="10" spans="1:13" s="68" customFormat="1" ht="22.35" customHeight="1" x14ac:dyDescent="0.2">
      <c r="B10" s="412" t="s">
        <v>80</v>
      </c>
      <c r="C10" s="444"/>
      <c r="D10" s="453"/>
      <c r="E10" s="1"/>
      <c r="F10" s="1"/>
      <c r="G10" s="1"/>
    </row>
    <row r="11" spans="1:13" s="68" customFormat="1" ht="22.35" customHeight="1" x14ac:dyDescent="0.2">
      <c r="B11" s="412" t="s">
        <v>25</v>
      </c>
      <c r="C11" s="451"/>
      <c r="D11" s="452"/>
    </row>
    <row r="12" spans="1:13" s="68" customFormat="1" ht="22.35" customHeight="1" x14ac:dyDescent="0.2">
      <c r="B12" s="412" t="s">
        <v>27</v>
      </c>
      <c r="C12" s="449"/>
      <c r="D12" s="450"/>
    </row>
    <row r="13" spans="1:13" s="68" customFormat="1" ht="22.35" customHeight="1" thickBot="1" x14ac:dyDescent="0.25">
      <c r="B13" s="413" t="s">
        <v>29</v>
      </c>
      <c r="C13" s="440"/>
      <c r="D13" s="441"/>
    </row>
    <row r="14" spans="1:13" s="68" customFormat="1" ht="22.35" customHeight="1" thickBot="1" x14ac:dyDescent="0.25">
      <c r="B14" s="72"/>
      <c r="C14" s="73"/>
      <c r="D14" s="72"/>
      <c r="E14" s="72"/>
      <c r="F14" s="72"/>
    </row>
    <row r="15" spans="1:13" s="68" customFormat="1" ht="36.6" customHeight="1" thickBot="1" x14ac:dyDescent="0.25">
      <c r="B15" s="414" t="s">
        <v>81</v>
      </c>
      <c r="C15" s="419" t="s">
        <v>31</v>
      </c>
      <c r="D15" s="420" t="s">
        <v>82</v>
      </c>
      <c r="E15" s="421" t="s">
        <v>83</v>
      </c>
      <c r="F15" s="420" t="s">
        <v>84</v>
      </c>
      <c r="G15" s="422" t="s">
        <v>85</v>
      </c>
      <c r="H15" s="423" t="s">
        <v>36</v>
      </c>
    </row>
    <row r="16" spans="1:13" s="68" customFormat="1" ht="21.75" customHeight="1" x14ac:dyDescent="0.2">
      <c r="B16" s="415" t="s">
        <v>86</v>
      </c>
      <c r="C16" s="370">
        <f>SUM('High Efficiency Transformer'!H8:H17)</f>
        <v>0</v>
      </c>
      <c r="D16" s="375">
        <f>SUM('High Efficiency Transformer'!I8:I17)</f>
        <v>0</v>
      </c>
      <c r="E16" s="375">
        <f>SUM('High Efficiency Transformer'!J8:J17)</f>
        <v>0</v>
      </c>
      <c r="F16" s="375">
        <f>AVERAGE(D16,E16)</f>
        <v>0</v>
      </c>
      <c r="G16" s="376">
        <f>SUM('High Efficiency Transformer'!L8:L17)</f>
        <v>0</v>
      </c>
      <c r="H16" s="377">
        <f>SUM('High Efficiency Transformer'!M8:M17)</f>
        <v>0</v>
      </c>
    </row>
    <row r="17" spans="2:8" s="68" customFormat="1" ht="21.75" hidden="1" customHeight="1" x14ac:dyDescent="0.2">
      <c r="B17" s="416" t="s">
        <v>87</v>
      </c>
      <c r="C17" s="371">
        <f>SUM('Engine Block Heat Timer'!E8:E17)</f>
        <v>0</v>
      </c>
      <c r="D17" s="373">
        <f>SUM('Engine Block Heat Timer'!F8:F17)</f>
        <v>0</v>
      </c>
      <c r="E17" s="373">
        <f>SUM('Engine Block Heat Timer'!G8:G17)</f>
        <v>0</v>
      </c>
      <c r="F17" s="373">
        <f>AVERAGE(D17,E17)</f>
        <v>0</v>
      </c>
      <c r="G17" s="378">
        <f>SUM('Engine Block Heat Timer'!I8:I17)</f>
        <v>0</v>
      </c>
      <c r="H17" s="345">
        <f>SUM('Engine Block Heat Timer'!J8:J17)</f>
        <v>0</v>
      </c>
    </row>
    <row r="18" spans="2:8" s="68" customFormat="1" ht="21.75" customHeight="1" x14ac:dyDescent="0.2">
      <c r="B18" s="416" t="s">
        <v>88</v>
      </c>
      <c r="C18" s="371">
        <f>SUM('High Frequency Battery Chargers'!G8:G17)</f>
        <v>0</v>
      </c>
      <c r="D18" s="373">
        <f>SUM('High Frequency Battery Chargers'!H8:H17)</f>
        <v>0</v>
      </c>
      <c r="E18" s="373">
        <f>SUM('High Frequency Battery Chargers'!I8:I17)</f>
        <v>0</v>
      </c>
      <c r="F18" s="373">
        <f>AVERAGE(D18,E18)</f>
        <v>0</v>
      </c>
      <c r="G18" s="378">
        <f>SUM('High Frequency Battery Chargers'!K8:K17)</f>
        <v>0</v>
      </c>
      <c r="H18" s="345">
        <f>SUM('High Frequency Battery Chargers'!L8:L17)</f>
        <v>0</v>
      </c>
    </row>
    <row r="19" spans="2:8" s="68" customFormat="1" ht="22.35" hidden="1" customHeight="1" thickBot="1" x14ac:dyDescent="0.25">
      <c r="B19" s="417" t="s">
        <v>89</v>
      </c>
      <c r="C19" s="372">
        <f>SUM(UPS!L8:L17)</f>
        <v>0</v>
      </c>
      <c r="D19" s="374">
        <f>SUM(UPS!M8:M17)</f>
        <v>0</v>
      </c>
      <c r="E19" s="374">
        <f>SUM(UPS!N8:N17)</f>
        <v>0</v>
      </c>
      <c r="F19" s="374">
        <f>SUM(UPS!O8:O17)</f>
        <v>0</v>
      </c>
      <c r="G19" s="369">
        <f>SUM(UPS!P8:P17)</f>
        <v>0</v>
      </c>
      <c r="H19" s="346">
        <f>SUM(UPS!Q8:Q17)</f>
        <v>0</v>
      </c>
    </row>
    <row r="20" spans="2:8" s="68" customFormat="1" ht="22.35" customHeight="1" thickBot="1" x14ac:dyDescent="0.25">
      <c r="B20" s="418" t="s">
        <v>90</v>
      </c>
      <c r="C20" s="424">
        <f>SUM(C16:C18)</f>
        <v>0</v>
      </c>
      <c r="D20" s="425">
        <f>SUM(D16:D18)</f>
        <v>0</v>
      </c>
      <c r="E20" s="426">
        <f>SUM(E16:E18)</f>
        <v>0</v>
      </c>
      <c r="F20" s="426">
        <f>SUM(F16:F18)</f>
        <v>0</v>
      </c>
      <c r="G20" s="427">
        <f>SUM(G16:G18)</f>
        <v>0</v>
      </c>
      <c r="H20" s="428">
        <f>MIN(C11*0.5,G20,500000)</f>
        <v>0</v>
      </c>
    </row>
    <row r="21" spans="2:8" s="68" customFormat="1" ht="22.35" customHeight="1" x14ac:dyDescent="0.2">
      <c r="B21" s="72"/>
      <c r="C21" s="73"/>
      <c r="D21" s="72"/>
      <c r="E21" s="72"/>
      <c r="F21" s="72"/>
    </row>
    <row r="22" spans="2:8" ht="9" customHeight="1" x14ac:dyDescent="0.2"/>
    <row r="23" spans="2:8" x14ac:dyDescent="0.2">
      <c r="B23" s="74"/>
    </row>
  </sheetData>
  <sheetProtection algorithmName="SHA-512" hashValue="eU6AqKDukehVtu1Tm35wMqhe6ikhhUMDdYigyw9SbXfQSPSKhhuCpRV9gFTegNAH7yhXEuBCRf89LQsP1Xs8pw==" saltValue="VmHnw6db43tfXGISuYNPzQ==" spinCount="100000" sheet="1" formatColumns="0"/>
  <protectedRanges>
    <protectedRange sqref="C6:D13" name="Summary Inputs"/>
  </protectedRanges>
  <mergeCells count="10">
    <mergeCell ref="C13:D13"/>
    <mergeCell ref="C8:D8"/>
    <mergeCell ref="C9:D9"/>
    <mergeCell ref="B3:D3"/>
    <mergeCell ref="B4:D4"/>
    <mergeCell ref="C6:D6"/>
    <mergeCell ref="C7:D7"/>
    <mergeCell ref="C11:D11"/>
    <mergeCell ref="C12:D12"/>
    <mergeCell ref="C10:D10"/>
  </mergeCells>
  <pageMargins left="0.5" right="0.5" top="0.5" bottom="0.5" header="0.3" footer="0.3"/>
  <pageSetup orientation="portrait" r:id="rId1"/>
  <ignoredErrors>
    <ignoredError sqref="C17:C18"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A1406B27-070A-49CF-A34D-CE9BC8D8FE91}">
          <x14:formula1>
            <xm:f>'Lookup Table'!$B$3:$B$11</xm:f>
          </x14:formula1>
          <xm:sqref>C12:F12</xm:sqref>
        </x14:dataValidation>
        <x14:dataValidation type="list" allowBlank="1" showInputMessage="1" showErrorMessage="1" xr:uid="{BAE05AC9-5982-400C-B4F3-A59B7822AD07}">
          <x14:formula1>
            <xm:f>'Lookup Table'!$D$3:$D$16</xm:f>
          </x14:formula1>
          <xm:sqref>C13:F13</xm:sqref>
        </x14:dataValidation>
        <x14:dataValidation type="list" allowBlank="1" showInputMessage="1" showErrorMessage="1" xr:uid="{E36FDFD4-F24E-47FE-8B5D-B19ABCBDBB27}">
          <x14:formula1>
            <xm:f>'Lookup Table'!$F$13:$F$14</xm:f>
          </x14:formula1>
          <xm:sqref>C10:D10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3834-F8EF-4AC0-A841-F8E0261BBCB6}">
  <sheetPr codeName="Sheet3">
    <tabColor theme="8" tint="0.59999389629810485"/>
  </sheetPr>
  <dimension ref="A1:M24"/>
  <sheetViews>
    <sheetView zoomScaleNormal="100" workbookViewId="0">
      <selection activeCell="I24" sqref="I24"/>
    </sheetView>
  </sheetViews>
  <sheetFormatPr defaultColWidth="8.625" defaultRowHeight="14.25" x14ac:dyDescent="0.2"/>
  <cols>
    <col min="1" max="1" width="3.625" style="66" customWidth="1"/>
    <col min="2" max="2" width="6.25" style="66" customWidth="1"/>
    <col min="3" max="3" width="8" style="66" customWidth="1"/>
    <col min="4" max="4" width="17.25" style="66" customWidth="1"/>
    <col min="5" max="5" width="10.875" style="66" customWidth="1"/>
    <col min="6" max="6" width="8.375" style="66" customWidth="1"/>
    <col min="7" max="7" width="15" style="66" customWidth="1"/>
    <col min="8" max="8" width="10.5" style="66" customWidth="1"/>
    <col min="9" max="9" width="12.875" style="66" customWidth="1"/>
    <col min="10" max="10" width="11.75" style="66" customWidth="1"/>
    <col min="11" max="11" width="12.5" style="66" customWidth="1"/>
    <col min="12" max="12" width="18.625" style="66" hidden="1" customWidth="1"/>
    <col min="13" max="13" width="12.125" style="66" customWidth="1"/>
    <col min="14" max="14" width="4.875" style="66" customWidth="1"/>
    <col min="15" max="16384" width="8.625" style="66"/>
  </cols>
  <sheetData>
    <row r="1" spans="1:13" x14ac:dyDescent="0.2">
      <c r="A1" s="65"/>
      <c r="L1" s="385" t="s">
        <v>91</v>
      </c>
    </row>
    <row r="2" spans="1:13" ht="9.75" customHeight="1" x14ac:dyDescent="0.2">
      <c r="L2" s="385"/>
    </row>
    <row r="3" spans="1:13" ht="34.5" customHeight="1" x14ac:dyDescent="0.35">
      <c r="B3" s="436" t="s">
        <v>92</v>
      </c>
      <c r="C3" s="436"/>
      <c r="D3" s="436"/>
      <c r="E3" s="436"/>
      <c r="F3" s="436"/>
      <c r="G3" s="437"/>
      <c r="H3" s="437"/>
      <c r="I3" s="437"/>
      <c r="L3" s="385"/>
    </row>
    <row r="4" spans="1:13" ht="29.1" customHeight="1" x14ac:dyDescent="0.2">
      <c r="B4" s="486" t="s">
        <v>79</v>
      </c>
      <c r="C4" s="486"/>
      <c r="D4" s="486"/>
      <c r="E4" s="486"/>
      <c r="F4" s="486"/>
      <c r="G4" s="486"/>
      <c r="H4" s="486"/>
      <c r="I4" s="486"/>
      <c r="J4" s="195"/>
      <c r="K4" s="195"/>
    </row>
    <row r="5" spans="1:13" ht="9" customHeight="1" thickBot="1" x14ac:dyDescent="0.3">
      <c r="B5" s="67"/>
      <c r="C5" s="67"/>
      <c r="L5" s="201"/>
    </row>
    <row r="6" spans="1:13" s="68" customFormat="1" ht="24.75" customHeight="1" x14ac:dyDescent="0.2">
      <c r="B6" s="492" t="s">
        <v>93</v>
      </c>
      <c r="C6" s="483" t="s">
        <v>94</v>
      </c>
      <c r="D6" s="484"/>
      <c r="E6" s="484"/>
      <c r="F6" s="484"/>
      <c r="G6" s="485"/>
      <c r="H6" s="489" t="s">
        <v>95</v>
      </c>
      <c r="I6" s="490"/>
      <c r="J6" s="490"/>
      <c r="K6" s="491"/>
      <c r="L6" s="487" t="s">
        <v>85</v>
      </c>
      <c r="M6" s="481" t="s">
        <v>96</v>
      </c>
    </row>
    <row r="7" spans="1:13" s="68" customFormat="1" ht="45.6" customHeight="1" thickBot="1" x14ac:dyDescent="0.25">
      <c r="B7" s="493"/>
      <c r="C7" s="430" t="s">
        <v>97</v>
      </c>
      <c r="D7" s="431" t="s">
        <v>98</v>
      </c>
      <c r="E7" s="431" t="s">
        <v>99</v>
      </c>
      <c r="F7" s="431" t="s">
        <v>48</v>
      </c>
      <c r="G7" s="432" t="s">
        <v>100</v>
      </c>
      <c r="H7" s="433" t="s">
        <v>31</v>
      </c>
      <c r="I7" s="434" t="s">
        <v>101</v>
      </c>
      <c r="J7" s="434" t="s">
        <v>102</v>
      </c>
      <c r="K7" s="435" t="s">
        <v>103</v>
      </c>
      <c r="L7" s="488"/>
      <c r="M7" s="482"/>
    </row>
    <row r="8" spans="1:13" s="68" customFormat="1" ht="22.35" customHeight="1" x14ac:dyDescent="0.2">
      <c r="B8" s="69">
        <v>1</v>
      </c>
      <c r="C8" s="339"/>
      <c r="D8" s="45"/>
      <c r="E8" s="340"/>
      <c r="F8" s="340"/>
      <c r="G8" s="262"/>
      <c r="H8" s="361" t="str">
        <f>IFERROR(IF(Calculations!L7&lt;0,"Not Eligible", ROUND(E8*Calculations!L7,2)),"")</f>
        <v/>
      </c>
      <c r="I8" s="362" t="str">
        <f>IFERROR(Calculations!M7,"")</f>
        <v/>
      </c>
      <c r="J8" s="363" t="str">
        <f>IFERROR(Calculations!N7,"")</f>
        <v/>
      </c>
      <c r="K8" s="364" t="str">
        <f>IFERROR(ROUND(AVERAGE(I8:J8),4),"")</f>
        <v/>
      </c>
      <c r="L8" s="341" t="str">
        <f>IFERROR(IF('Lookup Table'!$F$13='Project Summary'!$C$10, ROUND(H8*'Lookup Table'!$G$8+AVERAGE(I8,J8)*'Lookup Table'!$G$9,2),ROUND(H8*'Lookup Table'!$H$8+AVERAGE(I8,J8)*'Lookup Table'!$H$9,2)),"")</f>
        <v/>
      </c>
      <c r="M8" s="344" t="str">
        <f>IFERROR(IF(OR(Calculations!L7&lt;0,Calculations!O7&lt;0 ), 0,L8*'Project Summary'!$H$20/'Project Summary'!$G$20),"")</f>
        <v/>
      </c>
    </row>
    <row r="9" spans="1:13" s="68" customFormat="1" ht="22.35" customHeight="1" x14ac:dyDescent="0.2">
      <c r="B9" s="70">
        <v>2</v>
      </c>
      <c r="C9" s="57"/>
      <c r="D9" s="45"/>
      <c r="E9" s="75"/>
      <c r="F9" s="75"/>
      <c r="G9" s="262"/>
      <c r="H9" s="365" t="str">
        <f>IFERROR(IF(Calculations!L8&lt;0,"Not Eligible", ROUND(E9*Calculations!L8,2)),"")</f>
        <v/>
      </c>
      <c r="I9" s="316" t="str">
        <f>IFERROR(Calculations!M8,"")</f>
        <v/>
      </c>
      <c r="J9" s="317" t="str">
        <f>IFERROR(Calculations!N8,"")</f>
        <v/>
      </c>
      <c r="K9" s="318" t="str">
        <f t="shared" ref="K9:K17" si="0">IFERROR(ROUND(AVERAGE(I9:J9),4),"")</f>
        <v/>
      </c>
      <c r="L9" s="341" t="str">
        <f>IFERROR(IF('Lookup Table'!$F$13='Project Summary'!$C$10, ROUND(H9*'Lookup Table'!$G$8+AVERAGE(I9,J9)*'Lookup Table'!$G$9,2),ROUND(H9*'Lookup Table'!$H$8+AVERAGE(I9,J9)*'Lookup Table'!$H$9,2)),"")</f>
        <v/>
      </c>
      <c r="M9" s="345" t="str">
        <f>IFERROR(IF(OR(Calculations!L8&lt;0,Calculations!O8&lt;0 ), 0,L9*'Project Summary'!$H$20/'Project Summary'!$G$20),"")</f>
        <v/>
      </c>
    </row>
    <row r="10" spans="1:13" s="68" customFormat="1" ht="22.35" customHeight="1" x14ac:dyDescent="0.2">
      <c r="B10" s="70">
        <v>3</v>
      </c>
      <c r="C10" s="57"/>
      <c r="D10" s="45"/>
      <c r="E10" s="75"/>
      <c r="F10" s="75"/>
      <c r="G10" s="262"/>
      <c r="H10" s="365" t="str">
        <f>IFERROR(IF(Calculations!L9&lt;0,"Not Eligible", ROUND(E10*Calculations!L9,2)),"")</f>
        <v/>
      </c>
      <c r="I10" s="316" t="str">
        <f>IFERROR(Calculations!M9,"")</f>
        <v/>
      </c>
      <c r="J10" s="317" t="str">
        <f>IFERROR(Calculations!N9,"")</f>
        <v/>
      </c>
      <c r="K10" s="318" t="str">
        <f t="shared" si="0"/>
        <v/>
      </c>
      <c r="L10" s="341" t="str">
        <f>IFERROR(IF('Lookup Table'!$F$13='Project Summary'!$C$10, ROUND(H10*'Lookup Table'!$G$8+AVERAGE(I10,J10)*'Lookup Table'!$G$9,2),ROUND(H10*'Lookup Table'!$H$8+AVERAGE(I10,J10)*'Lookup Table'!$H$9,2)),"")</f>
        <v/>
      </c>
      <c r="M10" s="345" t="str">
        <f>IFERROR(IF(OR(Calculations!L9&lt;0,Calculations!O9&lt;0 ), 0,L10*'Project Summary'!$H$20/'Project Summary'!$G$20),"")</f>
        <v/>
      </c>
    </row>
    <row r="11" spans="1:13" s="68" customFormat="1" ht="22.35" customHeight="1" x14ac:dyDescent="0.2">
      <c r="B11" s="70">
        <v>4</v>
      </c>
      <c r="C11" s="58"/>
      <c r="D11" s="45"/>
      <c r="E11" s="75"/>
      <c r="F11" s="75"/>
      <c r="G11" s="262"/>
      <c r="H11" s="365" t="str">
        <f>IFERROR(IF(Calculations!L10&lt;0,"Not Eligible", ROUND(E11*Calculations!L10,2)),"")</f>
        <v/>
      </c>
      <c r="I11" s="316" t="str">
        <f>IFERROR(Calculations!M10,"")</f>
        <v/>
      </c>
      <c r="J11" s="317" t="str">
        <f>IFERROR(Calculations!N10,"")</f>
        <v/>
      </c>
      <c r="K11" s="318" t="str">
        <f t="shared" si="0"/>
        <v/>
      </c>
      <c r="L11" s="341" t="str">
        <f>IFERROR(IF('Lookup Table'!$F$13='Project Summary'!$C$10, ROUND(H11*'Lookup Table'!$G$8+AVERAGE(I11,J11)*'Lookup Table'!$G$9,2),ROUND(H11*'Lookup Table'!$H$8+AVERAGE(I11,J11)*'Lookup Table'!$H$9,2)),"")</f>
        <v/>
      </c>
      <c r="M11" s="345" t="str">
        <f>IFERROR(IF(OR(Calculations!L10&lt;0,Calculations!O10&lt;0 ), 0,L11*'Project Summary'!$H$20/'Project Summary'!$G$20),"")</f>
        <v/>
      </c>
    </row>
    <row r="12" spans="1:13" s="68" customFormat="1" ht="22.35" customHeight="1" x14ac:dyDescent="0.2">
      <c r="B12" s="70">
        <v>5</v>
      </c>
      <c r="C12" s="58"/>
      <c r="D12" s="45"/>
      <c r="E12" s="75"/>
      <c r="F12" s="75"/>
      <c r="G12" s="262"/>
      <c r="H12" s="365" t="str">
        <f>IFERROR(IF(Calculations!L11&lt;0,"Not Eligible", ROUND(E12*Calculations!L11,2)),"")</f>
        <v/>
      </c>
      <c r="I12" s="316" t="str">
        <f>IFERROR(Calculations!M11,"")</f>
        <v/>
      </c>
      <c r="J12" s="317" t="str">
        <f>IFERROR(Calculations!N11,"")</f>
        <v/>
      </c>
      <c r="K12" s="318" t="str">
        <f t="shared" si="0"/>
        <v/>
      </c>
      <c r="L12" s="341" t="str">
        <f>IFERROR(IF('Lookup Table'!$F$13='Project Summary'!$C$10, ROUND(H12*'Lookup Table'!$G$8+AVERAGE(I12,J12)*'Lookup Table'!$G$9,2),ROUND(H12*'Lookup Table'!$H$8+AVERAGE(I12,J12)*'Lookup Table'!$H$9,2)),"")</f>
        <v/>
      </c>
      <c r="M12" s="345" t="str">
        <f>IFERROR(IF(OR(Calculations!L11&lt;0,Calculations!O11&lt;0 ), 0,L12*'Project Summary'!$H$20/'Project Summary'!$G$20),"")</f>
        <v/>
      </c>
    </row>
    <row r="13" spans="1:13" s="68" customFormat="1" ht="22.35" customHeight="1" x14ac:dyDescent="0.2">
      <c r="B13" s="70">
        <v>6</v>
      </c>
      <c r="C13" s="58"/>
      <c r="D13" s="45"/>
      <c r="E13" s="75"/>
      <c r="F13" s="75"/>
      <c r="G13" s="262"/>
      <c r="H13" s="365" t="str">
        <f>IFERROR(IF(Calculations!L12&lt;0,"Not Eligible", ROUND(E13*Calculations!L12,2)),"")</f>
        <v/>
      </c>
      <c r="I13" s="316" t="str">
        <f>IFERROR(Calculations!M12,"")</f>
        <v/>
      </c>
      <c r="J13" s="317" t="str">
        <f>IFERROR(Calculations!N12,"")</f>
        <v/>
      </c>
      <c r="K13" s="318" t="str">
        <f t="shared" si="0"/>
        <v/>
      </c>
      <c r="L13" s="341" t="str">
        <f>IFERROR(IF('Lookup Table'!$F$13='Project Summary'!$C$10, ROUND(H13*'Lookup Table'!$G$8+AVERAGE(I13,J13)*'Lookup Table'!$G$9,2),ROUND(H13*'Lookup Table'!$H$8+AVERAGE(I13,J13)*'Lookup Table'!$H$9,2)),"")</f>
        <v/>
      </c>
      <c r="M13" s="345" t="str">
        <f>IFERROR(IF(OR(Calculations!L12&lt;0,Calculations!O12&lt;0 ), 0,L13*'Project Summary'!$H$20/'Project Summary'!$G$20),"")</f>
        <v/>
      </c>
    </row>
    <row r="14" spans="1:13" s="68" customFormat="1" ht="22.35" customHeight="1" x14ac:dyDescent="0.2">
      <c r="B14" s="70">
        <v>7</v>
      </c>
      <c r="C14" s="58"/>
      <c r="D14" s="45"/>
      <c r="E14" s="75"/>
      <c r="F14" s="75"/>
      <c r="G14" s="262"/>
      <c r="H14" s="365" t="str">
        <f>IFERROR(IF(Calculations!L13&lt;0,"Not Eligible", ROUND(E14*Calculations!L13,2)),"")</f>
        <v/>
      </c>
      <c r="I14" s="316" t="str">
        <f>IFERROR(Calculations!M13,"")</f>
        <v/>
      </c>
      <c r="J14" s="317" t="str">
        <f>IFERROR(Calculations!N13,"")</f>
        <v/>
      </c>
      <c r="K14" s="318" t="str">
        <f t="shared" si="0"/>
        <v/>
      </c>
      <c r="L14" s="341" t="str">
        <f>IFERROR(IF('Lookup Table'!$F$13='Project Summary'!$C$10, ROUND(H14*'Lookup Table'!$G$8+AVERAGE(I14,J14)*'Lookup Table'!$G$9,2),ROUND(H14*'Lookup Table'!$H$8+AVERAGE(I14,J14)*'Lookup Table'!$H$9,2)),"")</f>
        <v/>
      </c>
      <c r="M14" s="345" t="str">
        <f>IFERROR(IF(OR(Calculations!L13&lt;0,Calculations!O13&lt;0 ), 0,L14*'Project Summary'!$H$20/'Project Summary'!$G$20),"")</f>
        <v/>
      </c>
    </row>
    <row r="15" spans="1:13" s="68" customFormat="1" ht="22.35" customHeight="1" x14ac:dyDescent="0.2">
      <c r="B15" s="70">
        <v>8</v>
      </c>
      <c r="C15" s="58"/>
      <c r="D15" s="45"/>
      <c r="E15" s="75"/>
      <c r="F15" s="75"/>
      <c r="G15" s="262"/>
      <c r="H15" s="365" t="str">
        <f>IFERROR(IF(Calculations!L14&lt;0,"Not Eligible", ROUND(E15*Calculations!L14,2)),"")</f>
        <v/>
      </c>
      <c r="I15" s="316" t="str">
        <f>IFERROR(Calculations!M14,"")</f>
        <v/>
      </c>
      <c r="J15" s="317" t="str">
        <f>IFERROR(Calculations!N14,"")</f>
        <v/>
      </c>
      <c r="K15" s="318" t="str">
        <f t="shared" si="0"/>
        <v/>
      </c>
      <c r="L15" s="341" t="str">
        <f>IFERROR(IF('Lookup Table'!$F$13='Project Summary'!$C$10, ROUND(H15*'Lookup Table'!$G$8+AVERAGE(I15,J15)*'Lookup Table'!$G$9,2),ROUND(H15*'Lookup Table'!$H$8+AVERAGE(I15,J15)*'Lookup Table'!$H$9,2)),"")</f>
        <v/>
      </c>
      <c r="M15" s="345" t="str">
        <f>IFERROR(IF(OR(Calculations!L14&lt;0,Calculations!O14&lt;0 ), 0,L15*'Project Summary'!$H$20/'Project Summary'!$G$20),"")</f>
        <v/>
      </c>
    </row>
    <row r="16" spans="1:13" s="68" customFormat="1" ht="21.75" customHeight="1" x14ac:dyDescent="0.2">
      <c r="B16" s="70">
        <v>9</v>
      </c>
      <c r="C16" s="57"/>
      <c r="D16" s="45"/>
      <c r="E16" s="75"/>
      <c r="F16" s="75"/>
      <c r="G16" s="262"/>
      <c r="H16" s="365" t="str">
        <f>IFERROR(IF(Calculations!L15&lt;0,"Not Eligible", ROUND(E16*Calculations!L15,2)),"")</f>
        <v/>
      </c>
      <c r="I16" s="316" t="str">
        <f>IFERROR(Calculations!M15,"")</f>
        <v/>
      </c>
      <c r="J16" s="317" t="str">
        <f>IFERROR(Calculations!N15,"")</f>
        <v/>
      </c>
      <c r="K16" s="318" t="str">
        <f t="shared" si="0"/>
        <v/>
      </c>
      <c r="L16" s="342" t="str">
        <f>IFERROR(IF('Lookup Table'!$F$13='Project Summary'!$C$10, ROUND(H16*'Lookup Table'!$G$8+AVERAGE(I16,J16)*'Lookup Table'!$G$9,2),ROUND(H16*'Lookup Table'!$H$8+AVERAGE(I16,J16)*'Lookup Table'!$H$9,2)),"")</f>
        <v/>
      </c>
      <c r="M16" s="345" t="str">
        <f>IFERROR(IF(OR(Calculations!L15&lt;0,Calculations!O15&lt;0 ), 0,L16*'Project Summary'!$H$20/'Project Summary'!$G$20),"")</f>
        <v/>
      </c>
    </row>
    <row r="17" spans="2:13" s="68" customFormat="1" ht="21.75" customHeight="1" thickBot="1" x14ac:dyDescent="0.25">
      <c r="B17" s="71">
        <v>10</v>
      </c>
      <c r="C17" s="59"/>
      <c r="D17" s="263"/>
      <c r="E17" s="264"/>
      <c r="F17" s="264"/>
      <c r="G17" s="265"/>
      <c r="H17" s="366" t="str">
        <f>IFERROR(IF(Calculations!L16&lt;0,"Not Eligible", ROUND(E17*Calculations!L16,2)),"")</f>
        <v/>
      </c>
      <c r="I17" s="367" t="str">
        <f>IFERROR(Calculations!M16,"")</f>
        <v/>
      </c>
      <c r="J17" s="368" t="str">
        <f>IFERROR(Calculations!N16,"")</f>
        <v/>
      </c>
      <c r="K17" s="319" t="str">
        <f t="shared" si="0"/>
        <v/>
      </c>
      <c r="L17" s="343" t="str">
        <f>IFERROR(IF('Lookup Table'!$F$13='Project Summary'!$C$10, ROUND(H17*'Lookup Table'!$G$8+AVERAGE(I17,J17)*'Lookup Table'!$G$9,2),ROUND(H17*'Lookup Table'!$H$8+AVERAGE(I17,J17)*'Lookup Table'!$H$9,2)),"")</f>
        <v/>
      </c>
      <c r="M17" s="346" t="str">
        <f>IFERROR(IF(OR(Calculations!L16&lt;0,Calculations!O16&lt;0 ), 0,L17*'Project Summary'!$H$20/'Project Summary'!$G$20),"")</f>
        <v/>
      </c>
    </row>
    <row r="18" spans="2:13" s="68" customFormat="1" ht="22.35" customHeight="1" x14ac:dyDescent="0.2">
      <c r="B18" s="72"/>
      <c r="C18" s="73"/>
      <c r="D18" s="72"/>
    </row>
    <row r="19" spans="2:13" s="68" customFormat="1" ht="22.35" customHeight="1" x14ac:dyDescent="0.2">
      <c r="B19" s="72"/>
      <c r="C19" s="73"/>
      <c r="D19" s="72"/>
    </row>
    <row r="20" spans="2:13" ht="9" customHeight="1" x14ac:dyDescent="0.2"/>
    <row r="21" spans="2:13" x14ac:dyDescent="0.2">
      <c r="B21" s="74"/>
    </row>
    <row r="24" spans="2:13" x14ac:dyDescent="0.2">
      <c r="F24" s="66" t="s">
        <v>104</v>
      </c>
    </row>
  </sheetData>
  <sheetProtection algorithmName="SHA-512" hashValue="BQfmQB+LJbeQ10PMd/me9hguBmYMHt4kzO35e/0Fx8ikAOw4aMiuxE9pYMyz2d7jHtrvFbr4fL/7L9zLk8+13g==" saltValue="WwKxdtVSpftZ9iUOZjq4IA==" spinCount="100000" sheet="1" formatColumns="0"/>
  <protectedRanges>
    <protectedRange sqref="C8:G17" name="Inputs"/>
  </protectedRanges>
  <mergeCells count="6">
    <mergeCell ref="M6:M7"/>
    <mergeCell ref="C6:G6"/>
    <mergeCell ref="B4:I4"/>
    <mergeCell ref="L6:L7"/>
    <mergeCell ref="H6:K6"/>
    <mergeCell ref="B6:B7"/>
  </mergeCells>
  <dataValidations count="1">
    <dataValidation type="whole" operator="greaterThan" allowBlank="1" showInputMessage="1" showErrorMessage="1" error="Must be a whole number" sqref="E8:E17" xr:uid="{90BAF0B6-A5D5-4DF9-ABF1-F07881AB54F3}">
      <formula1>0</formula1>
    </dataValidation>
  </dataValidations>
  <pageMargins left="0.5" right="0.5" top="0.5" bottom="0.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99D2154-42FB-4D20-8954-18E2BBC61A95}">
          <x14:formula1>
            <xm:f>'Lookup Table'!$H$3:$H$4</xm:f>
          </x14:formula1>
          <xm:sqref>D8:D17</xm:sqref>
        </x14:dataValidation>
        <x14:dataValidation type="list" allowBlank="1" showInputMessage="1" showErrorMessage="1" xr:uid="{8712EA85-B212-4D7D-8F49-FA76C8EDB8EF}">
          <x14:formula1>
            <xm:f>IF($D8='Lookup Table'!$H$3,'Lookup Table'!$D$22:$D$30,'Lookup Table'!$F$22:$F$32)</xm:f>
          </x14:formula1>
          <xm:sqref>F8:F17</xm:sqref>
        </x14:dataValidation>
        <x14:dataValidation type="custom" allowBlank="1" showInputMessage="1" showErrorMessage="1" error="Proposed transformer efficiency is less than the assumed baseline. Please correct efficiency or remove transformer from tool_x000a_" prompt="Transformer efficiency must be greater than the assumed baseline efficiency" xr:uid="{24C5AFDD-4C5E-4D0B-8D80-D7B0A02773D0}">
          <x14:formula1>
            <xm:f>IF(D8='Lookup Table'!$D$20, IF(INDEX('Lookup Table'!$E$22:$E$30, MATCH(F8,'Lookup Table'!$D$22:$D$30,0))&gt;=G8, "Not Eligible", G8), IF(INDEX('Lookup Table'!$G$22:$G$32, MATCH(F8,'Lookup Table'!$F$22:$F$32,0))&gt;=G8, "Not Eligible", G8))</xm:f>
          </x14:formula1>
          <xm:sqref>G8:G17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BB9F7-B4E0-44FE-A4B0-82353F06056B}">
  <sheetPr codeName="Sheet4">
    <tabColor theme="8" tint="0.59999389629810485"/>
  </sheetPr>
  <dimension ref="A1:P21"/>
  <sheetViews>
    <sheetView zoomScale="80" zoomScaleNormal="80" workbookViewId="0">
      <selection activeCell="D12" sqref="D12"/>
    </sheetView>
  </sheetViews>
  <sheetFormatPr defaultColWidth="8.625" defaultRowHeight="14.25" x14ac:dyDescent="0.2"/>
  <cols>
    <col min="1" max="1" width="3.625" style="66" customWidth="1"/>
    <col min="2" max="2" width="6.125" style="66" customWidth="1"/>
    <col min="3" max="3" width="8.625" style="66" customWidth="1"/>
    <col min="4" max="4" width="18.125" style="66" customWidth="1"/>
    <col min="5" max="5" width="10" style="66" customWidth="1"/>
    <col min="6" max="6" width="12.875" style="66" customWidth="1"/>
    <col min="7" max="7" width="12.625" style="66" customWidth="1"/>
    <col min="8" max="8" width="12.75" style="66" customWidth="1"/>
    <col min="9" max="9" width="18.625" style="66" hidden="1" customWidth="1"/>
    <col min="10" max="10" width="11.125" style="66" customWidth="1"/>
    <col min="11" max="11" width="5.625" style="66" customWidth="1"/>
    <col min="12" max="16384" width="8.625" style="66"/>
  </cols>
  <sheetData>
    <row r="1" spans="1:16" x14ac:dyDescent="0.2">
      <c r="A1" s="65"/>
      <c r="I1" s="385" t="s">
        <v>91</v>
      </c>
    </row>
    <row r="2" spans="1:16" ht="9.75" customHeight="1" x14ac:dyDescent="0.2">
      <c r="I2" s="385"/>
    </row>
    <row r="3" spans="1:16" ht="34.5" customHeight="1" x14ac:dyDescent="0.35">
      <c r="B3" s="360" t="s">
        <v>57</v>
      </c>
      <c r="C3" s="162"/>
      <c r="D3" s="162"/>
      <c r="I3" s="385"/>
    </row>
    <row r="4" spans="1:16" ht="46.5" customHeight="1" x14ac:dyDescent="0.2">
      <c r="B4" s="446" t="s">
        <v>79</v>
      </c>
      <c r="C4" s="446"/>
      <c r="D4" s="446"/>
      <c r="E4" s="446"/>
      <c r="F4" s="446"/>
      <c r="G4" s="446"/>
      <c r="H4" s="446"/>
      <c r="I4" s="446"/>
      <c r="J4" s="446"/>
      <c r="K4" s="193"/>
      <c r="L4" s="193"/>
      <c r="M4" s="193"/>
      <c r="N4" s="193"/>
      <c r="O4" s="193"/>
      <c r="P4" s="193"/>
    </row>
    <row r="5" spans="1:16" ht="9" customHeight="1" thickBot="1" x14ac:dyDescent="0.3">
      <c r="B5" s="67"/>
      <c r="C5" s="67"/>
      <c r="D5" s="67"/>
      <c r="I5" s="201"/>
    </row>
    <row r="6" spans="1:16" s="68" customFormat="1" ht="22.35" customHeight="1" x14ac:dyDescent="0.2">
      <c r="B6" s="503" t="s">
        <v>93</v>
      </c>
      <c r="C6" s="496" t="s">
        <v>94</v>
      </c>
      <c r="D6" s="497"/>
      <c r="E6" s="500" t="s">
        <v>95</v>
      </c>
      <c r="F6" s="501"/>
      <c r="G6" s="501"/>
      <c r="H6" s="502"/>
      <c r="I6" s="498" t="s">
        <v>85</v>
      </c>
      <c r="J6" s="494" t="s">
        <v>96</v>
      </c>
    </row>
    <row r="7" spans="1:16" s="76" customFormat="1" ht="45" customHeight="1" thickBot="1" x14ac:dyDescent="0.25">
      <c r="B7" s="504"/>
      <c r="C7" s="289" t="s">
        <v>97</v>
      </c>
      <c r="D7" s="291" t="s">
        <v>99</v>
      </c>
      <c r="E7" s="357" t="s">
        <v>31</v>
      </c>
      <c r="F7" s="358" t="s">
        <v>101</v>
      </c>
      <c r="G7" s="358" t="s">
        <v>102</v>
      </c>
      <c r="H7" s="359" t="s">
        <v>103</v>
      </c>
      <c r="I7" s="499"/>
      <c r="J7" s="495"/>
    </row>
    <row r="8" spans="1:16" s="68" customFormat="1" ht="21.75" customHeight="1" thickBot="1" x14ac:dyDescent="0.25">
      <c r="B8" s="261">
        <v>1</v>
      </c>
      <c r="C8" s="349"/>
      <c r="D8" s="350"/>
      <c r="E8" s="266" t="str">
        <f>IFERROR(ROUND(Calculations!H21,2),"")</f>
        <v/>
      </c>
      <c r="F8" s="267" t="str">
        <f>IFERROR(Calculations!I21,"")</f>
        <v/>
      </c>
      <c r="G8" s="230" t="str">
        <f>IFERROR(Calculations!J21,"")</f>
        <v/>
      </c>
      <c r="H8" s="231" t="str">
        <f>IFERROR(AVERAGE(F8:G8),"")</f>
        <v/>
      </c>
      <c r="I8" s="347" t="str">
        <f>IFERROR(IF('Lookup Table'!$F$13='Project Summary'!$C$10, ROUND(E8*'Lookup Table'!$G$8+AVERAGE(F8,G8)*'Lookup Table'!$G$9,2), ROUND(E8*'Lookup Table'!$H$8+AVERAGE(F8,G8)*'Lookup Table'!$H$9,2)),"")</f>
        <v/>
      </c>
      <c r="J8" s="348" t="str">
        <f>IFERROR(I8*'Project Summary'!$H$20/'Project Summary'!$G$20,"")</f>
        <v/>
      </c>
    </row>
    <row r="9" spans="1:16" s="68" customFormat="1" ht="21.75" customHeight="1" x14ac:dyDescent="0.2">
      <c r="B9" s="77"/>
      <c r="C9" s="77"/>
      <c r="D9" s="77"/>
    </row>
    <row r="10" spans="1:16" s="68" customFormat="1" ht="21.75" customHeight="1" x14ac:dyDescent="0.2">
      <c r="B10" s="77"/>
      <c r="C10" s="77"/>
      <c r="D10" s="77"/>
    </row>
    <row r="11" spans="1:16" s="68" customFormat="1" ht="21.75" customHeight="1" x14ac:dyDescent="0.2">
      <c r="B11" s="77"/>
      <c r="C11" s="77"/>
      <c r="D11" s="77"/>
    </row>
    <row r="12" spans="1:16" s="68" customFormat="1" ht="21.75" customHeight="1" x14ac:dyDescent="0.2">
      <c r="B12" s="77"/>
      <c r="C12" s="77"/>
      <c r="D12" s="77"/>
    </row>
    <row r="13" spans="1:16" s="68" customFormat="1" ht="21.75" customHeight="1" x14ac:dyDescent="0.2">
      <c r="B13" s="77"/>
      <c r="C13" s="77"/>
      <c r="D13" s="77"/>
    </row>
    <row r="14" spans="1:16" s="68" customFormat="1" ht="21.75" customHeight="1" x14ac:dyDescent="0.2">
      <c r="B14" s="77"/>
      <c r="C14" s="77"/>
      <c r="D14" s="77"/>
    </row>
    <row r="15" spans="1:16" s="68" customFormat="1" ht="21.75" customHeight="1" x14ac:dyDescent="0.2">
      <c r="B15" s="77"/>
      <c r="C15" s="77"/>
      <c r="D15" s="77"/>
    </row>
    <row r="16" spans="1:16" s="68" customFormat="1" ht="21.75" customHeight="1" x14ac:dyDescent="0.2">
      <c r="B16" s="77"/>
      <c r="C16" s="77"/>
      <c r="D16" s="77"/>
    </row>
    <row r="17" spans="2:4" s="68" customFormat="1" ht="21.75" customHeight="1" x14ac:dyDescent="0.2">
      <c r="B17" s="77"/>
      <c r="C17" s="77"/>
      <c r="D17" s="77"/>
    </row>
    <row r="18" spans="2:4" s="68" customFormat="1" ht="22.35" customHeight="1" x14ac:dyDescent="0.2">
      <c r="B18" s="77"/>
      <c r="C18" s="77"/>
      <c r="D18" s="77"/>
    </row>
    <row r="19" spans="2:4" s="68" customFormat="1" ht="22.35" customHeight="1" x14ac:dyDescent="0.2">
      <c r="B19" s="77"/>
      <c r="C19" s="77"/>
      <c r="D19" s="77"/>
    </row>
    <row r="20" spans="2:4" ht="9" customHeight="1" x14ac:dyDescent="0.2"/>
    <row r="21" spans="2:4" x14ac:dyDescent="0.2">
      <c r="B21" s="74"/>
    </row>
  </sheetData>
  <sheetProtection algorithmName="SHA-512" hashValue="Vs+zt8xG0pUpND5p9LCfWmAGnjVb3d7CruuPAP4rsmBSpk9qbV8Lb/HHci7rsM4dnrxEPOf+/NcBDaCDNP2wYQ==" saltValue="KqQqIlAm3NrE2i4BXDcH+A==" spinCount="100000" sheet="1" formatColumns="0"/>
  <protectedRanges>
    <protectedRange sqref="C8:D8" name="Inputs"/>
  </protectedRanges>
  <mergeCells count="6">
    <mergeCell ref="J6:J7"/>
    <mergeCell ref="B4:J4"/>
    <mergeCell ref="C6:D6"/>
    <mergeCell ref="I6:I7"/>
    <mergeCell ref="E6:H6"/>
    <mergeCell ref="B6:B7"/>
  </mergeCells>
  <dataValidations disablePrompts="1" count="1">
    <dataValidation type="whole" operator="greaterThan" allowBlank="1" showInputMessage="1" showErrorMessage="1" error="Must be a whole number" sqref="D8" xr:uid="{BE4872F8-3141-4023-82B3-08FC7BACCB70}">
      <formula1>0</formula1>
    </dataValidation>
  </dataValidations>
  <pageMargins left="0.5" right="0.5" top="0.5" bottom="0.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00D36-7176-4DBF-9F5B-17D6EC94042A}">
  <sheetPr codeName="Sheet5">
    <tabColor theme="8" tint="0.59999389629810485"/>
  </sheetPr>
  <dimension ref="A1:L25"/>
  <sheetViews>
    <sheetView zoomScaleNormal="100" workbookViewId="0">
      <selection activeCell="S18" sqref="S18"/>
    </sheetView>
  </sheetViews>
  <sheetFormatPr defaultColWidth="8.625" defaultRowHeight="14.25" x14ac:dyDescent="0.2"/>
  <cols>
    <col min="1" max="1" width="3.625" style="66" customWidth="1"/>
    <col min="2" max="2" width="6.25" style="66" customWidth="1"/>
    <col min="3" max="3" width="7.625" style="66" customWidth="1"/>
    <col min="4" max="4" width="8.625" style="66" customWidth="1"/>
    <col min="5" max="6" width="18.125" style="66" customWidth="1"/>
    <col min="7" max="7" width="8.625" style="66" customWidth="1"/>
    <col min="8" max="8" width="13" style="66" customWidth="1"/>
    <col min="9" max="9" width="12.375" style="66" customWidth="1"/>
    <col min="10" max="10" width="12.5" style="66" customWidth="1"/>
    <col min="11" max="11" width="18.625" style="66" hidden="1" customWidth="1"/>
    <col min="12" max="12" width="12.125" style="66" customWidth="1"/>
    <col min="13" max="13" width="6" style="66" customWidth="1"/>
    <col min="14" max="16384" width="8.625" style="66"/>
  </cols>
  <sheetData>
    <row r="1" spans="1:12" x14ac:dyDescent="0.2">
      <c r="A1" s="65"/>
      <c r="K1" s="385" t="s">
        <v>91</v>
      </c>
    </row>
    <row r="2" spans="1:12" ht="9.75" customHeight="1" x14ac:dyDescent="0.2">
      <c r="K2" s="385"/>
    </row>
    <row r="3" spans="1:12" ht="34.5" customHeight="1" x14ac:dyDescent="0.35">
      <c r="B3" s="436" t="s">
        <v>12</v>
      </c>
      <c r="C3" s="436"/>
      <c r="D3" s="436"/>
      <c r="E3" s="436"/>
      <c r="F3" s="436"/>
      <c r="G3" s="436"/>
      <c r="H3" s="436"/>
      <c r="I3" s="438"/>
      <c r="J3" s="438"/>
      <c r="K3" s="439"/>
      <c r="L3" s="437"/>
    </row>
    <row r="4" spans="1:12" ht="29.1" customHeight="1" x14ac:dyDescent="0.2">
      <c r="B4" s="486" t="s">
        <v>79</v>
      </c>
      <c r="C4" s="486"/>
      <c r="D4" s="486"/>
      <c r="E4" s="486"/>
      <c r="F4" s="486"/>
      <c r="G4" s="486"/>
      <c r="H4" s="486"/>
      <c r="I4" s="486"/>
      <c r="J4" s="486"/>
      <c r="K4" s="486"/>
      <c r="L4" s="486"/>
    </row>
    <row r="5" spans="1:12" ht="9" customHeight="1" thickBot="1" x14ac:dyDescent="0.3">
      <c r="B5" s="67"/>
      <c r="C5" s="67"/>
      <c r="D5" s="67"/>
      <c r="E5" s="67"/>
      <c r="F5" s="67"/>
    </row>
    <row r="6" spans="1:12" s="68" customFormat="1" ht="21.75" customHeight="1" x14ac:dyDescent="0.2">
      <c r="B6" s="492" t="s">
        <v>93</v>
      </c>
      <c r="C6" s="509" t="s">
        <v>94</v>
      </c>
      <c r="D6" s="510"/>
      <c r="E6" s="510"/>
      <c r="F6" s="511"/>
      <c r="G6" s="512" t="s">
        <v>95</v>
      </c>
      <c r="H6" s="513"/>
      <c r="I6" s="513"/>
      <c r="J6" s="514"/>
      <c r="K6" s="507" t="s">
        <v>85</v>
      </c>
      <c r="L6" s="505" t="s">
        <v>96</v>
      </c>
    </row>
    <row r="7" spans="1:12" s="76" customFormat="1" ht="45.6" customHeight="1" thickBot="1" x14ac:dyDescent="0.25">
      <c r="B7" s="493"/>
      <c r="C7" s="430" t="s">
        <v>97</v>
      </c>
      <c r="D7" s="431" t="s">
        <v>99</v>
      </c>
      <c r="E7" s="431" t="s">
        <v>105</v>
      </c>
      <c r="F7" s="432" t="s">
        <v>106</v>
      </c>
      <c r="G7" s="433" t="s">
        <v>31</v>
      </c>
      <c r="H7" s="434" t="s">
        <v>101</v>
      </c>
      <c r="I7" s="434" t="s">
        <v>102</v>
      </c>
      <c r="J7" s="435" t="s">
        <v>103</v>
      </c>
      <c r="K7" s="508"/>
      <c r="L7" s="506"/>
    </row>
    <row r="8" spans="1:12" s="68" customFormat="1" ht="21.75" customHeight="1" x14ac:dyDescent="0.2">
      <c r="B8" s="160">
        <v>1</v>
      </c>
      <c r="C8" s="324"/>
      <c r="D8" s="323"/>
      <c r="E8" s="323"/>
      <c r="F8" s="325"/>
      <c r="G8" s="379" t="str">
        <f>IFERROR(Calculations!R35,"")</f>
        <v/>
      </c>
      <c r="H8" s="380" t="str">
        <f>IFERROR(IF(Calculations!S35&gt;=0,Calculations!S35,0),"")</f>
        <v/>
      </c>
      <c r="I8" s="380" t="str">
        <f>IFERROR(IF(Calculations!T35&gt;=0,Calculations!T35,0),"")</f>
        <v/>
      </c>
      <c r="J8" s="275" t="str">
        <f>IFERROR(ROUND(AVERAGE(H8:I8),4),"")</f>
        <v/>
      </c>
      <c r="K8" s="352" t="str">
        <f>IFERROR(IF('Lookup Table'!$F$13='Project Summary'!$C$10, ROUND(G8*'Lookup Table'!$G$8+AVERAGE(H8,I8)*'Lookup Table'!$G$9,2), ROUND(G8*'Lookup Table'!$H$8+AVERAGE(H8,I8)*'Lookup Table'!$H$9,2)),"")</f>
        <v/>
      </c>
      <c r="L8" s="269" t="str">
        <f>IFERROR(K8*'Project Summary'!$H$20/'Project Summary'!$G$20,"")</f>
        <v/>
      </c>
    </row>
    <row r="9" spans="1:12" s="68" customFormat="1" ht="21.75" customHeight="1" x14ac:dyDescent="0.2">
      <c r="B9" s="78">
        <v>2</v>
      </c>
      <c r="C9" s="80"/>
      <c r="D9" s="159"/>
      <c r="E9" s="159"/>
      <c r="F9" s="273"/>
      <c r="G9" s="351" t="str">
        <f>IFERROR(Calculations!R36,"")</f>
        <v/>
      </c>
      <c r="H9" s="202" t="str">
        <f>IFERROR(IF(Calculations!S36&gt;=0,Calculations!S36,0),"")</f>
        <v/>
      </c>
      <c r="I9" s="202" t="str">
        <f>IFERROR(IF(Calculations!T36&gt;=0,Calculations!T36,0),"")</f>
        <v/>
      </c>
      <c r="J9" s="381" t="str">
        <f t="shared" ref="J9:J17" si="0">IFERROR(ROUND(AVERAGE(H9:I9),4),"")</f>
        <v/>
      </c>
      <c r="K9" s="353" t="str">
        <f>IFERROR(IF('Lookup Table'!$F$13='Project Summary'!$C$10, ROUND(G9*'Lookup Table'!$G$8+AVERAGE(H9,I9)*'Lookup Table'!$G$9,2), ROUND(G9*'Lookup Table'!$H$8+AVERAGE(H9,I9)*'Lookup Table'!$H$9,2)),"")</f>
        <v/>
      </c>
      <c r="L9" s="270" t="str">
        <f>IFERROR(K9*'Project Summary'!$H$20/'Project Summary'!$G$20,"")</f>
        <v/>
      </c>
    </row>
    <row r="10" spans="1:12" s="68" customFormat="1" ht="21.75" customHeight="1" x14ac:dyDescent="0.2">
      <c r="B10" s="78">
        <v>3</v>
      </c>
      <c r="C10" s="80"/>
      <c r="D10" s="159"/>
      <c r="E10" s="159"/>
      <c r="F10" s="273"/>
      <c r="G10" s="351" t="str">
        <f>IFERROR(Calculations!R37,"")</f>
        <v/>
      </c>
      <c r="H10" s="202" t="str">
        <f>IFERROR(IF(Calculations!S37&gt;=0,Calculations!S37,0),"")</f>
        <v/>
      </c>
      <c r="I10" s="202" t="str">
        <f>IFERROR(IF(Calculations!T37&gt;=0,Calculations!T37,0),"")</f>
        <v/>
      </c>
      <c r="J10" s="381" t="str">
        <f t="shared" si="0"/>
        <v/>
      </c>
      <c r="K10" s="353" t="str">
        <f>IFERROR(IF('Lookup Table'!$F$13='Project Summary'!$C$10, ROUND(G10*'Lookup Table'!$G$8+AVERAGE(H10,I10)*'Lookup Table'!$G$9,2), ROUND(G10*'Lookup Table'!$H$8+AVERAGE(H10,I10)*'Lookup Table'!$H$9,2)),"")</f>
        <v/>
      </c>
      <c r="L10" s="270" t="str">
        <f>IFERROR(K10*'Project Summary'!$H$20/'Project Summary'!$G$20,"")</f>
        <v/>
      </c>
    </row>
    <row r="11" spans="1:12" s="68" customFormat="1" ht="21.75" customHeight="1" x14ac:dyDescent="0.2">
      <c r="B11" s="78">
        <v>4</v>
      </c>
      <c r="C11" s="80"/>
      <c r="D11" s="159"/>
      <c r="E11" s="159"/>
      <c r="F11" s="273"/>
      <c r="G11" s="351" t="str">
        <f>IFERROR(Calculations!R38,"")</f>
        <v/>
      </c>
      <c r="H11" s="202" t="str">
        <f>IFERROR(IF(Calculations!S38&gt;=0,Calculations!S38,0),"")</f>
        <v/>
      </c>
      <c r="I11" s="202" t="str">
        <f>IFERROR(IF(Calculations!T38&gt;=0,Calculations!T38,0),"")</f>
        <v/>
      </c>
      <c r="J11" s="381" t="str">
        <f t="shared" si="0"/>
        <v/>
      </c>
      <c r="K11" s="353" t="str">
        <f>IFERROR(IF('Lookup Table'!$F$13='Project Summary'!$C$10, ROUND(G11*'Lookup Table'!$G$8+AVERAGE(H11,I11)*'Lookup Table'!$G$9,2), ROUND(G11*'Lookup Table'!$H$8+AVERAGE(H11,I11)*'Lookup Table'!$H$9,2)),"")</f>
        <v/>
      </c>
      <c r="L11" s="270" t="str">
        <f>IFERROR(K11*'Project Summary'!$H$20/'Project Summary'!$G$20,"")</f>
        <v/>
      </c>
    </row>
    <row r="12" spans="1:12" s="68" customFormat="1" ht="21.75" customHeight="1" x14ac:dyDescent="0.2">
      <c r="B12" s="78">
        <v>5</v>
      </c>
      <c r="C12" s="80"/>
      <c r="D12" s="159"/>
      <c r="E12" s="159"/>
      <c r="F12" s="273"/>
      <c r="G12" s="351" t="str">
        <f>IFERROR(Calculations!R39,"")</f>
        <v/>
      </c>
      <c r="H12" s="202" t="str">
        <f>IFERROR(IF(Calculations!S39&gt;=0,Calculations!S39,0),"")</f>
        <v/>
      </c>
      <c r="I12" s="202" t="str">
        <f>IFERROR(IF(Calculations!T39&gt;=0,Calculations!T39,0),"")</f>
        <v/>
      </c>
      <c r="J12" s="381" t="str">
        <f t="shared" si="0"/>
        <v/>
      </c>
      <c r="K12" s="353" t="str">
        <f>IFERROR(IF('Lookup Table'!$F$13='Project Summary'!$C$10, ROUND(G12*'Lookup Table'!$G$8+AVERAGE(H12,I12)*'Lookup Table'!$G$9,2), ROUND(G12*'Lookup Table'!$H$8+AVERAGE(H12,I12)*'Lookup Table'!$H$9,2)),"")</f>
        <v/>
      </c>
      <c r="L12" s="270" t="str">
        <f>IFERROR(K12*'Project Summary'!$H$20/'Project Summary'!$G$20,"")</f>
        <v/>
      </c>
    </row>
    <row r="13" spans="1:12" s="68" customFormat="1" ht="21.75" customHeight="1" x14ac:dyDescent="0.2">
      <c r="B13" s="78">
        <v>6</v>
      </c>
      <c r="C13" s="80"/>
      <c r="D13" s="159"/>
      <c r="E13" s="159"/>
      <c r="F13" s="273"/>
      <c r="G13" s="351" t="str">
        <f>IFERROR(Calculations!R40,"")</f>
        <v/>
      </c>
      <c r="H13" s="202" t="str">
        <f>IFERROR(IF(Calculations!S40&gt;=0,Calculations!S40,0),"")</f>
        <v/>
      </c>
      <c r="I13" s="202" t="str">
        <f>IFERROR(IF(Calculations!T40&gt;=0,Calculations!T40,0),"")</f>
        <v/>
      </c>
      <c r="J13" s="381" t="str">
        <f t="shared" si="0"/>
        <v/>
      </c>
      <c r="K13" s="353" t="str">
        <f>IFERROR(IF('Lookup Table'!$F$13='Project Summary'!$C$10, ROUND(G13*'Lookup Table'!$G$8+AVERAGE(H13,I13)*'Lookup Table'!$G$9,2), ROUND(G13*'Lookup Table'!$H$8+AVERAGE(H13,I13)*'Lookup Table'!$H$9,2)),"")</f>
        <v/>
      </c>
      <c r="L13" s="270" t="str">
        <f>IFERROR(K13*'Project Summary'!$H$20/'Project Summary'!$G$20,"")</f>
        <v/>
      </c>
    </row>
    <row r="14" spans="1:12" s="68" customFormat="1" ht="21.75" customHeight="1" x14ac:dyDescent="0.2">
      <c r="B14" s="78">
        <v>7</v>
      </c>
      <c r="C14" s="80"/>
      <c r="D14" s="159"/>
      <c r="E14" s="159"/>
      <c r="F14" s="273"/>
      <c r="G14" s="351" t="str">
        <f>IFERROR(Calculations!R41,"")</f>
        <v/>
      </c>
      <c r="H14" s="202" t="str">
        <f>IFERROR(IF(Calculations!S41&gt;=0,Calculations!S41,0),"")</f>
        <v/>
      </c>
      <c r="I14" s="202" t="str">
        <f>IFERROR(IF(Calculations!T41&gt;=0,Calculations!T41,0),"")</f>
        <v/>
      </c>
      <c r="J14" s="381" t="str">
        <f t="shared" si="0"/>
        <v/>
      </c>
      <c r="K14" s="353" t="str">
        <f>IFERROR(IF('Lookup Table'!$F$13='Project Summary'!$C$10, ROUND(G14*'Lookup Table'!$G$8+AVERAGE(H14,I14)*'Lookup Table'!$G$9,2), ROUND(G14*'Lookup Table'!$H$8+AVERAGE(H14,I14)*'Lookup Table'!$H$9,2)),"")</f>
        <v/>
      </c>
      <c r="L14" s="270" t="str">
        <f>IFERROR(K14*'Project Summary'!$H$20/'Project Summary'!$G$20,"")</f>
        <v/>
      </c>
    </row>
    <row r="15" spans="1:12" s="68" customFormat="1" ht="21.75" customHeight="1" x14ac:dyDescent="0.2">
      <c r="B15" s="78">
        <v>8</v>
      </c>
      <c r="C15" s="80"/>
      <c r="D15" s="159"/>
      <c r="E15" s="159"/>
      <c r="F15" s="273"/>
      <c r="G15" s="351" t="str">
        <f>IFERROR(Calculations!R42,"")</f>
        <v/>
      </c>
      <c r="H15" s="202" t="str">
        <f>IFERROR(IF(Calculations!S42&gt;=0,Calculations!S42,0),"")</f>
        <v/>
      </c>
      <c r="I15" s="202" t="str">
        <f>IFERROR(IF(Calculations!T42&gt;=0,Calculations!T42,0),"")</f>
        <v/>
      </c>
      <c r="J15" s="381" t="str">
        <f t="shared" si="0"/>
        <v/>
      </c>
      <c r="K15" s="353" t="str">
        <f>IFERROR(IF('Lookup Table'!$F$13='Project Summary'!$C$10, ROUND(G15*'Lookup Table'!$G$8+AVERAGE(H15,I15)*'Lookup Table'!$G$9,2), ROUND(G15*'Lookup Table'!$H$8+AVERAGE(H15,I15)*'Lookup Table'!$H$9,2)),"")</f>
        <v/>
      </c>
      <c r="L15" s="270" t="str">
        <f>IFERROR(K15*'Project Summary'!$H$20/'Project Summary'!$G$20,"")</f>
        <v/>
      </c>
    </row>
    <row r="16" spans="1:12" s="68" customFormat="1" ht="21.75" customHeight="1" x14ac:dyDescent="0.2">
      <c r="B16" s="78">
        <v>9</v>
      </c>
      <c r="C16" s="80"/>
      <c r="D16" s="159"/>
      <c r="E16" s="159"/>
      <c r="F16" s="273"/>
      <c r="G16" s="351" t="str">
        <f>IFERROR(Calculations!R43,"")</f>
        <v/>
      </c>
      <c r="H16" s="202" t="str">
        <f>IFERROR(IF(Calculations!S43&gt;=0,Calculations!S43,0),"")</f>
        <v/>
      </c>
      <c r="I16" s="202" t="str">
        <f>IFERROR(IF(Calculations!T43&gt;=0,Calculations!T43,0),"")</f>
        <v/>
      </c>
      <c r="J16" s="381" t="str">
        <f t="shared" si="0"/>
        <v/>
      </c>
      <c r="K16" s="353" t="str">
        <f>IFERROR(IF('Lookup Table'!$F$13='Project Summary'!$C$10, ROUND(G16*'Lookup Table'!$G$8+AVERAGE(H16,I16)*'Lookup Table'!$G$9,2), ROUND(G16*'Lookup Table'!$H$8+AVERAGE(H16,I16)*'Lookup Table'!$H$9,2)),"")</f>
        <v/>
      </c>
      <c r="L16" s="270" t="str">
        <f>IFERROR(K16*'Project Summary'!$H$20/'Project Summary'!$G$20,"")</f>
        <v/>
      </c>
    </row>
    <row r="17" spans="2:12" s="68" customFormat="1" ht="21.75" customHeight="1" thickBot="1" x14ac:dyDescent="0.25">
      <c r="B17" s="79">
        <v>10</v>
      </c>
      <c r="C17" s="81"/>
      <c r="D17" s="161"/>
      <c r="E17" s="161"/>
      <c r="F17" s="274"/>
      <c r="G17" s="382" t="str">
        <f>IFERROR(Calculations!R44,"")</f>
        <v/>
      </c>
      <c r="H17" s="383" t="str">
        <f>IFERROR(IF(Calculations!S44&gt;=0,Calculations!S44,0),"")</f>
        <v/>
      </c>
      <c r="I17" s="383" t="str">
        <f>IFERROR(IF(Calculations!T44&gt;=0,Calculations!T44,0),"")</f>
        <v/>
      </c>
      <c r="J17" s="384" t="str">
        <f t="shared" si="0"/>
        <v/>
      </c>
      <c r="K17" s="354" t="str">
        <f>IFERROR(IF('Lookup Table'!$F$13='Project Summary'!$C$10, ROUND(G17*'Lookup Table'!$G$8+AVERAGE(H17,I17)*'Lookup Table'!$G$9,2), ROUND(G17*'Lookup Table'!$H$8+AVERAGE(H17,I17)*'Lookup Table'!$H$9,2)),"")</f>
        <v/>
      </c>
      <c r="L17" s="271" t="str">
        <f>IFERROR(K17*'Project Summary'!$H$20/'Project Summary'!$G$20,"")</f>
        <v/>
      </c>
    </row>
    <row r="18" spans="2:12" s="68" customFormat="1" ht="21.75" customHeight="1" x14ac:dyDescent="0.2"/>
    <row r="19" spans="2:12" s="68" customFormat="1" ht="21.75" customHeight="1" x14ac:dyDescent="0.2"/>
    <row r="20" spans="2:12" ht="21.75" customHeight="1" x14ac:dyDescent="0.2"/>
    <row r="21" spans="2:12" ht="21.75" customHeight="1" x14ac:dyDescent="0.2">
      <c r="B21" s="74"/>
      <c r="H21" s="170"/>
      <c r="I21" s="170"/>
      <c r="J21" s="170"/>
    </row>
    <row r="22" spans="2:12" ht="21.75" customHeight="1" x14ac:dyDescent="0.2"/>
    <row r="23" spans="2:12" ht="21.75" customHeight="1" x14ac:dyDescent="0.2"/>
    <row r="24" spans="2:12" ht="21.75" customHeight="1" x14ac:dyDescent="0.2"/>
    <row r="25" spans="2:12" ht="21.75" customHeight="1" x14ac:dyDescent="0.2"/>
  </sheetData>
  <sheetProtection algorithmName="SHA-512" hashValue="jMVX+T/XtJdH6/kFpnpiawrJ/Bx81veuc6IoLUz1oNZ3tDIRa/N5pWBPVFnLo9qjxb4dTJ9e00MblRAAT5EJkQ==" saltValue="7QogMcgkiaG+WHVJIN4MUA==" spinCount="100000" sheet="1" formatColumns="0"/>
  <protectedRanges>
    <protectedRange sqref="C8:F17" name="Inputs"/>
  </protectedRanges>
  <mergeCells count="6">
    <mergeCell ref="L6:L7"/>
    <mergeCell ref="B4:L4"/>
    <mergeCell ref="K6:K7"/>
    <mergeCell ref="C6:F6"/>
    <mergeCell ref="G6:J6"/>
    <mergeCell ref="B6:B7"/>
  </mergeCells>
  <dataValidations count="1">
    <dataValidation type="whole" operator="greaterThan" allowBlank="1" showInputMessage="1" showErrorMessage="1" error="Must be a whole number" sqref="D8:D17" xr:uid="{27E52E14-9495-4F63-98E4-DEFB6F3F35FA}">
      <formula1>0</formula1>
    </dataValidation>
  </dataValidations>
  <pageMargins left="0.5" right="0.5" top="0.5" bottom="0.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7A4E893-E703-4499-9EB2-D29AFB7BB418}">
          <x14:formula1>
            <xm:f>'Lookup Table'!$D$51:$D$54</xm:f>
          </x14:formula1>
          <xm:sqref>E8:E17</xm:sqref>
        </x14:dataValidation>
        <x14:dataValidation type="list" allowBlank="1" showInputMessage="1" showErrorMessage="1" xr:uid="{F3344A8A-1A7F-4B18-9504-C177DCC40639}">
          <x14:formula1>
            <xm:f>'Lookup Table'!$D$60:$D$63</xm:f>
          </x14:formula1>
          <xm:sqref>F8:F17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999AB-A6F2-4D75-878F-E0AC86F3C009}">
  <sheetPr>
    <tabColor theme="8" tint="0.59999389629810485"/>
  </sheetPr>
  <dimension ref="A1:Q25"/>
  <sheetViews>
    <sheetView zoomScale="80" zoomScaleNormal="80" workbookViewId="0">
      <selection activeCell="C19" sqref="C19"/>
    </sheetView>
  </sheetViews>
  <sheetFormatPr defaultColWidth="8.625" defaultRowHeight="14.25" x14ac:dyDescent="0.2"/>
  <cols>
    <col min="1" max="1" width="3.625" style="66" customWidth="1"/>
    <col min="2" max="2" width="6.125" style="66" customWidth="1"/>
    <col min="3" max="3" width="7.625" style="66" customWidth="1"/>
    <col min="4" max="4" width="10.5" style="66" customWidth="1"/>
    <col min="5" max="5" width="11.875" style="66" customWidth="1"/>
    <col min="6" max="6" width="18.75" style="66" customWidth="1"/>
    <col min="7" max="7" width="19.125" style="66" customWidth="1"/>
    <col min="8" max="11" width="8.625" style="66" hidden="1" customWidth="1"/>
    <col min="12" max="12" width="9.75" style="66" customWidth="1"/>
    <col min="13" max="13" width="14.125" style="66" customWidth="1"/>
    <col min="14" max="14" width="13.25" style="66" customWidth="1"/>
    <col min="15" max="15" width="11.5" style="66" bestFit="1" customWidth="1"/>
    <col min="16" max="16" width="18.625" style="66" hidden="1" customWidth="1"/>
    <col min="17" max="17" width="12.125" style="66" customWidth="1"/>
    <col min="18" max="18" width="6" style="66" customWidth="1"/>
    <col min="19" max="16384" width="8.625" style="66"/>
  </cols>
  <sheetData>
    <row r="1" spans="1:17" x14ac:dyDescent="0.2">
      <c r="A1" s="65"/>
      <c r="H1" s="66" t="s">
        <v>91</v>
      </c>
      <c r="I1" s="66" t="s">
        <v>91</v>
      </c>
      <c r="J1" s="66" t="s">
        <v>91</v>
      </c>
      <c r="K1" s="66" t="s">
        <v>91</v>
      </c>
      <c r="P1" s="385" t="s">
        <v>91</v>
      </c>
    </row>
    <row r="2" spans="1:17" ht="9.75" customHeight="1" x14ac:dyDescent="0.2">
      <c r="P2" s="385"/>
    </row>
    <row r="3" spans="1:17" ht="34.5" customHeight="1" x14ac:dyDescent="0.35">
      <c r="B3" s="360" t="s">
        <v>89</v>
      </c>
      <c r="C3" s="360"/>
      <c r="D3" s="360"/>
      <c r="E3" s="360"/>
      <c r="F3" s="360"/>
      <c r="G3" s="360"/>
      <c r="H3" s="360"/>
      <c r="I3" s="360"/>
      <c r="J3" s="360"/>
      <c r="K3" s="360"/>
      <c r="L3" s="360"/>
      <c r="M3" s="360"/>
      <c r="N3" s="194"/>
      <c r="O3" s="194"/>
      <c r="P3" s="385"/>
    </row>
    <row r="4" spans="1:17" ht="29.1" customHeight="1" x14ac:dyDescent="0.2">
      <c r="B4" s="446" t="s">
        <v>79</v>
      </c>
      <c r="C4" s="446"/>
      <c r="D4" s="446"/>
      <c r="E4" s="446"/>
      <c r="F4" s="446"/>
      <c r="G4" s="446"/>
      <c r="H4" s="446"/>
      <c r="I4" s="446"/>
      <c r="J4" s="446"/>
      <c r="K4" s="446"/>
      <c r="L4" s="446"/>
      <c r="M4" s="446"/>
      <c r="N4" s="446"/>
      <c r="O4" s="446"/>
      <c r="P4" s="446"/>
      <c r="Q4" s="446"/>
    </row>
    <row r="5" spans="1:17" ht="9" customHeight="1" thickBot="1" x14ac:dyDescent="0.3">
      <c r="B5" s="67"/>
      <c r="C5" s="67"/>
      <c r="D5" s="67"/>
      <c r="E5" s="67"/>
      <c r="F5" s="67"/>
      <c r="G5" s="67"/>
      <c r="P5" s="201"/>
    </row>
    <row r="6" spans="1:17" s="68" customFormat="1" ht="21.75" customHeight="1" thickBot="1" x14ac:dyDescent="0.25">
      <c r="B6" s="494" t="s">
        <v>93</v>
      </c>
      <c r="C6" s="515" t="s">
        <v>94</v>
      </c>
      <c r="D6" s="516"/>
      <c r="E6" s="516"/>
      <c r="F6" s="516"/>
      <c r="G6" s="516"/>
      <c r="H6" s="517" t="s">
        <v>107</v>
      </c>
      <c r="I6" s="518"/>
      <c r="J6" s="518"/>
      <c r="K6" s="518"/>
      <c r="L6" s="517" t="s">
        <v>95</v>
      </c>
      <c r="M6" s="518"/>
      <c r="N6" s="518"/>
      <c r="O6" s="519"/>
      <c r="P6" s="503" t="s">
        <v>85</v>
      </c>
      <c r="Q6" s="494" t="s">
        <v>96</v>
      </c>
    </row>
    <row r="7" spans="1:17" s="76" customFormat="1" ht="45.95" customHeight="1" thickBot="1" x14ac:dyDescent="0.25">
      <c r="B7" s="495"/>
      <c r="C7" s="321" t="s">
        <v>97</v>
      </c>
      <c r="D7" s="322" t="s">
        <v>99</v>
      </c>
      <c r="E7" s="322" t="s">
        <v>108</v>
      </c>
      <c r="F7" s="322" t="s">
        <v>109</v>
      </c>
      <c r="G7" s="356" t="s">
        <v>110</v>
      </c>
      <c r="H7" s="288" t="s">
        <v>111</v>
      </c>
      <c r="I7" s="290" t="s">
        <v>112</v>
      </c>
      <c r="J7" s="290" t="s">
        <v>113</v>
      </c>
      <c r="K7" s="292" t="s">
        <v>76</v>
      </c>
      <c r="L7" s="330" t="s">
        <v>31</v>
      </c>
      <c r="M7" s="331" t="s">
        <v>101</v>
      </c>
      <c r="N7" s="331" t="s">
        <v>102</v>
      </c>
      <c r="O7" s="332" t="s">
        <v>103</v>
      </c>
      <c r="P7" s="504"/>
      <c r="Q7" s="495"/>
    </row>
    <row r="8" spans="1:17" s="68" customFormat="1" ht="21.75" customHeight="1" x14ac:dyDescent="0.2">
      <c r="B8" s="160">
        <v>1</v>
      </c>
      <c r="C8" s="324"/>
      <c r="D8" s="323"/>
      <c r="E8" s="323"/>
      <c r="F8" s="323"/>
      <c r="G8" s="325"/>
      <c r="H8" s="326">
        <f>IF(E8&lt;300, IF(F8="VFD", 'Lookup Table'!J44, IF(F8="VI", 'Lookup Table'!K44, 'Lookup Table'!L44)), IF(E8 &gt; 700,  IF(F8="VFD", 'Lookup Table'!J46, IF(F8="VI", 'Lookup Table'!K46, 'Lookup Table'!L46)),  IF(F8="VFD", 'Lookup Table'!J45, IF(F8="VI", 'Lookup Table'!K45, 'Lookup Table'!L45))))*D8</f>
        <v>0</v>
      </c>
      <c r="I8" s="327" t="e">
        <f>IF(E8&lt;350, IF(G8="VFD", 'Lookup Table'!J23, IF(G8="VI", 'Lookup Table'!K23, 'Lookup Table'!L23)), IF(E8 &gt; 1500,  IF(G8="VFD", 'Lookup Table'!J25, IF(G8="VI", 'Lookup Table'!K25, 'Lookup Table'!L25)),  IF(G8="VFD", 'Lookup Table'!J24, IF(G8="VI", 'Lookup Table'!K24, 'Lookup Table'!L24))))*D8</f>
        <v>#NUM!</v>
      </c>
      <c r="J8" s="328">
        <f>IF(G8=0, 0,IF(E8 &lt; 1500, IF(G8 = "VFD", 'Lookup Table'!$P$17, 'Lookup Table'!$P$18), 'Lookup Table'!$P$20))</f>
        <v>0</v>
      </c>
      <c r="K8" s="333">
        <f t="shared" ref="K8:K17" si="0">J8/8760</f>
        <v>0</v>
      </c>
      <c r="L8" s="336" t="str">
        <f>IFERROR(D8*((E8/1000)*((1/H8)-(1/I8))*J8)," ")</f>
        <v xml:space="preserve"> </v>
      </c>
      <c r="M8" s="329" t="str">
        <f t="shared" ref="M8:M17" si="1">IFERROR(L8/8760," ")</f>
        <v xml:space="preserve"> </v>
      </c>
      <c r="N8" s="329" t="str">
        <f t="shared" ref="N8:N17" si="2">IFERROR(L8/8760," ")</f>
        <v xml:space="preserve"> </v>
      </c>
      <c r="O8" s="275" t="str">
        <f>IFERROR(ROUND(AVERAGE(M8:N8),4),"")</f>
        <v/>
      </c>
      <c r="P8" s="355" t="str">
        <f>IFERROR(IF('Lookup Table'!$F$13='Project Summary'!$C$10, ROUND(L8*'Lookup Table'!$G$8+AVERAGE(M8,N8)*'Lookup Table'!$G$9,2), ROUND(L8*'Lookup Table'!$H$8+AVERAGE(M8,N8)*'Lookup Table'!$H$9,2)),"")</f>
        <v/>
      </c>
      <c r="Q8" s="269" t="str">
        <f>IFERROR(P8*'Project Summary'!$H$20/'Project Summary'!$G$20,"")</f>
        <v/>
      </c>
    </row>
    <row r="9" spans="1:17" s="68" customFormat="1" ht="21.75" customHeight="1" x14ac:dyDescent="0.2">
      <c r="B9" s="78">
        <v>2</v>
      </c>
      <c r="C9" s="80"/>
      <c r="D9" s="159"/>
      <c r="E9" s="159"/>
      <c r="F9" s="159"/>
      <c r="G9" s="273"/>
      <c r="H9" s="314">
        <f>IF(E9&lt;300, IF(F9="VFD", 'Lookup Table'!N44, IF(F9="VI", 'Lookup Table'!O44, 'Lookup Table'!P44)), IF(E9 &gt; 700,  IF(F9="VFD", 'Lookup Table'!N46, IF(F9="VI", 'Lookup Table'!O46, 'Lookup Table'!P46)),  IF(F9="VFD", 'Lookup Table'!N45, IF(F9="VI", 'Lookup Table'!O45, 'Lookup Table'!P45))))*D9</f>
        <v>0</v>
      </c>
      <c r="I9" s="283" t="e">
        <f>IF(E9&lt;350, IF(G9="VFD", 'Lookup Table'!N23, IF(G9="VI", 'Lookup Table'!O23, 'Lookup Table'!P23)), IF(E9 &gt; 1500,  IF(G9="VFD", 'Lookup Table'!N25, IF(G9="VI", 'Lookup Table'!O25, 'Lookup Table'!P25)),  IF(G9="VFD", 'Lookup Table'!N24, IF(G9="VI", 'Lookup Table'!O24, 'Lookup Table'!P24))))*D9</f>
        <v>#NUM!</v>
      </c>
      <c r="J9" s="232">
        <f>IF(G9=0, 0,IF(E9 &lt; 1500, IF(G9 = "VFD", 'Lookup Table'!$P$17, 'Lookup Table'!$P$18), 'Lookup Table'!$P$20))</f>
        <v>0</v>
      </c>
      <c r="K9" s="334">
        <f t="shared" si="0"/>
        <v>0</v>
      </c>
      <c r="L9" s="337" t="str">
        <f>IFERROR(D9*((E9/1000)*((1/H9)-(1/I9))*J9)," ")</f>
        <v xml:space="preserve"> </v>
      </c>
      <c r="M9" s="281" t="str">
        <f t="shared" si="1"/>
        <v xml:space="preserve"> </v>
      </c>
      <c r="N9" s="281" t="str">
        <f t="shared" si="2"/>
        <v xml:space="preserve"> </v>
      </c>
      <c r="O9" s="276" t="str">
        <f t="shared" ref="O9:O17" si="3">IFERROR(ROUND(AVERAGE(M9:N9),4),"")</f>
        <v/>
      </c>
      <c r="P9" s="272" t="str">
        <f>IFERROR(IF('Lookup Table'!$F$13='Project Summary'!$C$10, ROUND(L9*'Lookup Table'!$G$8+AVERAGE(M9,N9)*'Lookup Table'!$G$9,2), ROUND(L9*'Lookup Table'!$H$8+AVERAGE(M9,N9)*'Lookup Table'!$H$9,2)),"")</f>
        <v/>
      </c>
      <c r="Q9" s="270" t="str">
        <f>IFERROR(P9*'Project Summary'!$H$20/'Project Summary'!$G$20,"")</f>
        <v/>
      </c>
    </row>
    <row r="10" spans="1:17" s="68" customFormat="1" ht="21.75" customHeight="1" x14ac:dyDescent="0.2">
      <c r="B10" s="78">
        <v>3</v>
      </c>
      <c r="C10" s="80"/>
      <c r="D10" s="159"/>
      <c r="E10" s="159"/>
      <c r="F10" s="159"/>
      <c r="G10" s="273"/>
      <c r="H10" s="314">
        <f>IF(E10&lt;300, IF(F10="VFD", 'Lookup Table'!J48, IF(F10="VI", 'Lookup Table'!K48, 'Lookup Table'!L48)), IF(E10 &gt; 700,  IF(F10="VFD", 'Lookup Table'!J50, IF(F10="VI", 'Lookup Table'!K50, 'Lookup Table'!L50)),  IF(F10="VFD", 'Lookup Table'!J49, IF(F10="VI", 'Lookup Table'!K49, 'Lookup Table'!L49))))*D10</f>
        <v>0</v>
      </c>
      <c r="I10" s="283" t="e">
        <f>IF(E10&lt;350, IF(G10="VFD",'Lookup Table'!J27, IF(G10="VI", 'Lookup Table'!K27, 'Lookup Table'!L27)), IF(E10 &gt; 1500,  IF(G10="VFD", 'Lookup Table'!J29, IF(G10="VI", 'Lookup Table'!K29, 'Lookup Table'!L29)),  IF(G10="VFD", 'Lookup Table'!J28, IF(G10="VI", 'Lookup Table'!K28, 'Lookup Table'!L28))))*D10</f>
        <v>#NUM!</v>
      </c>
      <c r="J10" s="232">
        <f>IF(G10=0, 0,IF(E10 &lt; 1500, IF(G10 = "VFD", 'Lookup Table'!$P$17, 'Lookup Table'!$P$18), 'Lookup Table'!$P$20))</f>
        <v>0</v>
      </c>
      <c r="K10" s="334">
        <f t="shared" si="0"/>
        <v>0</v>
      </c>
      <c r="L10" s="337" t="str">
        <f t="shared" ref="L10:L17" si="4">IFERROR(D10*((E10/1000)*((1/H10)-(1/I10))*J10)," ")</f>
        <v xml:space="preserve"> </v>
      </c>
      <c r="M10" s="281" t="str">
        <f t="shared" si="1"/>
        <v xml:space="preserve"> </v>
      </c>
      <c r="N10" s="281" t="str">
        <f t="shared" si="2"/>
        <v xml:space="preserve"> </v>
      </c>
      <c r="O10" s="276" t="str">
        <f t="shared" si="3"/>
        <v/>
      </c>
      <c r="P10" s="272" t="str">
        <f>IFERROR(IF('Lookup Table'!$F$13='Project Summary'!$C$10, ROUND(L10*'Lookup Table'!$G$8+AVERAGE(M10,N10)*'Lookup Table'!$G$9,2), ROUND(L10*'Lookup Table'!$H$8+AVERAGE(M10,N10)*'Lookup Table'!$H$9,2)),"")</f>
        <v/>
      </c>
      <c r="Q10" s="270" t="str">
        <f>IFERROR(P10*'Project Summary'!$H$20/'Project Summary'!$G$20,"")</f>
        <v/>
      </c>
    </row>
    <row r="11" spans="1:17" s="68" customFormat="1" ht="21.75" customHeight="1" x14ac:dyDescent="0.2">
      <c r="B11" s="78">
        <v>4</v>
      </c>
      <c r="C11" s="80"/>
      <c r="D11" s="159"/>
      <c r="E11" s="159"/>
      <c r="F11" s="159"/>
      <c r="G11" s="273"/>
      <c r="H11" s="314">
        <f>IF(E11&lt;300, IF(F11="VFD", 'Lookup Table'!N48, IF(F11="VI", 'Lookup Table'!O48, 'Lookup Table'!P48)), IF(E11 &gt; 700,  IF(F11="VFD", 'Lookup Table'!N50, IF(F11="VI", 'Lookup Table'!O50, 'Lookup Table'!P50)),  IF(F11="VFD", 'Lookup Table'!N49, IF(F11="VI", 'Lookup Table'!O49, 'Lookup Table'!P49))))*D11</f>
        <v>0</v>
      </c>
      <c r="I11" s="283" t="e">
        <f>IF(E11&lt;350, IF(G11="VFD",'Lookup Table'!N27, IF(G11="VI", 'Lookup Table'!O27, 'Lookup Table'!P27)), IF(E11 &gt; 1500,  IF(G11="VFD", 'Lookup Table'!N29, IF(G11="VI", 'Lookup Table'!O29, 'Lookup Table'!P29)),  IF(G11="VFD", 'Lookup Table'!N28, IF(G11="VI", 'Lookup Table'!O28, 'Lookup Table'!P28))))*D11</f>
        <v>#NUM!</v>
      </c>
      <c r="J11" s="232">
        <f>IF(G11=0, 0,IF(E11 &lt; 1500, IF(G11 = "VFD", 'Lookup Table'!$P$17, 'Lookup Table'!$P$18), 'Lookup Table'!$P$20))</f>
        <v>0</v>
      </c>
      <c r="K11" s="334">
        <f t="shared" si="0"/>
        <v>0</v>
      </c>
      <c r="L11" s="337" t="str">
        <f>IFERROR(D11*((E11/1000)*((1/H11)-(1/I11))*J11)," ")</f>
        <v xml:space="preserve"> </v>
      </c>
      <c r="M11" s="281" t="str">
        <f t="shared" si="1"/>
        <v xml:space="preserve"> </v>
      </c>
      <c r="N11" s="281" t="str">
        <f t="shared" si="2"/>
        <v xml:space="preserve"> </v>
      </c>
      <c r="O11" s="276" t="str">
        <f t="shared" si="3"/>
        <v/>
      </c>
      <c r="P11" s="272" t="str">
        <f>IFERROR(IF('Lookup Table'!$F$13='Project Summary'!$C$10, ROUND(L11*'Lookup Table'!$G$8+AVERAGE(M11,N11)*'Lookup Table'!$G$9,2), ROUND(L11*'Lookup Table'!$H$8+AVERAGE(M11,N11)*'Lookup Table'!$H$9,2)),"")</f>
        <v/>
      </c>
      <c r="Q11" s="270" t="str">
        <f>IFERROR(P11*'Project Summary'!$H$20/'Project Summary'!$G$20,"")</f>
        <v/>
      </c>
    </row>
    <row r="12" spans="1:17" s="68" customFormat="1" ht="21.75" customHeight="1" x14ac:dyDescent="0.2">
      <c r="B12" s="78">
        <v>5</v>
      </c>
      <c r="C12" s="80"/>
      <c r="D12" s="159"/>
      <c r="E12" s="159"/>
      <c r="F12" s="159"/>
      <c r="G12" s="273"/>
      <c r="H12" s="314">
        <f>IF(E12&lt;300, IF(F12="VFD", 'Lookup Table'!J52, IF(F12="VI", 'Lookup Table'!K52, 'Lookup Table'!L52)), IF(E12 &gt; 700,  IF(F12="VFD", 'Lookup Table'!J54, IF(F12="VI", 'Lookup Table'!K54, 'Lookup Table'!L54)),  IF(F12="VFD", 'Lookup Table'!J53, IF(F12="VI", 'Lookup Table'!K53, 'Lookup Table'!L53))))*D12</f>
        <v>0</v>
      </c>
      <c r="I12" s="283" t="e">
        <f>IF(E12&lt;350, IF(G12="VFD",'Lookup Table'!J31, IF(G12="VI", 'Lookup Table'!K31, 'Lookup Table'!L31)), IF(E12 &gt; 1500,  IF(G12="VFD", 'Lookup Table'!J33, IF(G12="VI", 'Lookup Table'!K33, 'Lookup Table'!L33)),  IF(G12="VFD", 'Lookup Table'!J32, IF(G12="VI", 'Lookup Table'!K32, 'Lookup Table'!L32))))*D12</f>
        <v>#NUM!</v>
      </c>
      <c r="J12" s="232">
        <f>IF(G12=0, 0,IF(E12 &lt; 1500, IF(G12 = "VFD", 'Lookup Table'!$P$17, 'Lookup Table'!$P$18), 'Lookup Table'!$P$20))</f>
        <v>0</v>
      </c>
      <c r="K12" s="334">
        <f t="shared" si="0"/>
        <v>0</v>
      </c>
      <c r="L12" s="337" t="str">
        <f t="shared" si="4"/>
        <v xml:space="preserve"> </v>
      </c>
      <c r="M12" s="281" t="str">
        <f t="shared" si="1"/>
        <v xml:space="preserve"> </v>
      </c>
      <c r="N12" s="281" t="str">
        <f t="shared" si="2"/>
        <v xml:space="preserve"> </v>
      </c>
      <c r="O12" s="276" t="str">
        <f t="shared" si="3"/>
        <v/>
      </c>
      <c r="P12" s="272" t="str">
        <f>IFERROR(IF('Lookup Table'!$F$13='Project Summary'!$C$10, ROUND(L12*'Lookup Table'!$G$8+AVERAGE(M12,N12)*'Lookup Table'!$G$9,2), ROUND(L12*'Lookup Table'!$H$8+AVERAGE(M12,N12)*'Lookup Table'!$H$9,2)),"")</f>
        <v/>
      </c>
      <c r="Q12" s="270" t="str">
        <f>IFERROR(P12*'Project Summary'!$H$20/'Project Summary'!$G$20,"")</f>
        <v/>
      </c>
    </row>
    <row r="13" spans="1:17" s="68" customFormat="1" ht="21.75" customHeight="1" x14ac:dyDescent="0.2">
      <c r="B13" s="78">
        <v>6</v>
      </c>
      <c r="C13" s="80"/>
      <c r="D13" s="159"/>
      <c r="E13" s="159"/>
      <c r="F13" s="159"/>
      <c r="G13" s="273"/>
      <c r="H13" s="314">
        <f>IF(E13&lt;300, IF(F13="VFD", 'Lookup Table'!N52, IF(F13="VI", 'Lookup Table'!O52, 'Lookup Table'!P52)), IF(E13 &gt; 700,  IF(F13="VFD", 'Lookup Table'!N54, IF(F13="VI", 'Lookup Table'!O54, 'Lookup Table'!P54)),  IF(F13="VFD", 'Lookup Table'!N53, IF(F13="VI", 'Lookup Table'!O53, 'Lookup Table'!P53))))*D13</f>
        <v>0</v>
      </c>
      <c r="I13" s="283" t="e">
        <f>IF(E13&lt;350, IF(G13="VFD",'Lookup Table'!N31, IF(G13="VI", 'Lookup Table'!O31, 'Lookup Table'!P31)), IF(E13 &gt; 1500,  IF(G13="VFD", 'Lookup Table'!N33, IF(G13="VI", 'Lookup Table'!O33, 'Lookup Table'!P33)),  IF(G13="VFD", 'Lookup Table'!N32, IF(G13="VI", 'Lookup Table'!O32, 'Lookup Table'!P32))))*D13</f>
        <v>#NUM!</v>
      </c>
      <c r="J13" s="232">
        <f>IF(G13=0, 0,IF(E13 &lt; 1500, IF(G13 = "VFD", 'Lookup Table'!$P$17, 'Lookup Table'!$P$18), 'Lookup Table'!$P$20))</f>
        <v>0</v>
      </c>
      <c r="K13" s="334">
        <f t="shared" si="0"/>
        <v>0</v>
      </c>
      <c r="L13" s="337" t="str">
        <f t="shared" si="4"/>
        <v xml:space="preserve"> </v>
      </c>
      <c r="M13" s="281" t="str">
        <f t="shared" si="1"/>
        <v xml:space="preserve"> </v>
      </c>
      <c r="N13" s="281" t="str">
        <f t="shared" si="2"/>
        <v xml:space="preserve"> </v>
      </c>
      <c r="O13" s="276" t="str">
        <f t="shared" si="3"/>
        <v/>
      </c>
      <c r="P13" s="272" t="str">
        <f>IFERROR(IF('Lookup Table'!$F$13='Project Summary'!$C$10, ROUND(L13*'Lookup Table'!$G$8+AVERAGE(M13,N13)*'Lookup Table'!$G$9,2), ROUND(L13*'Lookup Table'!$H$8+AVERAGE(M13,N13)*'Lookup Table'!$H$9,2)),"")</f>
        <v/>
      </c>
      <c r="Q13" s="270" t="str">
        <f>IFERROR(P13*'Project Summary'!$H$20/'Project Summary'!$G$20,"")</f>
        <v/>
      </c>
    </row>
    <row r="14" spans="1:17" s="68" customFormat="1" ht="21.75" customHeight="1" x14ac:dyDescent="0.2">
      <c r="B14" s="78">
        <v>7</v>
      </c>
      <c r="C14" s="80"/>
      <c r="D14" s="159"/>
      <c r="E14" s="159"/>
      <c r="F14" s="159"/>
      <c r="G14" s="273"/>
      <c r="H14" s="314">
        <f>IF(E14&lt;300, IF(F14="VFD", 'Lookup Table'!J56, IF(F14="VI", 'Lookup Table'!K56, 'Lookup Table'!L56)), IF(E14 &gt; 700,  IF(F14="VFD", 'Lookup Table'!J58, IF(F14="VI", 'Lookup Table'!K58, 'Lookup Table'!L58)),  IF(F14="VFD", 'Lookup Table'!J57, IF(F14="VI", 'Lookup Table'!K57, 'Lookup Table'!L57))))*D14</f>
        <v>0</v>
      </c>
      <c r="I14" s="283" t="e">
        <f>IF(E14&lt;350, IF(G14="VFD",'Lookup Table'!J35, IF(G14="VI", 'Lookup Table'!K35, 'Lookup Table'!L35)), IF(E14 &gt; 1500,  IF(G14="VFD", 'Lookup Table'!J37, IF(G14="VI", 'Lookup Table'!K37, 'Lookup Table'!L37)),  IF(G14="VFD", 'Lookup Table'!J36, IF(G14="VI", 'Lookup Table'!K36, 'Lookup Table'!L36))))*D14</f>
        <v>#NUM!</v>
      </c>
      <c r="J14" s="232">
        <f>IF(G14=0, 0,IF(E14 &lt; 1500, IF(G14 = "VFD", 'Lookup Table'!$P$17, 'Lookup Table'!$P$18), 'Lookup Table'!$P$20))</f>
        <v>0</v>
      </c>
      <c r="K14" s="334">
        <f t="shared" si="0"/>
        <v>0</v>
      </c>
      <c r="L14" s="337" t="str">
        <f t="shared" si="4"/>
        <v xml:space="preserve"> </v>
      </c>
      <c r="M14" s="281" t="str">
        <f t="shared" si="1"/>
        <v xml:space="preserve"> </v>
      </c>
      <c r="N14" s="281" t="str">
        <f t="shared" si="2"/>
        <v xml:space="preserve"> </v>
      </c>
      <c r="O14" s="276" t="str">
        <f t="shared" si="3"/>
        <v/>
      </c>
      <c r="P14" s="272" t="str">
        <f>IFERROR(IF('Lookup Table'!$F$13='Project Summary'!$C$10, ROUND(L14*'Lookup Table'!$G$8+AVERAGE(M14,N14)*'Lookup Table'!$G$9,2), ROUND(L14*'Lookup Table'!$H$8+AVERAGE(M14,N14)*'Lookup Table'!$H$9,2)),"")</f>
        <v/>
      </c>
      <c r="Q14" s="270" t="str">
        <f>IFERROR(P14*'Project Summary'!$H$20/'Project Summary'!$G$20,"")</f>
        <v/>
      </c>
    </row>
    <row r="15" spans="1:17" s="68" customFormat="1" ht="21.75" customHeight="1" x14ac:dyDescent="0.2">
      <c r="B15" s="78">
        <v>8</v>
      </c>
      <c r="C15" s="80"/>
      <c r="D15" s="159"/>
      <c r="E15" s="159"/>
      <c r="F15" s="159"/>
      <c r="G15" s="273"/>
      <c r="H15" s="314">
        <f>IF(E15&lt;300, IF(F15="VFD", 'Lookup Table'!N56, IF(F15="VI", 'Lookup Table'!O56, 'Lookup Table'!P56)), IF(E15 &gt; 700,  IF(F15="VFD", 'Lookup Table'!N58, IF(F15="VI", 'Lookup Table'!O58, 'Lookup Table'!P58)),  IF(F15="VFD", 'Lookup Table'!N57, IF(F15="VI", 'Lookup Table'!O57, 'Lookup Table'!P57))))*D15</f>
        <v>0</v>
      </c>
      <c r="I15" s="283" t="e">
        <f>IF(E15&lt;350, IF(G15="VFD",'Lookup Table'!N35, IF(G15="VI", 'Lookup Table'!O35, 'Lookup Table'!P35)), IF(E15 &gt; 1500,  IF(G15="VFD", 'Lookup Table'!N37, IF(G15="VI", 'Lookup Table'!O37, 'Lookup Table'!P37)),  IF(G15="VFD", 'Lookup Table'!N36, IF(G15="VI", 'Lookup Table'!O36, 'Lookup Table'!P36))))*D15</f>
        <v>#NUM!</v>
      </c>
      <c r="J15" s="232">
        <f>IF(G15=0, 0,IF(E15 &lt; 1500, IF(G15 = "VFD", 'Lookup Table'!$P$17, 'Lookup Table'!$P$18), 'Lookup Table'!$P$20))</f>
        <v>0</v>
      </c>
      <c r="K15" s="334">
        <f t="shared" si="0"/>
        <v>0</v>
      </c>
      <c r="L15" s="337" t="str">
        <f t="shared" si="4"/>
        <v xml:space="preserve"> </v>
      </c>
      <c r="M15" s="281" t="str">
        <f t="shared" si="1"/>
        <v xml:space="preserve"> </v>
      </c>
      <c r="N15" s="281" t="str">
        <f t="shared" si="2"/>
        <v xml:space="preserve"> </v>
      </c>
      <c r="O15" s="276" t="str">
        <f t="shared" si="3"/>
        <v/>
      </c>
      <c r="P15" s="272" t="str">
        <f>IFERROR(IF('Lookup Table'!$F$13='Project Summary'!$C$10, ROUND(L15*'Lookup Table'!$G$8+AVERAGE(M15,N15)*'Lookup Table'!$G$9,2), ROUND(L15*'Lookup Table'!$H$8+AVERAGE(M15,N15)*'Lookup Table'!$H$9,2)),"")</f>
        <v/>
      </c>
      <c r="Q15" s="270" t="str">
        <f>IFERROR(P15*'Project Summary'!$H$20/'Project Summary'!$G$20,"")</f>
        <v/>
      </c>
    </row>
    <row r="16" spans="1:17" s="68" customFormat="1" ht="21.75" customHeight="1" x14ac:dyDescent="0.2">
      <c r="B16" s="78">
        <v>9</v>
      </c>
      <c r="C16" s="80"/>
      <c r="D16" s="159"/>
      <c r="E16" s="159"/>
      <c r="F16" s="159"/>
      <c r="G16" s="273"/>
      <c r="H16" s="314">
        <f>IF(E16&lt;300, IF(F16="VFD", 'Lookup Table'!J60, IF(F16="VI", 'Lookup Table'!K60, 'Lookup Table'!L60)), IF(E16 &gt; 700,  IF(F16="VFD", 'Lookup Table'!J62, IF(F16="VI", 'Lookup Table'!K62, 'Lookup Table'!L62)),  IF(F16="VFD", 'Lookup Table'!J61, IF(F16="VI", 'Lookup Table'!K61, 'Lookup Table'!L61))))*D16</f>
        <v>0</v>
      </c>
      <c r="I16" s="283" t="e">
        <f>IF(E16&lt;350, IF(G16="VFD",'Lookup Table'!J39, IF(G16="VI", 'Lookup Table'!K39, 'Lookup Table'!L39)), IF(E16 &gt; 1500,  IF(G16="VFD", 'Lookup Table'!J41, IF(G16="VI", 'Lookup Table'!K41, 'Lookup Table'!L41)),  IF(G16="VFD", 'Lookup Table'!J40, IF(G16="VI", 'Lookup Table'!K40, 'Lookup Table'!L40))))*D16</f>
        <v>#NUM!</v>
      </c>
      <c r="J16" s="232">
        <f>IF(G16=0, 0,IF(E16 &lt; 1500, IF(G16 = "VFD", 'Lookup Table'!$P$17, 'Lookup Table'!$P$18), 'Lookup Table'!$P$20))</f>
        <v>0</v>
      </c>
      <c r="K16" s="334">
        <f t="shared" si="0"/>
        <v>0</v>
      </c>
      <c r="L16" s="337" t="str">
        <f t="shared" si="4"/>
        <v xml:space="preserve"> </v>
      </c>
      <c r="M16" s="281" t="str">
        <f t="shared" si="1"/>
        <v xml:space="preserve"> </v>
      </c>
      <c r="N16" s="281" t="str">
        <f t="shared" si="2"/>
        <v xml:space="preserve"> </v>
      </c>
      <c r="O16" s="276" t="str">
        <f t="shared" si="3"/>
        <v/>
      </c>
      <c r="P16" s="320" t="str">
        <f>IFERROR(IF('Lookup Table'!$F$13='Project Summary'!$C$10, ROUND(L16*'Lookup Table'!$G$8+AVERAGE(M16,N16)*'Lookup Table'!$G$9,2), ROUND(L16*'Lookup Table'!$H$8+AVERAGE(M16,N16)*'Lookup Table'!$H$9,2)),"")</f>
        <v/>
      </c>
      <c r="Q16" s="270" t="str">
        <f>IFERROR(P16*'Project Summary'!$H$20/'Project Summary'!$G$20,"")</f>
        <v/>
      </c>
    </row>
    <row r="17" spans="2:17" s="68" customFormat="1" ht="21.75" customHeight="1" thickBot="1" x14ac:dyDescent="0.25">
      <c r="B17" s="79">
        <v>10</v>
      </c>
      <c r="C17" s="81"/>
      <c r="D17" s="161"/>
      <c r="E17" s="161"/>
      <c r="F17" s="161"/>
      <c r="G17" s="274"/>
      <c r="H17" s="315">
        <f>IF(E17&lt;300, IF(F17="VFD", 'Lookup Table'!N60, IF(F17="VI", 'Lookup Table'!O60, 'Lookup Table'!P60)), IF(E17 &gt; 700,  IF(F17="VFD", 'Lookup Table'!N62, IF(F17="VI", 'Lookup Table'!O62, 'Lookup Table'!P62)),  IF(F17="VFD", 'Lookup Table'!N61, IF(F17="VI", 'Lookup Table'!O61, 'Lookup Table'!P61))))*D17</f>
        <v>0</v>
      </c>
      <c r="I17" s="284" t="e">
        <f>IF(E17&lt;350, IF(G17="VFD",'Lookup Table'!N39, IF(G17="VI", 'Lookup Table'!O39, 'Lookup Table'!P39)), IF(E17 &gt; 1500,  IF(G17="VFD", 'Lookup Table'!N41, IF(G17="VI", 'Lookup Table'!O41, 'Lookup Table'!P41)),  IF(G17="VFD", 'Lookup Table'!N40, IF(G17="VI", 'Lookup Table'!O40, 'Lookup Table'!P40))))*D17</f>
        <v>#NUM!</v>
      </c>
      <c r="J17" s="233">
        <f>IF(G17=0, 0,IF(E17 &lt; 1500, IF(G17 = "VFD", 'Lookup Table'!$P$17, 'Lookup Table'!$P$18), 'Lookup Table'!$P$20))</f>
        <v>0</v>
      </c>
      <c r="K17" s="335">
        <f t="shared" si="0"/>
        <v>0</v>
      </c>
      <c r="L17" s="338" t="str">
        <f t="shared" si="4"/>
        <v xml:space="preserve"> </v>
      </c>
      <c r="M17" s="282" t="str">
        <f t="shared" si="1"/>
        <v xml:space="preserve"> </v>
      </c>
      <c r="N17" s="282" t="str">
        <f t="shared" si="2"/>
        <v xml:space="preserve"> </v>
      </c>
      <c r="O17" s="277" t="str">
        <f t="shared" si="3"/>
        <v/>
      </c>
      <c r="P17" s="268" t="str">
        <f>IFERROR(IF('Lookup Table'!$F$13='Project Summary'!$C$10, ROUND(L17*'Lookup Table'!$G$8+AVERAGE(M17,N17)*'Lookup Table'!$G$9,2), ROUND(L17*'Lookup Table'!$H$8+AVERAGE(M17,N17)*'Lookup Table'!$H$9,2)),"")</f>
        <v/>
      </c>
      <c r="Q17" s="271" t="str">
        <f>IFERROR(P17*'Project Summary'!$H$20/'Project Summary'!$G$20,"")</f>
        <v/>
      </c>
    </row>
    <row r="18" spans="2:17" s="68" customFormat="1" ht="21.75" customHeight="1" x14ac:dyDescent="0.2"/>
    <row r="19" spans="2:17" s="68" customFormat="1" ht="21.75" customHeight="1" x14ac:dyDescent="0.2"/>
    <row r="20" spans="2:17" ht="21.75" customHeight="1" x14ac:dyDescent="0.2"/>
    <row r="21" spans="2:17" ht="21.75" customHeight="1" x14ac:dyDescent="0.2">
      <c r="B21" s="74"/>
      <c r="M21" s="170"/>
      <c r="N21" s="170"/>
      <c r="O21" s="170"/>
    </row>
    <row r="22" spans="2:17" ht="21.75" customHeight="1" x14ac:dyDescent="0.2"/>
    <row r="23" spans="2:17" ht="21.75" customHeight="1" x14ac:dyDescent="0.2"/>
    <row r="24" spans="2:17" ht="21.75" customHeight="1" x14ac:dyDescent="0.2"/>
    <row r="25" spans="2:17" ht="21.75" customHeight="1" x14ac:dyDescent="0.2"/>
  </sheetData>
  <sheetProtection algorithmName="SHA-512" hashValue="2OeCVhHAX2H+65rQ8TPt8xKAxptrqArsimtgs1zH6syXYdDmYysPZcQP2tZR9sF5QMg7nKZ2Dirqk5JmggXzcA==" saltValue="ykWFyivi8oDfx3v4hF1EcA==" spinCount="100000" sheet="1" formatColumns="0"/>
  <protectedRanges>
    <protectedRange sqref="C8:G17" name="Inputs"/>
  </protectedRanges>
  <mergeCells count="7">
    <mergeCell ref="B6:B7"/>
    <mergeCell ref="B4:Q4"/>
    <mergeCell ref="Q6:Q7"/>
    <mergeCell ref="C6:G6"/>
    <mergeCell ref="P6:P7"/>
    <mergeCell ref="L6:O6"/>
    <mergeCell ref="H6:K6"/>
  </mergeCells>
  <dataValidations disablePrompts="1" count="1">
    <dataValidation type="whole" operator="greaterThan" allowBlank="1" showInputMessage="1" showErrorMessage="1" error="Must be a whole number" sqref="D8:E17" xr:uid="{B3B320F0-07D5-4D52-80BD-EC5317A33B64}">
      <formula1>0</formula1>
    </dataValidation>
  </dataValidations>
  <pageMargins left="0.5" right="0.5" top="0.5" bottom="0.5" header="0.3" footer="0.3"/>
  <pageSetup orientation="portrait" r:id="rId1"/>
  <drawing r:id="rId2"/>
  <extLst>
    <ext xmlns:x14="http://schemas.microsoft.com/office/spreadsheetml/2009/9/main" uri="{CCE6A557-97BC-4b89-ADB6-D9C93CAAB3DF}">
      <x14:dataValidations xmlns:xm="http://schemas.microsoft.com/office/excel/2006/main" disablePrompts="1" count="1">
        <x14:dataValidation type="list" operator="greaterThan" allowBlank="1" showInputMessage="1" showErrorMessage="1" error="Must be a whole number" xr:uid="{811B7629-A19E-4C71-A3D8-2AA95E8F3274}">
          <x14:formula1>
            <xm:f>'Lookup Table'!$L$17:$L$19</xm:f>
          </x14:formula1>
          <xm:sqref>F8:G17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03E0D-6B00-466E-BD6C-BCB82828FF83}">
  <sheetPr codeName="Sheet8"/>
  <dimension ref="A1:AD42"/>
  <sheetViews>
    <sheetView zoomScale="80" zoomScaleNormal="80" workbookViewId="0">
      <pane xSplit="2" ySplit="2" topLeftCell="C3" activePane="bottomRight" state="frozen"/>
      <selection pane="topRight" activeCell="C1" sqref="C1"/>
      <selection pane="bottomLeft" activeCell="A3" sqref="A3"/>
      <selection pane="bottomRight" activeCell="AG44" sqref="AG44"/>
    </sheetView>
  </sheetViews>
  <sheetFormatPr defaultRowHeight="14.25" x14ac:dyDescent="0.2"/>
  <cols>
    <col min="1" max="1" width="13.125" bestFit="1" customWidth="1"/>
    <col min="2" max="2" width="17.625" customWidth="1"/>
    <col min="3" max="14" width="12.5" customWidth="1"/>
    <col min="15" max="16" width="13.625" customWidth="1"/>
    <col min="17" max="17" width="13.5" customWidth="1"/>
    <col min="18" max="30" width="13.125" customWidth="1"/>
    <col min="31" max="31" width="28.125" bestFit="1" customWidth="1"/>
    <col min="32" max="32" width="10.625" bestFit="1" customWidth="1"/>
    <col min="33" max="33" width="14" bestFit="1" customWidth="1"/>
    <col min="34" max="34" width="19.625" bestFit="1" customWidth="1"/>
  </cols>
  <sheetData>
    <row r="1" spans="1:30" s="293" customFormat="1" ht="68.25" customHeight="1" x14ac:dyDescent="0.2">
      <c r="B1" s="297" t="s">
        <v>114</v>
      </c>
      <c r="C1" s="297" t="s">
        <v>115</v>
      </c>
      <c r="D1" s="297" t="s">
        <v>116</v>
      </c>
      <c r="E1" s="297" t="s">
        <v>117</v>
      </c>
      <c r="F1" s="297" t="s">
        <v>118</v>
      </c>
      <c r="G1" s="297" t="s">
        <v>119</v>
      </c>
      <c r="H1" s="296" t="s">
        <v>120</v>
      </c>
      <c r="I1" s="296" t="s">
        <v>121</v>
      </c>
      <c r="J1" s="297" t="s">
        <v>122</v>
      </c>
      <c r="K1" s="297" t="s">
        <v>123</v>
      </c>
      <c r="L1" s="296" t="s">
        <v>124</v>
      </c>
      <c r="M1" s="297" t="s">
        <v>125</v>
      </c>
      <c r="N1" s="297" t="s">
        <v>126</v>
      </c>
      <c r="O1" s="297" t="s">
        <v>127</v>
      </c>
      <c r="P1" s="297" t="s">
        <v>128</v>
      </c>
      <c r="Q1" s="297" t="s">
        <v>129</v>
      </c>
      <c r="R1" s="297" t="s">
        <v>130</v>
      </c>
      <c r="S1" s="297" t="s">
        <v>131</v>
      </c>
      <c r="T1" s="297" t="s">
        <v>132</v>
      </c>
      <c r="U1" s="297" t="s">
        <v>133</v>
      </c>
      <c r="V1" s="297" t="s">
        <v>134</v>
      </c>
      <c r="W1" s="297" t="s">
        <v>135</v>
      </c>
      <c r="X1" s="297" t="s">
        <v>136</v>
      </c>
      <c r="Y1" s="297" t="s">
        <v>137</v>
      </c>
      <c r="Z1" s="297" t="s">
        <v>138</v>
      </c>
      <c r="AA1" s="297" t="s">
        <v>139</v>
      </c>
      <c r="AB1" s="297" t="s">
        <v>140</v>
      </c>
      <c r="AC1" s="297" t="s">
        <v>141</v>
      </c>
      <c r="AD1" s="297" t="s">
        <v>142</v>
      </c>
    </row>
    <row r="2" spans="1:30" s="293" customFormat="1" ht="85.5" x14ac:dyDescent="0.2">
      <c r="A2" s="294" t="s">
        <v>143</v>
      </c>
      <c r="B2" s="294" t="s">
        <v>144</v>
      </c>
      <c r="C2" s="294" t="s">
        <v>145</v>
      </c>
      <c r="D2" s="294" t="s">
        <v>146</v>
      </c>
      <c r="E2" s="294" t="s">
        <v>147</v>
      </c>
      <c r="F2" s="294" t="s">
        <v>33</v>
      </c>
      <c r="G2" s="294" t="s">
        <v>62</v>
      </c>
      <c r="H2" s="294" t="s">
        <v>148</v>
      </c>
      <c r="I2" s="294" t="s">
        <v>149</v>
      </c>
      <c r="J2" s="294" t="s">
        <v>150</v>
      </c>
      <c r="K2" s="294" t="s">
        <v>151</v>
      </c>
      <c r="L2" s="294" t="s">
        <v>152</v>
      </c>
      <c r="M2" s="294" t="s">
        <v>153</v>
      </c>
      <c r="N2" s="294" t="s">
        <v>154</v>
      </c>
      <c r="O2" s="294" t="s">
        <v>155</v>
      </c>
      <c r="P2" s="294" t="s">
        <v>156</v>
      </c>
      <c r="Q2" s="294" t="s">
        <v>157</v>
      </c>
      <c r="R2" s="294" t="s">
        <v>158</v>
      </c>
      <c r="S2" s="294" t="s">
        <v>159</v>
      </c>
      <c r="T2" s="294" t="s">
        <v>160</v>
      </c>
      <c r="U2" s="294" t="s">
        <v>161</v>
      </c>
      <c r="V2" s="294" t="s">
        <v>162</v>
      </c>
      <c r="W2" s="294" t="s">
        <v>163</v>
      </c>
      <c r="X2" s="294" t="s">
        <v>164</v>
      </c>
      <c r="Y2" s="294" t="s">
        <v>165</v>
      </c>
      <c r="Z2" s="294" t="s">
        <v>166</v>
      </c>
      <c r="AA2" s="294" t="s">
        <v>167</v>
      </c>
      <c r="AB2" s="294" t="s">
        <v>168</v>
      </c>
      <c r="AC2" s="294" t="s">
        <v>169</v>
      </c>
      <c r="AD2" s="294" t="s">
        <v>170</v>
      </c>
    </row>
    <row r="3" spans="1:30" x14ac:dyDescent="0.2">
      <c r="A3" s="307" t="s">
        <v>171</v>
      </c>
      <c r="B3" s="307" t="str">
        <f>IF(C3="", "", "Transformer")</f>
        <v/>
      </c>
      <c r="C3" t="str">
        <f>IF('High Efficiency Transformer'!E8="","",'High Efficiency Transformer'!E8)</f>
        <v/>
      </c>
      <c r="D3" t="str">
        <f>IF(C3="","",ROUND(E3/C3,2))</f>
        <v/>
      </c>
      <c r="E3" s="163" t="str">
        <f>IF(C3="","",'High Efficiency Transformer'!M8)</f>
        <v/>
      </c>
      <c r="F3" t="str">
        <f>IF($C3="","",'High Efficiency Transformer'!H8)</f>
        <v/>
      </c>
      <c r="G3" t="str">
        <f>IF($C3="","",'High Efficiency Transformer'!K8)</f>
        <v/>
      </c>
      <c r="H3" t="str">
        <f>IF($C3="","",'Project Summary'!$C$13)</f>
        <v/>
      </c>
      <c r="I3" t="str">
        <f>IF($C3="","",'Project Summary'!$C$12)</f>
        <v/>
      </c>
      <c r="J3" s="295" t="str">
        <f>IF($C3="","",'Project Summary'!$C$9)</f>
        <v/>
      </c>
      <c r="L3" t="str">
        <f>IF(C3="","",'Version Log'!$B$8)</f>
        <v/>
      </c>
      <c r="M3" s="298" t="str">
        <f>IF($C3="","",'High Efficiency Transformer'!I8)</f>
        <v/>
      </c>
      <c r="N3" s="298" t="str">
        <f>IF($C3="","",'High Efficiency Transformer'!J8)</f>
        <v/>
      </c>
      <c r="Q3" s="301" t="str">
        <f>IF($C3="","",'High Efficiency Transformer'!F8)</f>
        <v/>
      </c>
      <c r="R3" s="303" t="str">
        <f>IF($C3="","",Calculations!E7)</f>
        <v/>
      </c>
      <c r="S3" s="303" t="str">
        <f>IF($C3="","",Calculations!F7)</f>
        <v/>
      </c>
      <c r="T3" s="300" t="str">
        <f>IF($C3="","",Calculations!G7)</f>
        <v/>
      </c>
      <c r="U3" s="300" t="str">
        <f>IF($C3="","",Calculations!H7)</f>
        <v/>
      </c>
      <c r="W3" s="300" t="str">
        <f>IF($C3="","",'High Efficiency Transformer'!D8)</f>
        <v/>
      </c>
      <c r="X3" s="303" t="str">
        <f>IF($C3="","",'High Efficiency Transformer'!G8)</f>
        <v/>
      </c>
      <c r="Y3" s="303"/>
      <c r="Z3" s="303"/>
      <c r="AA3" s="303"/>
      <c r="AB3" s="303"/>
      <c r="AC3" s="303"/>
      <c r="AD3" s="303"/>
    </row>
    <row r="4" spans="1:30" x14ac:dyDescent="0.2">
      <c r="A4" s="307" t="s">
        <v>171</v>
      </c>
      <c r="B4" s="307" t="str">
        <f t="shared" ref="B4:B12" si="0">IF(C4="", "", "Transformer")</f>
        <v/>
      </c>
      <c r="C4" t="str">
        <f>IF('High Efficiency Transformer'!E9="","",'High Efficiency Transformer'!E9)</f>
        <v/>
      </c>
      <c r="D4" t="str">
        <f t="shared" ref="D4:D33" si="1">IF(C4="","",ROUND(E4/C4,2))</f>
        <v/>
      </c>
      <c r="E4" s="163" t="str">
        <f>IF(C4="","",'High Efficiency Transformer'!M9)</f>
        <v/>
      </c>
      <c r="F4" t="str">
        <f>IF($C4="","",'High Efficiency Transformer'!H9)</f>
        <v/>
      </c>
      <c r="G4" t="str">
        <f>IF($C4="","",'High Efficiency Transformer'!K9)</f>
        <v/>
      </c>
      <c r="H4" t="str">
        <f>IF($C4="","",'Project Summary'!$C$13)</f>
        <v/>
      </c>
      <c r="I4" t="str">
        <f>IF($C4="","",'Project Summary'!$C$12)</f>
        <v/>
      </c>
      <c r="J4" s="295" t="str">
        <f>IF($C4="","",'Project Summary'!$C$9)</f>
        <v/>
      </c>
      <c r="L4" t="str">
        <f>IF(C4="","",'Version Log'!$B$8)</f>
        <v/>
      </c>
      <c r="M4" s="298" t="str">
        <f>IF($C4="","",'High Efficiency Transformer'!I9)</f>
        <v/>
      </c>
      <c r="N4" s="298" t="str">
        <f>IF($C4="","",'High Efficiency Transformer'!J9)</f>
        <v/>
      </c>
      <c r="Q4" s="302" t="str">
        <f>IF($C4="","",'High Efficiency Transformer'!F9)</f>
        <v/>
      </c>
      <c r="R4" s="163" t="str">
        <f>IF($C4="","",Calculations!E8)</f>
        <v/>
      </c>
      <c r="S4" s="163" t="str">
        <f>IF($C4="","",Calculations!F8)</f>
        <v/>
      </c>
      <c r="T4" t="str">
        <f>IF($C4="","",Calculations!G8)</f>
        <v/>
      </c>
      <c r="U4" t="str">
        <f>IF($C4="","",Calculations!H8)</f>
        <v/>
      </c>
      <c r="W4" t="str">
        <f>IF($C4="","",'High Efficiency Transformer'!D9)</f>
        <v/>
      </c>
      <c r="X4" s="163" t="str">
        <f>IF($C4="","",'High Efficiency Transformer'!G9)</f>
        <v/>
      </c>
      <c r="Y4" s="163"/>
      <c r="Z4" s="163"/>
      <c r="AA4" s="163"/>
      <c r="AB4" s="163"/>
      <c r="AC4" s="163"/>
      <c r="AD4" s="163"/>
    </row>
    <row r="5" spans="1:30" x14ac:dyDescent="0.2">
      <c r="A5" s="307" t="s">
        <v>171</v>
      </c>
      <c r="B5" s="307" t="str">
        <f t="shared" si="0"/>
        <v/>
      </c>
      <c r="C5" t="str">
        <f>IF('High Efficiency Transformer'!E10="","",'High Efficiency Transformer'!E10)</f>
        <v/>
      </c>
      <c r="D5" t="str">
        <f t="shared" si="1"/>
        <v/>
      </c>
      <c r="E5" s="163" t="str">
        <f>IF(C5="","",'High Efficiency Transformer'!M10)</f>
        <v/>
      </c>
      <c r="F5" t="str">
        <f>IF($C5="","",'High Efficiency Transformer'!H10)</f>
        <v/>
      </c>
      <c r="G5" t="str">
        <f>IF($C5="","",'High Efficiency Transformer'!K10)</f>
        <v/>
      </c>
      <c r="H5" t="str">
        <f>IF($C5="","",'Project Summary'!$C$13)</f>
        <v/>
      </c>
      <c r="I5" t="str">
        <f>IF($C5="","",'Project Summary'!$C$12)</f>
        <v/>
      </c>
      <c r="J5" s="295" t="str">
        <f>IF($C5="","",'Project Summary'!$C$9)</f>
        <v/>
      </c>
      <c r="L5" t="str">
        <f>IF(C5="","",'Version Log'!$B$8)</f>
        <v/>
      </c>
      <c r="M5" s="298" t="str">
        <f>IF($C5="","",'High Efficiency Transformer'!I10)</f>
        <v/>
      </c>
      <c r="N5" s="298" t="str">
        <f>IF($C5="","",'High Efficiency Transformer'!J10)</f>
        <v/>
      </c>
      <c r="Q5" s="302" t="str">
        <f>IF($C5="","",'High Efficiency Transformer'!F10)</f>
        <v/>
      </c>
      <c r="R5" s="163" t="str">
        <f>IF($C5="","",Calculations!E9)</f>
        <v/>
      </c>
      <c r="S5" s="163" t="str">
        <f>IF($C5="","",Calculations!F9)</f>
        <v/>
      </c>
      <c r="T5" t="str">
        <f>IF($C5="","",Calculations!G9)</f>
        <v/>
      </c>
      <c r="U5" t="str">
        <f>IF($C5="","",Calculations!H9)</f>
        <v/>
      </c>
      <c r="W5" t="str">
        <f>IF($C5="","",'High Efficiency Transformer'!D10)</f>
        <v/>
      </c>
      <c r="X5" s="163" t="str">
        <f>IF($C5="","",'High Efficiency Transformer'!G10)</f>
        <v/>
      </c>
      <c r="Y5" s="163"/>
      <c r="Z5" s="163"/>
      <c r="AA5" s="163"/>
      <c r="AB5" s="163"/>
      <c r="AC5" s="163"/>
      <c r="AD5" s="163"/>
    </row>
    <row r="6" spans="1:30" x14ac:dyDescent="0.2">
      <c r="A6" s="307" t="s">
        <v>171</v>
      </c>
      <c r="B6" s="307" t="str">
        <f t="shared" si="0"/>
        <v/>
      </c>
      <c r="C6" t="str">
        <f>IF('High Efficiency Transformer'!E11="","",'High Efficiency Transformer'!E11)</f>
        <v/>
      </c>
      <c r="D6" t="str">
        <f t="shared" si="1"/>
        <v/>
      </c>
      <c r="E6" s="163" t="str">
        <f>IF(C6="","",'High Efficiency Transformer'!M11)</f>
        <v/>
      </c>
      <c r="F6" t="str">
        <f>IF($C6="","",'High Efficiency Transformer'!H11)</f>
        <v/>
      </c>
      <c r="G6" t="str">
        <f>IF($C6="","",'High Efficiency Transformer'!K11)</f>
        <v/>
      </c>
      <c r="H6" t="str">
        <f>IF($C6="","",'Project Summary'!$C$13)</f>
        <v/>
      </c>
      <c r="I6" t="str">
        <f>IF($C6="","",'Project Summary'!$C$12)</f>
        <v/>
      </c>
      <c r="J6" s="295" t="str">
        <f>IF($C6="","",'Project Summary'!$C$9)</f>
        <v/>
      </c>
      <c r="L6" t="str">
        <f>IF(C6="","",'Version Log'!$B$8)</f>
        <v/>
      </c>
      <c r="M6" s="298" t="str">
        <f>IF($C6="","",'High Efficiency Transformer'!I11)</f>
        <v/>
      </c>
      <c r="N6" s="298" t="str">
        <f>IF($C6="","",'High Efficiency Transformer'!J11)</f>
        <v/>
      </c>
      <c r="Q6" s="302" t="str">
        <f>IF($C6="","",'High Efficiency Transformer'!F11)</f>
        <v/>
      </c>
      <c r="R6" s="163" t="str">
        <f>IF($C6="","",Calculations!E10)</f>
        <v/>
      </c>
      <c r="S6" s="163" t="str">
        <f>IF($C6="","",Calculations!F10)</f>
        <v/>
      </c>
      <c r="T6" t="str">
        <f>IF($C6="","",Calculations!G10)</f>
        <v/>
      </c>
      <c r="U6" t="str">
        <f>IF($C6="","",Calculations!H10)</f>
        <v/>
      </c>
      <c r="W6" t="str">
        <f>IF($C6="","",'High Efficiency Transformer'!D11)</f>
        <v/>
      </c>
      <c r="X6" s="163" t="str">
        <f>IF($C6="","",'High Efficiency Transformer'!G11)</f>
        <v/>
      </c>
      <c r="Y6" s="163"/>
      <c r="Z6" s="163"/>
      <c r="AA6" s="163"/>
      <c r="AB6" s="163"/>
      <c r="AC6" s="163"/>
      <c r="AD6" s="163"/>
    </row>
    <row r="7" spans="1:30" x14ac:dyDescent="0.2">
      <c r="A7" s="307" t="s">
        <v>171</v>
      </c>
      <c r="B7" s="307" t="str">
        <f>IF(C7="", "", "Transformer")</f>
        <v/>
      </c>
      <c r="C7" t="str">
        <f>IF('High Efficiency Transformer'!E12="","",'High Efficiency Transformer'!E12)</f>
        <v/>
      </c>
      <c r="D7" t="str">
        <f t="shared" si="1"/>
        <v/>
      </c>
      <c r="E7" s="163" t="str">
        <f>IF(C7="","",'High Efficiency Transformer'!M12)</f>
        <v/>
      </c>
      <c r="F7" t="str">
        <f>IF($C7="","",'High Efficiency Transformer'!H12)</f>
        <v/>
      </c>
      <c r="G7" t="str">
        <f>IF($C7="","",'High Efficiency Transformer'!K12)</f>
        <v/>
      </c>
      <c r="H7" t="str">
        <f>IF($C7="","",'Project Summary'!$C$13)</f>
        <v/>
      </c>
      <c r="I7" t="str">
        <f>IF($C7="","",'Project Summary'!$C$12)</f>
        <v/>
      </c>
      <c r="J7" s="295" t="str">
        <f>IF($C7="","",'Project Summary'!$C$9)</f>
        <v/>
      </c>
      <c r="L7" t="str">
        <f>IF(C7="","",'Version Log'!$B$8)</f>
        <v/>
      </c>
      <c r="M7" s="298" t="str">
        <f>IF($C7="","",'High Efficiency Transformer'!I12)</f>
        <v/>
      </c>
      <c r="N7" s="298" t="str">
        <f>IF($C7="","",'High Efficiency Transformer'!J12)</f>
        <v/>
      </c>
      <c r="Q7" s="302" t="str">
        <f>IF($C7="","",'High Efficiency Transformer'!F12)</f>
        <v/>
      </c>
      <c r="R7" s="163" t="str">
        <f>IF($C7="","",Calculations!E11)</f>
        <v/>
      </c>
      <c r="S7" s="163" t="str">
        <f>IF($C7="","",Calculations!F11)</f>
        <v/>
      </c>
      <c r="T7" t="str">
        <f>IF($C7="","",Calculations!G11)</f>
        <v/>
      </c>
      <c r="U7" t="str">
        <f>IF($C7="","",Calculations!H11)</f>
        <v/>
      </c>
      <c r="W7" t="str">
        <f>IF($C7="","",'High Efficiency Transformer'!D12)</f>
        <v/>
      </c>
      <c r="X7" s="163" t="str">
        <f>IF($C7="","",'High Efficiency Transformer'!G12)</f>
        <v/>
      </c>
      <c r="Y7" s="163"/>
      <c r="Z7" s="163"/>
      <c r="AA7" s="163"/>
      <c r="AB7" s="163"/>
      <c r="AC7" s="163"/>
      <c r="AD7" s="163"/>
    </row>
    <row r="8" spans="1:30" x14ac:dyDescent="0.2">
      <c r="A8" s="307" t="s">
        <v>171</v>
      </c>
      <c r="B8" s="307" t="str">
        <f t="shared" si="0"/>
        <v/>
      </c>
      <c r="C8" t="str">
        <f>IF('High Efficiency Transformer'!E13="","",'High Efficiency Transformer'!E13)</f>
        <v/>
      </c>
      <c r="D8" t="str">
        <f t="shared" si="1"/>
        <v/>
      </c>
      <c r="E8" s="163" t="str">
        <f>IF(C8="","",'High Efficiency Transformer'!M13)</f>
        <v/>
      </c>
      <c r="F8" t="str">
        <f>IF($C8="","",'High Efficiency Transformer'!H13)</f>
        <v/>
      </c>
      <c r="G8" t="str">
        <f>IF($C8="","",'High Efficiency Transformer'!K13)</f>
        <v/>
      </c>
      <c r="H8" t="str">
        <f>IF($C8="","",'Project Summary'!$C$13)</f>
        <v/>
      </c>
      <c r="I8" t="str">
        <f>IF($C8="","",'Project Summary'!$C$12)</f>
        <v/>
      </c>
      <c r="J8" s="295" t="str">
        <f>IF($C8="","",'Project Summary'!$C$9)</f>
        <v/>
      </c>
      <c r="L8" t="str">
        <f>IF(C8="","",'Version Log'!$B$8)</f>
        <v/>
      </c>
      <c r="M8" s="298" t="str">
        <f>IF($C8="","",'High Efficiency Transformer'!I13)</f>
        <v/>
      </c>
      <c r="N8" s="298" t="str">
        <f>IF($C8="","",'High Efficiency Transformer'!J13)</f>
        <v/>
      </c>
      <c r="Q8" s="302" t="str">
        <f>IF($C8="","",'High Efficiency Transformer'!F13)</f>
        <v/>
      </c>
      <c r="R8" s="163" t="str">
        <f>IF($C8="","",Calculations!E12)</f>
        <v/>
      </c>
      <c r="S8" s="163" t="str">
        <f>IF($C8="","",Calculations!F12)</f>
        <v/>
      </c>
      <c r="T8" t="str">
        <f>IF($C8="","",Calculations!G12)</f>
        <v/>
      </c>
      <c r="U8" t="str">
        <f>IF($C8="","",Calculations!H12)</f>
        <v/>
      </c>
      <c r="W8" t="str">
        <f>IF($C8="","",'High Efficiency Transformer'!D13)</f>
        <v/>
      </c>
      <c r="X8" s="163" t="str">
        <f>IF($C8="","",'High Efficiency Transformer'!G13)</f>
        <v/>
      </c>
      <c r="Y8" s="163"/>
      <c r="Z8" s="163"/>
      <c r="AA8" s="163"/>
      <c r="AB8" s="163"/>
      <c r="AC8" s="163"/>
      <c r="AD8" s="163"/>
    </row>
    <row r="9" spans="1:30" x14ac:dyDescent="0.2">
      <c r="A9" s="307" t="s">
        <v>171</v>
      </c>
      <c r="B9" s="307" t="str">
        <f t="shared" si="0"/>
        <v/>
      </c>
      <c r="C9" t="str">
        <f>IF('High Efficiency Transformer'!E14="","",'High Efficiency Transformer'!E14)</f>
        <v/>
      </c>
      <c r="D9" t="str">
        <f t="shared" si="1"/>
        <v/>
      </c>
      <c r="E9" s="163" t="str">
        <f>IF(C9="","",'High Efficiency Transformer'!M14)</f>
        <v/>
      </c>
      <c r="F9" t="str">
        <f>IF($C9="","",'High Efficiency Transformer'!H14)</f>
        <v/>
      </c>
      <c r="G9" t="str">
        <f>IF($C9="","",'High Efficiency Transformer'!K14)</f>
        <v/>
      </c>
      <c r="H9" t="str">
        <f>IF($C9="","",'Project Summary'!$C$13)</f>
        <v/>
      </c>
      <c r="I9" t="str">
        <f>IF($C9="","",'Project Summary'!$C$12)</f>
        <v/>
      </c>
      <c r="J9" s="295" t="str">
        <f>IF($C9="","",'Project Summary'!$C$9)</f>
        <v/>
      </c>
      <c r="L9" t="str">
        <f>IF(C9="","",'Version Log'!$B$8)</f>
        <v/>
      </c>
      <c r="M9" s="298" t="str">
        <f>IF($C9="","",'High Efficiency Transformer'!I14)</f>
        <v/>
      </c>
      <c r="N9" s="298" t="str">
        <f>IF($C9="","",'High Efficiency Transformer'!J14)</f>
        <v/>
      </c>
      <c r="Q9" s="302" t="str">
        <f>IF($C9="","",'High Efficiency Transformer'!F14)</f>
        <v/>
      </c>
      <c r="R9" s="163" t="str">
        <f>IF($C9="","",Calculations!E13)</f>
        <v/>
      </c>
      <c r="S9" s="163" t="str">
        <f>IF($C9="","",Calculations!F13)</f>
        <v/>
      </c>
      <c r="T9" t="str">
        <f>IF($C9="","",Calculations!G13)</f>
        <v/>
      </c>
      <c r="U9" t="str">
        <f>IF($C9="","",Calculations!H13)</f>
        <v/>
      </c>
      <c r="W9" t="str">
        <f>IF($C9="","",'High Efficiency Transformer'!D14)</f>
        <v/>
      </c>
      <c r="X9" s="163" t="str">
        <f>IF($C9="","",'High Efficiency Transformer'!G14)</f>
        <v/>
      </c>
      <c r="Y9" s="163"/>
      <c r="Z9" s="163"/>
      <c r="AA9" s="163"/>
      <c r="AB9" s="163"/>
      <c r="AC9" s="163"/>
      <c r="AD9" s="163"/>
    </row>
    <row r="10" spans="1:30" x14ac:dyDescent="0.2">
      <c r="A10" s="307" t="s">
        <v>171</v>
      </c>
      <c r="B10" s="307" t="str">
        <f t="shared" si="0"/>
        <v/>
      </c>
      <c r="C10" t="str">
        <f>IF('High Efficiency Transformer'!E15="","",'High Efficiency Transformer'!E15)</f>
        <v/>
      </c>
      <c r="D10" t="str">
        <f t="shared" si="1"/>
        <v/>
      </c>
      <c r="E10" s="163" t="str">
        <f>IF(C10="","",'High Efficiency Transformer'!M15)</f>
        <v/>
      </c>
      <c r="F10" t="str">
        <f>IF($C10="","",'High Efficiency Transformer'!H15)</f>
        <v/>
      </c>
      <c r="G10" t="str">
        <f>IF($C10="","",'High Efficiency Transformer'!K15)</f>
        <v/>
      </c>
      <c r="H10" t="str">
        <f>IF($C10="","",'Project Summary'!$C$13)</f>
        <v/>
      </c>
      <c r="I10" t="str">
        <f>IF($C10="","",'Project Summary'!$C$12)</f>
        <v/>
      </c>
      <c r="J10" s="295" t="str">
        <f>IF($C10="","",'Project Summary'!$C$9)</f>
        <v/>
      </c>
      <c r="L10" t="str">
        <f>IF(C10="","",'Version Log'!$B$8)</f>
        <v/>
      </c>
      <c r="M10" s="298" t="str">
        <f>IF($C10="","",'High Efficiency Transformer'!I15)</f>
        <v/>
      </c>
      <c r="N10" s="298" t="str">
        <f>IF($C10="","",'High Efficiency Transformer'!J15)</f>
        <v/>
      </c>
      <c r="Q10" s="302" t="str">
        <f>IF($C10="","",'High Efficiency Transformer'!F15)</f>
        <v/>
      </c>
      <c r="R10" s="163" t="str">
        <f>IF($C10="","",Calculations!E14)</f>
        <v/>
      </c>
      <c r="S10" s="163" t="str">
        <f>IF($C10="","",Calculations!F14)</f>
        <v/>
      </c>
      <c r="T10" t="str">
        <f>IF($C10="","",Calculations!G14)</f>
        <v/>
      </c>
      <c r="U10" t="str">
        <f>IF($C10="","",Calculations!H14)</f>
        <v/>
      </c>
      <c r="W10" t="str">
        <f>IF($C10="","",'High Efficiency Transformer'!D15)</f>
        <v/>
      </c>
      <c r="X10" s="163" t="str">
        <f>IF($C10="","",'High Efficiency Transformer'!G15)</f>
        <v/>
      </c>
      <c r="Y10" s="163"/>
      <c r="Z10" s="163"/>
      <c r="AA10" s="163"/>
      <c r="AB10" s="163"/>
      <c r="AC10" s="163"/>
      <c r="AD10" s="163"/>
    </row>
    <row r="11" spans="1:30" x14ac:dyDescent="0.2">
      <c r="A11" s="307" t="s">
        <v>171</v>
      </c>
      <c r="B11" s="307" t="str">
        <f t="shared" si="0"/>
        <v/>
      </c>
      <c r="C11" t="str">
        <f>IF('High Efficiency Transformer'!E16="","",'High Efficiency Transformer'!E16)</f>
        <v/>
      </c>
      <c r="D11" t="str">
        <f t="shared" si="1"/>
        <v/>
      </c>
      <c r="E11" s="163" t="str">
        <f>IF(C11="","",'High Efficiency Transformer'!M16)</f>
        <v/>
      </c>
      <c r="F11" t="str">
        <f>IF($C11="","",'High Efficiency Transformer'!H16)</f>
        <v/>
      </c>
      <c r="G11" t="str">
        <f>IF($C11="","",'High Efficiency Transformer'!K16)</f>
        <v/>
      </c>
      <c r="H11" t="str">
        <f>IF($C11="","",'Project Summary'!$C$13)</f>
        <v/>
      </c>
      <c r="I11" t="str">
        <f>IF($C11="","",'Project Summary'!$C$12)</f>
        <v/>
      </c>
      <c r="J11" s="295" t="str">
        <f>IF($C11="","",'Project Summary'!$C$9)</f>
        <v/>
      </c>
      <c r="L11" t="str">
        <f>IF(C11="","",'Version Log'!$B$8)</f>
        <v/>
      </c>
      <c r="M11" s="298" t="str">
        <f>IF($C11="","",'High Efficiency Transformer'!I16)</f>
        <v/>
      </c>
      <c r="N11" s="298" t="str">
        <f>IF($C11="","",'High Efficiency Transformer'!J16)</f>
        <v/>
      </c>
      <c r="Q11" s="302" t="str">
        <f>IF($C11="","",'High Efficiency Transformer'!F16)</f>
        <v/>
      </c>
      <c r="R11" s="163" t="str">
        <f>IF($C11="","",Calculations!E15)</f>
        <v/>
      </c>
      <c r="S11" s="163" t="str">
        <f>IF($C11="","",Calculations!F15)</f>
        <v/>
      </c>
      <c r="T11" t="str">
        <f>IF($C11="","",Calculations!G15)</f>
        <v/>
      </c>
      <c r="U11" t="str">
        <f>IF($C11="","",Calculations!H15)</f>
        <v/>
      </c>
      <c r="W11" t="str">
        <f>IF($C11="","",'High Efficiency Transformer'!D16)</f>
        <v/>
      </c>
      <c r="X11" s="163" t="str">
        <f>IF($C11="","",'High Efficiency Transformer'!G16)</f>
        <v/>
      </c>
      <c r="Y11" s="163"/>
      <c r="Z11" s="163"/>
      <c r="AA11" s="163"/>
      <c r="AB11" s="163"/>
      <c r="AC11" s="163"/>
      <c r="AD11" s="163"/>
    </row>
    <row r="12" spans="1:30" s="64" customFormat="1" ht="15" thickBot="1" x14ac:dyDescent="0.25">
      <c r="A12" s="308" t="s">
        <v>171</v>
      </c>
      <c r="B12" s="308" t="str">
        <f t="shared" si="0"/>
        <v/>
      </c>
      <c r="C12" s="64" t="str">
        <f>IF('High Efficiency Transformer'!E17="","",'High Efficiency Transformer'!E17)</f>
        <v/>
      </c>
      <c r="D12" s="64" t="str">
        <f t="shared" si="1"/>
        <v/>
      </c>
      <c r="E12" s="164" t="str">
        <f>IF(C12="","",'High Efficiency Transformer'!M17)</f>
        <v/>
      </c>
      <c r="F12" s="64" t="str">
        <f>IF($C12="","",'High Efficiency Transformer'!H17)</f>
        <v/>
      </c>
      <c r="G12" s="64" t="str">
        <f>IF($C12="","",'High Efficiency Transformer'!K17)</f>
        <v/>
      </c>
      <c r="H12" s="64" t="str">
        <f>IF($C12="","",'Project Summary'!$C$13)</f>
        <v/>
      </c>
      <c r="I12" s="64" t="str">
        <f>IF($C12="","",'Project Summary'!$C$12)</f>
        <v/>
      </c>
      <c r="J12" s="295" t="str">
        <f>IF($C12="","",'Project Summary'!$C$9)</f>
        <v/>
      </c>
      <c r="L12" s="64" t="str">
        <f>IF(C12="","",'Version Log'!$B$8)</f>
        <v/>
      </c>
      <c r="M12" s="299" t="str">
        <f>IF($C12="","",'High Efficiency Transformer'!I17)</f>
        <v/>
      </c>
      <c r="N12" s="299" t="str">
        <f>IF($C12="","",'High Efficiency Transformer'!J17)</f>
        <v/>
      </c>
      <c r="Q12" s="287" t="str">
        <f>IF($C12="","",'High Efficiency Transformer'!F17)</f>
        <v/>
      </c>
      <c r="R12" s="164" t="str">
        <f>IF($C12="","",Calculations!E16)</f>
        <v/>
      </c>
      <c r="S12" s="164" t="str">
        <f>IF($C12="","",Calculations!F16)</f>
        <v/>
      </c>
      <c r="T12" s="64" t="str">
        <f>IF($C12="","",Calculations!G16)</f>
        <v/>
      </c>
      <c r="U12" s="64" t="str">
        <f>IF($C12="","",Calculations!H16)</f>
        <v/>
      </c>
      <c r="W12" s="64" t="str">
        <f>IF($C12="","",'High Efficiency Transformer'!D17)</f>
        <v/>
      </c>
      <c r="X12" s="164" t="str">
        <f>IF($C12="","",'High Efficiency Transformer'!G17)</f>
        <v/>
      </c>
      <c r="Y12" s="164"/>
      <c r="Z12" s="164"/>
      <c r="AA12" s="164"/>
      <c r="AB12" s="164"/>
      <c r="AC12" s="164"/>
      <c r="AD12" s="164"/>
    </row>
    <row r="13" spans="1:30" x14ac:dyDescent="0.2">
      <c r="A13" s="307" t="s">
        <v>171</v>
      </c>
      <c r="B13" s="307" t="s">
        <v>172</v>
      </c>
      <c r="C13" t="str">
        <f>IF('Engine Block Heat Timer'!D8="","",'Engine Block Heat Timer'!D8)</f>
        <v/>
      </c>
      <c r="D13" s="304" t="str">
        <f>IF($C13="","",ROUND(E13/C13,2))</f>
        <v/>
      </c>
      <c r="E13" s="305" t="str">
        <f>IF($C13="","",'Engine Block Heat Timer'!J8)</f>
        <v/>
      </c>
      <c r="F13" t="str">
        <f>IF($C13="","",'Engine Block Heat Timer'!E8)</f>
        <v/>
      </c>
      <c r="G13" s="306" t="str">
        <f>IF($C13="","",'Engine Block Heat Timer'!F8)</f>
        <v/>
      </c>
      <c r="H13" t="str">
        <f>IF($C13="","",'Project Summary'!$C$13)</f>
        <v/>
      </c>
      <c r="I13" t="str">
        <f>IF($C13="","",'Project Summary'!$C$12)</f>
        <v/>
      </c>
      <c r="J13" s="295" t="str">
        <f>IF($C13="","",'Project Summary'!$C$9)</f>
        <v/>
      </c>
      <c r="L13" t="str">
        <f>IF(C13="","",'Version Log'!$B$8)</f>
        <v/>
      </c>
      <c r="M13" s="304" t="str">
        <f>IF($C13="","",'Engine Block Heat Timer'!F8)</f>
        <v/>
      </c>
      <c r="N13" s="304" t="str">
        <f>IF($C13="","",'Engine Block Heat Timer'!G8)</f>
        <v/>
      </c>
      <c r="Y13" s="304" t="str">
        <f>IF($C13="","",Calculations!D21)</f>
        <v/>
      </c>
      <c r="Z13" s="304" t="str">
        <f>IF($C13="","",Calculations!E21)</f>
        <v/>
      </c>
      <c r="AA13" s="304" t="str">
        <f>IF($C13="","",Calculations!F21)</f>
        <v/>
      </c>
      <c r="AB13" s="304" t="str">
        <f>IF($C13="","",Calculations!G21)</f>
        <v/>
      </c>
      <c r="AC13" s="304"/>
      <c r="AD13" s="304"/>
    </row>
    <row r="14" spans="1:30" x14ac:dyDescent="0.2">
      <c r="A14" s="307" t="s">
        <v>171</v>
      </c>
      <c r="B14" s="307" t="s">
        <v>172</v>
      </c>
      <c r="C14" t="str">
        <f>IF('Engine Block Heat Timer'!D9="","",'Engine Block Heat Timer'!D9)</f>
        <v/>
      </c>
      <c r="D14" t="str">
        <f t="shared" ref="D14:D22" si="2">IF($C14="","",ROUND(E14/C14,2))</f>
        <v/>
      </c>
      <c r="E14" s="163" t="str">
        <f>IF($C14="","",'Engine Block Heat Timer'!J9)</f>
        <v/>
      </c>
      <c r="F14" t="str">
        <f>IF($C14="","",'Engine Block Heat Timer'!E9)</f>
        <v/>
      </c>
      <c r="G14" t="str">
        <f>IF($C14="","",'Engine Block Heat Timer'!F9)</f>
        <v/>
      </c>
      <c r="H14" t="str">
        <f>IF($C14="","",'Project Summary'!$C$13)</f>
        <v/>
      </c>
      <c r="I14" t="str">
        <f>IF($C14="","",'Project Summary'!$C$12)</f>
        <v/>
      </c>
      <c r="J14" s="295" t="str">
        <f>IF($C14="","",'Project Summary'!$C$9)</f>
        <v/>
      </c>
      <c r="L14" t="str">
        <f>IF(C14="","",'Version Log'!$B$8)</f>
        <v/>
      </c>
      <c r="M14" t="str">
        <f>IF($C14="","",'Engine Block Heat Timer'!F9)</f>
        <v/>
      </c>
      <c r="N14" t="str">
        <f>IF($C14="","",'Engine Block Heat Timer'!G9)</f>
        <v/>
      </c>
      <c r="Y14" t="str">
        <f>IF($C14="","",Calculations!D22)</f>
        <v/>
      </c>
      <c r="Z14" t="str">
        <f>IF($C14="","",Calculations!E22)</f>
        <v/>
      </c>
      <c r="AA14" t="str">
        <f>IF($C14="","",Calculations!F22)</f>
        <v/>
      </c>
      <c r="AB14" t="str">
        <f>IF($C14="","",Calculations!G22)</f>
        <v/>
      </c>
    </row>
    <row r="15" spans="1:30" x14ac:dyDescent="0.2">
      <c r="A15" s="307" t="s">
        <v>171</v>
      </c>
      <c r="B15" s="307" t="s">
        <v>172</v>
      </c>
      <c r="C15" t="str">
        <f>IF('Engine Block Heat Timer'!D10="","",'Engine Block Heat Timer'!D10)</f>
        <v/>
      </c>
      <c r="D15" t="str">
        <f t="shared" si="2"/>
        <v/>
      </c>
      <c r="E15" s="163" t="str">
        <f>IF($C15="","",'Engine Block Heat Timer'!J10)</f>
        <v/>
      </c>
      <c r="F15" t="str">
        <f>IF($C15="","",'Engine Block Heat Timer'!E10)</f>
        <v/>
      </c>
      <c r="G15" t="str">
        <f>IF($C15="","",'Engine Block Heat Timer'!F10)</f>
        <v/>
      </c>
      <c r="H15" t="str">
        <f>IF($C15="","",'Project Summary'!$C$13)</f>
        <v/>
      </c>
      <c r="I15" t="str">
        <f>IF($C15="","",'Project Summary'!$C$12)</f>
        <v/>
      </c>
      <c r="J15" s="295" t="str">
        <f>IF($C15="","",'Project Summary'!$C$9)</f>
        <v/>
      </c>
      <c r="L15" t="str">
        <f>IF(C15="","",'Version Log'!$B$8)</f>
        <v/>
      </c>
      <c r="M15" t="str">
        <f>IF($C15="","",'Engine Block Heat Timer'!F10)</f>
        <v/>
      </c>
      <c r="N15" t="str">
        <f>IF($C15="","",'Engine Block Heat Timer'!G10)</f>
        <v/>
      </c>
      <c r="Y15" t="str">
        <f>IF($C15="","",Calculations!D23)</f>
        <v/>
      </c>
      <c r="Z15" t="str">
        <f>IF($C15="","",Calculations!E23)</f>
        <v/>
      </c>
      <c r="AA15" t="str">
        <f>IF($C15="","",Calculations!F23)</f>
        <v/>
      </c>
      <c r="AB15" t="str">
        <f>IF($C15="","",Calculations!G23)</f>
        <v/>
      </c>
    </row>
    <row r="16" spans="1:30" x14ac:dyDescent="0.2">
      <c r="A16" s="307" t="s">
        <v>171</v>
      </c>
      <c r="B16" s="307" t="s">
        <v>172</v>
      </c>
      <c r="C16" t="str">
        <f>IF('Engine Block Heat Timer'!D11="","",'Engine Block Heat Timer'!D11)</f>
        <v/>
      </c>
      <c r="D16" t="str">
        <f t="shared" si="2"/>
        <v/>
      </c>
      <c r="E16" s="163" t="str">
        <f>IF($C16="","",'Engine Block Heat Timer'!J11)</f>
        <v/>
      </c>
      <c r="F16" t="str">
        <f>IF($C16="","",'Engine Block Heat Timer'!E11)</f>
        <v/>
      </c>
      <c r="G16" t="str">
        <f>IF($C16="","",'Engine Block Heat Timer'!F11)</f>
        <v/>
      </c>
      <c r="H16" t="str">
        <f>IF($C16="","",'Project Summary'!$C$13)</f>
        <v/>
      </c>
      <c r="I16" t="str">
        <f>IF($C16="","",'Project Summary'!$C$12)</f>
        <v/>
      </c>
      <c r="J16" s="295" t="str">
        <f>IF($C16="","",'Project Summary'!$C$9)</f>
        <v/>
      </c>
      <c r="L16" t="str">
        <f>IF(C16="","",'Version Log'!$B$8)</f>
        <v/>
      </c>
      <c r="M16" t="str">
        <f>IF($C16="","",'Engine Block Heat Timer'!F11)</f>
        <v/>
      </c>
      <c r="N16" t="str">
        <f>IF($C16="","",'Engine Block Heat Timer'!G11)</f>
        <v/>
      </c>
      <c r="Y16" t="str">
        <f>IF($C16="","",Calculations!D24)</f>
        <v/>
      </c>
      <c r="Z16" t="str">
        <f>IF($C16="","",Calculations!E24)</f>
        <v/>
      </c>
      <c r="AA16" t="str">
        <f>IF($C16="","",Calculations!F24)</f>
        <v/>
      </c>
      <c r="AB16" t="str">
        <f>IF($C16="","",Calculations!G24)</f>
        <v/>
      </c>
    </row>
    <row r="17" spans="1:29" x14ac:dyDescent="0.2">
      <c r="A17" s="307" t="s">
        <v>171</v>
      </c>
      <c r="B17" s="307" t="s">
        <v>172</v>
      </c>
      <c r="C17" t="str">
        <f>IF('Engine Block Heat Timer'!D12="","",'Engine Block Heat Timer'!D12)</f>
        <v/>
      </c>
      <c r="D17" t="str">
        <f t="shared" si="2"/>
        <v/>
      </c>
      <c r="E17" s="163" t="str">
        <f>IF($C17="","",'Engine Block Heat Timer'!J12)</f>
        <v/>
      </c>
      <c r="F17" t="str">
        <f>IF($C17="","",'Engine Block Heat Timer'!E12)</f>
        <v/>
      </c>
      <c r="G17" t="str">
        <f>IF($C17="","",'Engine Block Heat Timer'!F12)</f>
        <v/>
      </c>
      <c r="H17" t="str">
        <f>IF($C17="","",'Project Summary'!$C$13)</f>
        <v/>
      </c>
      <c r="I17" t="str">
        <f>IF($C17="","",'Project Summary'!$C$12)</f>
        <v/>
      </c>
      <c r="J17" s="295" t="str">
        <f>IF($C17="","",'Project Summary'!$C$9)</f>
        <v/>
      </c>
      <c r="L17" t="str">
        <f>IF(C17="","",'Version Log'!$B$8)</f>
        <v/>
      </c>
      <c r="M17" t="str">
        <f>IF($C17="","",'Engine Block Heat Timer'!F12)</f>
        <v/>
      </c>
      <c r="N17" t="str">
        <f>IF($C17="","",'Engine Block Heat Timer'!G12)</f>
        <v/>
      </c>
      <c r="Y17" t="str">
        <f>IF($C17="","",Calculations!D25)</f>
        <v/>
      </c>
      <c r="Z17" t="str">
        <f>IF($C17="","",Calculations!E25)</f>
        <v/>
      </c>
      <c r="AA17" t="str">
        <f>IF($C17="","",Calculations!F25)</f>
        <v/>
      </c>
      <c r="AB17" t="str">
        <f>IF($C17="","",Calculations!G25)</f>
        <v/>
      </c>
    </row>
    <row r="18" spans="1:29" x14ac:dyDescent="0.2">
      <c r="A18" s="307" t="s">
        <v>171</v>
      </c>
      <c r="B18" s="307" t="s">
        <v>172</v>
      </c>
      <c r="C18" t="str">
        <f>IF('Engine Block Heat Timer'!D13="","",'Engine Block Heat Timer'!D13)</f>
        <v/>
      </c>
      <c r="D18" t="str">
        <f t="shared" si="2"/>
        <v/>
      </c>
      <c r="E18" s="163" t="str">
        <f>IF($C18="","",'Engine Block Heat Timer'!J13)</f>
        <v/>
      </c>
      <c r="F18" t="str">
        <f>IF($C18="","",'Engine Block Heat Timer'!E13)</f>
        <v/>
      </c>
      <c r="G18" t="str">
        <f>IF($C18="","",'Engine Block Heat Timer'!F13)</f>
        <v/>
      </c>
      <c r="H18" t="str">
        <f>IF($C18="","",'Project Summary'!$C$13)</f>
        <v/>
      </c>
      <c r="I18" t="str">
        <f>IF($C18="","",'Project Summary'!$C$12)</f>
        <v/>
      </c>
      <c r="J18" s="295" t="str">
        <f>IF($C18="","",'Project Summary'!$C$9)</f>
        <v/>
      </c>
      <c r="L18" t="str">
        <f>IF(C18="","",'Version Log'!$B$8)</f>
        <v/>
      </c>
      <c r="M18" t="str">
        <f>IF($C18="","",'Engine Block Heat Timer'!F13)</f>
        <v/>
      </c>
      <c r="N18" t="str">
        <f>IF($C18="","",'Engine Block Heat Timer'!G13)</f>
        <v/>
      </c>
      <c r="Y18" t="str">
        <f>IF($C18="","",Calculations!D26)</f>
        <v/>
      </c>
      <c r="Z18" t="str">
        <f>IF($C18="","",Calculations!E26)</f>
        <v/>
      </c>
      <c r="AA18" t="str">
        <f>IF($C18="","",Calculations!F26)</f>
        <v/>
      </c>
      <c r="AB18" t="str">
        <f>IF($C18="","",Calculations!G26)</f>
        <v/>
      </c>
    </row>
    <row r="19" spans="1:29" x14ac:dyDescent="0.2">
      <c r="A19" s="307" t="s">
        <v>171</v>
      </c>
      <c r="B19" s="307" t="s">
        <v>172</v>
      </c>
      <c r="C19" t="str">
        <f>IF('Engine Block Heat Timer'!D14="","",'Engine Block Heat Timer'!D14)</f>
        <v/>
      </c>
      <c r="D19" t="str">
        <f t="shared" si="2"/>
        <v/>
      </c>
      <c r="E19" s="163" t="str">
        <f>IF($C19="","",'Engine Block Heat Timer'!J14)</f>
        <v/>
      </c>
      <c r="F19" t="str">
        <f>IF($C19="","",'Engine Block Heat Timer'!E14)</f>
        <v/>
      </c>
      <c r="G19" t="str">
        <f>IF($C19="","",'Engine Block Heat Timer'!F14)</f>
        <v/>
      </c>
      <c r="H19" t="str">
        <f>IF($C19="","",'Project Summary'!$C$13)</f>
        <v/>
      </c>
      <c r="I19" t="str">
        <f>IF($C19="","",'Project Summary'!$C$12)</f>
        <v/>
      </c>
      <c r="J19" s="295" t="str">
        <f>IF($C19="","",'Project Summary'!$C$9)</f>
        <v/>
      </c>
      <c r="L19" t="str">
        <f>IF(C19="","",'Version Log'!$B$8)</f>
        <v/>
      </c>
      <c r="M19" t="str">
        <f>IF($C19="","",'Engine Block Heat Timer'!F14)</f>
        <v/>
      </c>
      <c r="N19" t="str">
        <f>IF($C19="","",'Engine Block Heat Timer'!G14)</f>
        <v/>
      </c>
      <c r="Y19" t="str">
        <f>IF($C19="","",Calculations!D27)</f>
        <v/>
      </c>
      <c r="Z19" t="str">
        <f>IF($C19="","",Calculations!E27)</f>
        <v/>
      </c>
      <c r="AA19" t="str">
        <f>IF($C19="","",Calculations!F27)</f>
        <v/>
      </c>
      <c r="AB19" t="str">
        <f>IF($C19="","",Calculations!G27)</f>
        <v/>
      </c>
    </row>
    <row r="20" spans="1:29" x14ac:dyDescent="0.2">
      <c r="A20" s="307" t="s">
        <v>171</v>
      </c>
      <c r="B20" s="307" t="s">
        <v>172</v>
      </c>
      <c r="C20" t="str">
        <f>IF('Engine Block Heat Timer'!D15="","",'Engine Block Heat Timer'!D15)</f>
        <v/>
      </c>
      <c r="D20" t="str">
        <f t="shared" si="2"/>
        <v/>
      </c>
      <c r="E20" s="163" t="str">
        <f>IF($C20="","",'Engine Block Heat Timer'!J15)</f>
        <v/>
      </c>
      <c r="F20" t="str">
        <f>IF($C20="","",'Engine Block Heat Timer'!E15)</f>
        <v/>
      </c>
      <c r="G20" t="str">
        <f>IF($C20="","",'Engine Block Heat Timer'!F15)</f>
        <v/>
      </c>
      <c r="H20" t="str">
        <f>IF($C20="","",'Project Summary'!$C$13)</f>
        <v/>
      </c>
      <c r="I20" t="str">
        <f>IF($C20="","",'Project Summary'!$C$12)</f>
        <v/>
      </c>
      <c r="J20" s="295" t="str">
        <f>IF($C20="","",'Project Summary'!$C$9)</f>
        <v/>
      </c>
      <c r="L20" t="str">
        <f>IF(C20="","",'Version Log'!$B$8)</f>
        <v/>
      </c>
      <c r="M20" t="str">
        <f>IF($C20="","",'Engine Block Heat Timer'!F15)</f>
        <v/>
      </c>
      <c r="N20" t="str">
        <f>IF($C20="","",'Engine Block Heat Timer'!G15)</f>
        <v/>
      </c>
      <c r="Y20" t="str">
        <f>IF($C20="","",Calculations!D28)</f>
        <v/>
      </c>
      <c r="Z20" t="str">
        <f>IF($C20="","",Calculations!E28)</f>
        <v/>
      </c>
      <c r="AA20" t="str">
        <f>IF($C20="","",Calculations!F28)</f>
        <v/>
      </c>
      <c r="AB20" t="str">
        <f>IF($C20="","",Calculations!G28)</f>
        <v/>
      </c>
    </row>
    <row r="21" spans="1:29" x14ac:dyDescent="0.2">
      <c r="A21" s="307" t="s">
        <v>171</v>
      </c>
      <c r="B21" s="307" t="s">
        <v>172</v>
      </c>
      <c r="C21" t="str">
        <f>IF('Engine Block Heat Timer'!D16="","",'Engine Block Heat Timer'!D16)</f>
        <v/>
      </c>
      <c r="D21" t="str">
        <f t="shared" si="2"/>
        <v/>
      </c>
      <c r="E21" s="163" t="str">
        <f>IF($C21="","",'Engine Block Heat Timer'!J16)</f>
        <v/>
      </c>
      <c r="F21" t="str">
        <f>IF($C21="","",'Engine Block Heat Timer'!E16)</f>
        <v/>
      </c>
      <c r="G21" t="str">
        <f>IF($C21="","",'Engine Block Heat Timer'!F16)</f>
        <v/>
      </c>
      <c r="H21" t="str">
        <f>IF($C21="","",'Project Summary'!$C$13)</f>
        <v/>
      </c>
      <c r="I21" t="str">
        <f>IF($C21="","",'Project Summary'!$C$12)</f>
        <v/>
      </c>
      <c r="J21" s="295" t="str">
        <f>IF($C21="","",'Project Summary'!$C$9)</f>
        <v/>
      </c>
      <c r="L21" t="str">
        <f>IF(C21="","",'Version Log'!$B$8)</f>
        <v/>
      </c>
      <c r="M21" t="str">
        <f>IF($C21="","",'Engine Block Heat Timer'!F16)</f>
        <v/>
      </c>
      <c r="N21" t="str">
        <f>IF($C21="","",'Engine Block Heat Timer'!G16)</f>
        <v/>
      </c>
      <c r="Y21" t="str">
        <f>IF($C21="","",Calculations!D29)</f>
        <v/>
      </c>
      <c r="Z21" t="str">
        <f>IF($C21="","",Calculations!E29)</f>
        <v/>
      </c>
      <c r="AA21" t="str">
        <f>IF($C21="","",Calculations!F29)</f>
        <v/>
      </c>
      <c r="AB21" t="str">
        <f>IF($C21="","",Calculations!G29)</f>
        <v/>
      </c>
    </row>
    <row r="22" spans="1:29" s="64" customFormat="1" ht="15" thickBot="1" x14ac:dyDescent="0.25">
      <c r="A22" s="308" t="s">
        <v>171</v>
      </c>
      <c r="B22" s="308" t="s">
        <v>172</v>
      </c>
      <c r="C22" s="64" t="str">
        <f>IF('Engine Block Heat Timer'!D17="","",'Engine Block Heat Timer'!D17)</f>
        <v/>
      </c>
      <c r="D22" s="64" t="str">
        <f t="shared" si="2"/>
        <v/>
      </c>
      <c r="E22" s="164" t="str">
        <f>IF($C22="","",'Engine Block Heat Timer'!J17)</f>
        <v/>
      </c>
      <c r="F22" s="64" t="str">
        <f>IF($C22="","",'Engine Block Heat Timer'!E17)</f>
        <v/>
      </c>
      <c r="G22" s="64" t="str">
        <f>IF($C22="","",'Engine Block Heat Timer'!F17)</f>
        <v/>
      </c>
      <c r="H22" s="64" t="str">
        <f>IF($C22="","",'Project Summary'!$C$13)</f>
        <v/>
      </c>
      <c r="I22" s="64" t="str">
        <f>IF($C22="","",'Project Summary'!$C$12)</f>
        <v/>
      </c>
      <c r="J22" s="295" t="str">
        <f>IF($C22="","",'Project Summary'!$C$9)</f>
        <v/>
      </c>
      <c r="L22" s="64" t="str">
        <f>IF(C22="","",'Version Log'!$B$8)</f>
        <v/>
      </c>
      <c r="M22" s="64" t="str">
        <f>IF($C22="","",'Engine Block Heat Timer'!F17)</f>
        <v/>
      </c>
      <c r="N22" s="64" t="str">
        <f>IF($C22="","",'Engine Block Heat Timer'!G17)</f>
        <v/>
      </c>
      <c r="Y22" s="64" t="str">
        <f>IF($C22="","",Calculations!D30)</f>
        <v/>
      </c>
      <c r="Z22" s="64" t="str">
        <f>IF($C22="","",Calculations!E30)</f>
        <v/>
      </c>
      <c r="AA22" s="64" t="str">
        <f>IF($C22="","",Calculations!F30)</f>
        <v/>
      </c>
      <c r="AB22" s="64" t="str">
        <f>IF($C22="","",Calculations!G30)</f>
        <v/>
      </c>
    </row>
    <row r="23" spans="1:29" x14ac:dyDescent="0.2">
      <c r="A23" s="307" t="s">
        <v>171</v>
      </c>
      <c r="B23" s="307" t="str">
        <f>IF(C23="", "", "HFBatteryChgr")</f>
        <v/>
      </c>
      <c r="C23" t="str">
        <f>IF('High Frequency Battery Chargers'!D8="","",'High Frequency Battery Chargers'!D8)</f>
        <v/>
      </c>
      <c r="D23" t="str">
        <f>IF(C23="","",ROUND(E23/C23,2))</f>
        <v/>
      </c>
      <c r="E23" s="163" t="str">
        <f>IF(C23="","",'High Frequency Battery Chargers'!L8)</f>
        <v/>
      </c>
      <c r="F23" t="str">
        <f>IF($C23="","",'High Frequency Battery Chargers'!G8)</f>
        <v/>
      </c>
      <c r="G23" t="str">
        <f>IF($C23="","",'High Frequency Battery Chargers'!J8)</f>
        <v/>
      </c>
      <c r="H23" t="str">
        <f>IF($C23="","",'Project Summary'!$C$13)</f>
        <v/>
      </c>
      <c r="I23" t="str">
        <f>IF($C23="","",'Project Summary'!$C$12)</f>
        <v/>
      </c>
      <c r="J23" s="295" t="str">
        <f>IF($C23="","",'Project Summary'!$C$9)</f>
        <v/>
      </c>
      <c r="K23" t="str">
        <f>IF($C23="","",'High Frequency Battery Chargers'!E8)</f>
        <v/>
      </c>
      <c r="L23" t="str">
        <f>IF(C23="","",'Version Log'!$B$8)</f>
        <v/>
      </c>
      <c r="M23" s="310" t="str">
        <f>IF($C23="","",'High Frequency Battery Chargers'!H8)</f>
        <v/>
      </c>
      <c r="N23" s="310" t="str">
        <f>IF($C23="","",'High Frequency Battery Chargers'!I8)</f>
        <v/>
      </c>
      <c r="V23" s="304" t="str">
        <f>IF($C23="","",Calculations!E35)</f>
        <v/>
      </c>
      <c r="AC23" t="str">
        <f>IF($C23="","",'High Frequency Battery Chargers'!F8)</f>
        <v/>
      </c>
    </row>
    <row r="24" spans="1:29" x14ac:dyDescent="0.2">
      <c r="A24" s="307" t="s">
        <v>171</v>
      </c>
      <c r="B24" s="307" t="str">
        <f t="shared" ref="B24:B32" si="3">IF(C24="", "", "HFBatteryChgr")</f>
        <v/>
      </c>
      <c r="C24" t="str">
        <f>IF('High Frequency Battery Chargers'!D9="","",'High Frequency Battery Chargers'!D9)</f>
        <v/>
      </c>
      <c r="D24" t="str">
        <f t="shared" si="1"/>
        <v/>
      </c>
      <c r="E24" s="163" t="str">
        <f>IF(C24="","",'High Frequency Battery Chargers'!L9)</f>
        <v/>
      </c>
      <c r="F24" t="str">
        <f>IF($C24="","",'High Frequency Battery Chargers'!G9)</f>
        <v/>
      </c>
      <c r="G24" t="str">
        <f>IF($C24="","",'High Frequency Battery Chargers'!J9)</f>
        <v/>
      </c>
      <c r="H24" t="str">
        <f>IF($C24="","",'Project Summary'!$C$13)</f>
        <v/>
      </c>
      <c r="I24" t="str">
        <f>IF($C24="","",'Project Summary'!$C$12)</f>
        <v/>
      </c>
      <c r="J24" s="295" t="str">
        <f>IF($C24="","",'Project Summary'!$C$9)</f>
        <v/>
      </c>
      <c r="K24" t="str">
        <f>IF($C24="","",'High Frequency Battery Chargers'!E9)</f>
        <v/>
      </c>
      <c r="L24" t="str">
        <f>IF(C24="","",'Version Log'!$B$8)</f>
        <v/>
      </c>
      <c r="M24" s="306" t="str">
        <f>IF($C24="","",'High Frequency Battery Chargers'!H9)</f>
        <v/>
      </c>
      <c r="N24" s="306" t="str">
        <f>IF($C24="","",'High Frequency Battery Chargers'!I9)</f>
        <v/>
      </c>
      <c r="V24" t="str">
        <f>IF($C24="","",Calculations!E36)</f>
        <v/>
      </c>
      <c r="AC24" t="str">
        <f>IF($C24="","",'High Frequency Battery Chargers'!F9)</f>
        <v/>
      </c>
    </row>
    <row r="25" spans="1:29" x14ac:dyDescent="0.2">
      <c r="A25" s="307" t="s">
        <v>171</v>
      </c>
      <c r="B25" s="307" t="str">
        <f t="shared" si="3"/>
        <v/>
      </c>
      <c r="C25" t="str">
        <f>IF('High Frequency Battery Chargers'!D10="","",'High Frequency Battery Chargers'!D10)</f>
        <v/>
      </c>
      <c r="D25" t="str">
        <f t="shared" si="1"/>
        <v/>
      </c>
      <c r="E25" s="163" t="str">
        <f>IF(C25="","",'High Frequency Battery Chargers'!L10)</f>
        <v/>
      </c>
      <c r="F25" t="str">
        <f>IF($C25="","",'High Frequency Battery Chargers'!G10)</f>
        <v/>
      </c>
      <c r="G25" t="str">
        <f>IF($C25="","",'High Frequency Battery Chargers'!J10)</f>
        <v/>
      </c>
      <c r="H25" t="str">
        <f>IF($C25="","",'Project Summary'!$C$13)</f>
        <v/>
      </c>
      <c r="I25" t="str">
        <f>IF($C25="","",'Project Summary'!$C$12)</f>
        <v/>
      </c>
      <c r="J25" s="295" t="str">
        <f>IF($C25="","",'Project Summary'!$C$9)</f>
        <v/>
      </c>
      <c r="K25" t="str">
        <f>IF($C25="","",'High Frequency Battery Chargers'!E10)</f>
        <v/>
      </c>
      <c r="L25" t="str">
        <f>IF(C25="","",'Version Log'!$B$8)</f>
        <v/>
      </c>
      <c r="M25" s="306" t="str">
        <f>IF($C25="","",'High Frequency Battery Chargers'!H10)</f>
        <v/>
      </c>
      <c r="N25" s="306" t="str">
        <f>IF($C25="","",'High Frequency Battery Chargers'!I10)</f>
        <v/>
      </c>
      <c r="V25" t="str">
        <f>IF($C25="","",Calculations!E37)</f>
        <v/>
      </c>
      <c r="AC25" t="str">
        <f>IF($C25="","",'High Frequency Battery Chargers'!F10)</f>
        <v/>
      </c>
    </row>
    <row r="26" spans="1:29" x14ac:dyDescent="0.2">
      <c r="A26" s="307" t="s">
        <v>171</v>
      </c>
      <c r="B26" s="307" t="str">
        <f t="shared" si="3"/>
        <v/>
      </c>
      <c r="C26" t="str">
        <f>IF('High Frequency Battery Chargers'!D11="","",'High Frequency Battery Chargers'!D11)</f>
        <v/>
      </c>
      <c r="D26" t="str">
        <f t="shared" si="1"/>
        <v/>
      </c>
      <c r="E26" s="163" t="str">
        <f>IF(C26="","",'High Frequency Battery Chargers'!L11)</f>
        <v/>
      </c>
      <c r="F26" t="str">
        <f>IF($C26="","",'High Frequency Battery Chargers'!G11)</f>
        <v/>
      </c>
      <c r="G26" t="str">
        <f>IF($C26="","",'High Frequency Battery Chargers'!J11)</f>
        <v/>
      </c>
      <c r="H26" t="str">
        <f>IF($C26="","",'Project Summary'!$C$13)</f>
        <v/>
      </c>
      <c r="I26" t="str">
        <f>IF($C26="","",'Project Summary'!$C$12)</f>
        <v/>
      </c>
      <c r="J26" s="295" t="str">
        <f>IF($C26="","",'Project Summary'!$C$9)</f>
        <v/>
      </c>
      <c r="K26" t="str">
        <f>IF($C26="","",'High Frequency Battery Chargers'!E11)</f>
        <v/>
      </c>
      <c r="L26" t="str">
        <f>IF(C26="","",'Version Log'!$B$8)</f>
        <v/>
      </c>
      <c r="M26" s="306" t="str">
        <f>IF($C26="","",'High Frequency Battery Chargers'!H11)</f>
        <v/>
      </c>
      <c r="N26" s="306" t="str">
        <f>IF($C26="","",'High Frequency Battery Chargers'!I11)</f>
        <v/>
      </c>
      <c r="V26" t="str">
        <f>IF($C26="","",Calculations!E38)</f>
        <v/>
      </c>
      <c r="AC26" t="str">
        <f>IF($C26="","",'High Frequency Battery Chargers'!F11)</f>
        <v/>
      </c>
    </row>
    <row r="27" spans="1:29" x14ac:dyDescent="0.2">
      <c r="A27" s="307" t="s">
        <v>171</v>
      </c>
      <c r="B27" s="307" t="str">
        <f t="shared" si="3"/>
        <v/>
      </c>
      <c r="C27" t="str">
        <f>IF('High Frequency Battery Chargers'!D12="","",'High Frequency Battery Chargers'!D12)</f>
        <v/>
      </c>
      <c r="D27" t="str">
        <f t="shared" si="1"/>
        <v/>
      </c>
      <c r="E27" s="163" t="str">
        <f>IF(C27="","",'High Frequency Battery Chargers'!L12)</f>
        <v/>
      </c>
      <c r="F27" t="str">
        <f>IF($C27="","",'High Frequency Battery Chargers'!G12)</f>
        <v/>
      </c>
      <c r="G27" t="str">
        <f>IF($C27="","",'High Frequency Battery Chargers'!J12)</f>
        <v/>
      </c>
      <c r="H27" t="str">
        <f>IF($C27="","",'Project Summary'!$C$13)</f>
        <v/>
      </c>
      <c r="I27" t="str">
        <f>IF($C27="","",'Project Summary'!$C$12)</f>
        <v/>
      </c>
      <c r="J27" s="295" t="str">
        <f>IF($C27="","",'Project Summary'!$C$9)</f>
        <v/>
      </c>
      <c r="K27" t="str">
        <f>IF($C27="","",'High Frequency Battery Chargers'!E12)</f>
        <v/>
      </c>
      <c r="L27" t="str">
        <f>IF(C27="","",'Version Log'!$B$8)</f>
        <v/>
      </c>
      <c r="M27" s="306" t="str">
        <f>IF($C27="","",'High Frequency Battery Chargers'!H12)</f>
        <v/>
      </c>
      <c r="N27" s="306" t="str">
        <f>IF($C27="","",'High Frequency Battery Chargers'!I12)</f>
        <v/>
      </c>
      <c r="V27" t="str">
        <f>IF($C27="","",Calculations!E39)</f>
        <v/>
      </c>
      <c r="AC27" t="str">
        <f>IF($C27="","",'High Frequency Battery Chargers'!F12)</f>
        <v/>
      </c>
    </row>
    <row r="28" spans="1:29" x14ac:dyDescent="0.2">
      <c r="A28" s="307" t="s">
        <v>171</v>
      </c>
      <c r="B28" s="307" t="str">
        <f t="shared" si="3"/>
        <v/>
      </c>
      <c r="C28" t="str">
        <f>IF('High Frequency Battery Chargers'!D13="","",'High Frequency Battery Chargers'!D13)</f>
        <v/>
      </c>
      <c r="D28" t="str">
        <f t="shared" si="1"/>
        <v/>
      </c>
      <c r="E28" s="163" t="str">
        <f>IF(C28="","",'High Frequency Battery Chargers'!L13)</f>
        <v/>
      </c>
      <c r="F28" t="str">
        <f>IF($C28="","",'High Frequency Battery Chargers'!G13)</f>
        <v/>
      </c>
      <c r="G28" t="str">
        <f>IF($C28="","",'High Frequency Battery Chargers'!J13)</f>
        <v/>
      </c>
      <c r="H28" t="str">
        <f>IF($C28="","",'Project Summary'!$C$13)</f>
        <v/>
      </c>
      <c r="I28" t="str">
        <f>IF($C28="","",'Project Summary'!$C$12)</f>
        <v/>
      </c>
      <c r="J28" s="295" t="str">
        <f>IF($C28="","",'Project Summary'!$C$9)</f>
        <v/>
      </c>
      <c r="K28" t="str">
        <f>IF($C28="","",'High Frequency Battery Chargers'!E13)</f>
        <v/>
      </c>
      <c r="L28" t="str">
        <f>IF(C28="","",'Version Log'!$B$8)</f>
        <v/>
      </c>
      <c r="M28" s="306" t="str">
        <f>IF($C28="","",'High Frequency Battery Chargers'!H13)</f>
        <v/>
      </c>
      <c r="N28" s="306" t="str">
        <f>IF($C28="","",'High Frequency Battery Chargers'!I13)</f>
        <v/>
      </c>
      <c r="V28" t="str">
        <f>IF($C28="","",Calculations!E40)</f>
        <v/>
      </c>
      <c r="AC28" t="str">
        <f>IF($C28="","",'High Frequency Battery Chargers'!F13)</f>
        <v/>
      </c>
    </row>
    <row r="29" spans="1:29" x14ac:dyDescent="0.2">
      <c r="A29" s="307" t="s">
        <v>171</v>
      </c>
      <c r="B29" s="307" t="str">
        <f t="shared" si="3"/>
        <v/>
      </c>
      <c r="C29" t="str">
        <f>IF('High Frequency Battery Chargers'!D14="","",'High Frequency Battery Chargers'!D14)</f>
        <v/>
      </c>
      <c r="D29" t="str">
        <f t="shared" si="1"/>
        <v/>
      </c>
      <c r="E29" s="163" t="str">
        <f>IF(C29="","",'High Frequency Battery Chargers'!L14)</f>
        <v/>
      </c>
      <c r="F29" t="str">
        <f>IF($C29="","",'High Frequency Battery Chargers'!G14)</f>
        <v/>
      </c>
      <c r="G29" t="str">
        <f>IF($C29="","",'High Frequency Battery Chargers'!J14)</f>
        <v/>
      </c>
      <c r="H29" t="str">
        <f>IF($C29="","",'Project Summary'!$C$13)</f>
        <v/>
      </c>
      <c r="I29" t="str">
        <f>IF($C29="","",'Project Summary'!$C$12)</f>
        <v/>
      </c>
      <c r="J29" s="295" t="str">
        <f>IF($C29="","",'Project Summary'!$C$9)</f>
        <v/>
      </c>
      <c r="K29" t="str">
        <f>IF($C29="","",'High Frequency Battery Chargers'!E14)</f>
        <v/>
      </c>
      <c r="L29" t="str">
        <f>IF(C29="","",'Version Log'!$B$8)</f>
        <v/>
      </c>
      <c r="M29" s="306" t="str">
        <f>IF($C29="","",'High Frequency Battery Chargers'!H14)</f>
        <v/>
      </c>
      <c r="N29" s="306" t="str">
        <f>IF($C29="","",'High Frequency Battery Chargers'!I14)</f>
        <v/>
      </c>
      <c r="V29" t="str">
        <f>IF($C29="","",Calculations!E41)</f>
        <v/>
      </c>
      <c r="AC29" t="str">
        <f>IF($C29="","",'High Frequency Battery Chargers'!F14)</f>
        <v/>
      </c>
    </row>
    <row r="30" spans="1:29" x14ac:dyDescent="0.2">
      <c r="A30" s="307" t="s">
        <v>171</v>
      </c>
      <c r="B30" s="307" t="str">
        <f t="shared" si="3"/>
        <v/>
      </c>
      <c r="C30" t="str">
        <f>IF('High Frequency Battery Chargers'!D15="","",'High Frequency Battery Chargers'!D15)</f>
        <v/>
      </c>
      <c r="D30" t="str">
        <f t="shared" si="1"/>
        <v/>
      </c>
      <c r="E30" s="163" t="str">
        <f>IF(C30="","",'High Frequency Battery Chargers'!L15)</f>
        <v/>
      </c>
      <c r="F30" t="str">
        <f>IF($C30="","",'High Frequency Battery Chargers'!G15)</f>
        <v/>
      </c>
      <c r="G30" t="str">
        <f>IF($C30="","",'High Frequency Battery Chargers'!J15)</f>
        <v/>
      </c>
      <c r="H30" t="str">
        <f>IF($C30="","",'Project Summary'!$C$13)</f>
        <v/>
      </c>
      <c r="I30" t="str">
        <f>IF($C30="","",'Project Summary'!$C$12)</f>
        <v/>
      </c>
      <c r="J30" s="295" t="str">
        <f>IF($C30="","",'Project Summary'!$C$9)</f>
        <v/>
      </c>
      <c r="K30" t="str">
        <f>IF($C30="","",'High Frequency Battery Chargers'!E15)</f>
        <v/>
      </c>
      <c r="L30" t="str">
        <f>IF(C30="","",'Version Log'!$B$8)</f>
        <v/>
      </c>
      <c r="M30" s="306" t="str">
        <f>IF($C30="","",'High Frequency Battery Chargers'!H15)</f>
        <v/>
      </c>
      <c r="N30" s="306" t="str">
        <f>IF($C30="","",'High Frequency Battery Chargers'!I15)</f>
        <v/>
      </c>
      <c r="V30" t="str">
        <f>IF($C30="","",Calculations!E42)</f>
        <v/>
      </c>
      <c r="AC30" t="str">
        <f>IF($C30="","",'High Frequency Battery Chargers'!F15)</f>
        <v/>
      </c>
    </row>
    <row r="31" spans="1:29" x14ac:dyDescent="0.2">
      <c r="A31" s="307" t="s">
        <v>171</v>
      </c>
      <c r="B31" s="307" t="str">
        <f t="shared" si="3"/>
        <v/>
      </c>
      <c r="C31" t="str">
        <f>IF('High Frequency Battery Chargers'!D16="","",'High Frequency Battery Chargers'!D16)</f>
        <v/>
      </c>
      <c r="D31" t="str">
        <f t="shared" si="1"/>
        <v/>
      </c>
      <c r="E31" s="163" t="str">
        <f>IF(C31="","",'High Frequency Battery Chargers'!L16)</f>
        <v/>
      </c>
      <c r="F31" t="str">
        <f>IF($C31="","",'High Frequency Battery Chargers'!G16)</f>
        <v/>
      </c>
      <c r="G31" t="str">
        <f>IF($C31="","",'High Frequency Battery Chargers'!J16)</f>
        <v/>
      </c>
      <c r="H31" t="str">
        <f>IF($C31="","",'Project Summary'!$C$13)</f>
        <v/>
      </c>
      <c r="I31" t="str">
        <f>IF($C31="","",'Project Summary'!$C$12)</f>
        <v/>
      </c>
      <c r="J31" s="295" t="str">
        <f>IF($C31="","",'Project Summary'!$C$9)</f>
        <v/>
      </c>
      <c r="K31" t="str">
        <f>IF($C31="","",'High Frequency Battery Chargers'!E16)</f>
        <v/>
      </c>
      <c r="L31" t="str">
        <f>IF(C31="","",'Version Log'!$B$8)</f>
        <v/>
      </c>
      <c r="M31" s="306" t="str">
        <f>IF($C31="","",'High Frequency Battery Chargers'!H16)</f>
        <v/>
      </c>
      <c r="N31" s="306" t="str">
        <f>IF($C31="","",'High Frequency Battery Chargers'!I16)</f>
        <v/>
      </c>
      <c r="V31" t="str">
        <f>IF($C31="","",Calculations!E43)</f>
        <v/>
      </c>
      <c r="AC31" t="str">
        <f>IF($C31="","",'High Frequency Battery Chargers'!F16)</f>
        <v/>
      </c>
    </row>
    <row r="32" spans="1:29" s="64" customFormat="1" ht="15" thickBot="1" x14ac:dyDescent="0.25">
      <c r="A32" s="308" t="s">
        <v>171</v>
      </c>
      <c r="B32" s="308" t="str">
        <f t="shared" si="3"/>
        <v/>
      </c>
      <c r="C32" s="64" t="str">
        <f>IF('High Frequency Battery Chargers'!D17="","",'High Frequency Battery Chargers'!D17)</f>
        <v/>
      </c>
      <c r="D32" s="64" t="str">
        <f t="shared" si="1"/>
        <v/>
      </c>
      <c r="E32" s="164" t="str">
        <f>IF(C32="","",'High Frequency Battery Chargers'!L17)</f>
        <v/>
      </c>
      <c r="F32" s="64" t="str">
        <f>IF($C32="","",'High Frequency Battery Chargers'!G17)</f>
        <v/>
      </c>
      <c r="G32" s="64" t="str">
        <f>IF($C32="","",'High Frequency Battery Chargers'!J17)</f>
        <v/>
      </c>
      <c r="H32" s="64" t="str">
        <f>IF($C32="","",'Project Summary'!$C$13)</f>
        <v/>
      </c>
      <c r="I32" s="64" t="str">
        <f>IF($C32="","",'Project Summary'!$C$12)</f>
        <v/>
      </c>
      <c r="J32" s="295" t="str">
        <f>IF($C32="","",'Project Summary'!$C$9)</f>
        <v/>
      </c>
      <c r="K32" s="64" t="str">
        <f>IF($C32="","",'High Frequency Battery Chargers'!E17)</f>
        <v/>
      </c>
      <c r="L32" s="64" t="str">
        <f>IF(C32="","",'Version Log'!$B$8)</f>
        <v/>
      </c>
      <c r="M32" s="309" t="str">
        <f>IF($C32="","",'High Frequency Battery Chargers'!H17)</f>
        <v/>
      </c>
      <c r="N32" s="309" t="str">
        <f>IF($C32="","",'High Frequency Battery Chargers'!I17)</f>
        <v/>
      </c>
      <c r="V32" s="64" t="str">
        <f>IF($C32="","",Calculations!E44)</f>
        <v/>
      </c>
      <c r="AC32" s="64" t="str">
        <f>IF($C32="","",'High Frequency Battery Chargers'!F17)</f>
        <v/>
      </c>
    </row>
    <row r="33" spans="1:30" x14ac:dyDescent="0.2">
      <c r="A33" s="307" t="s">
        <v>171</v>
      </c>
      <c r="B33" s="307" t="str">
        <f>IF(C33="", "", "UPS")</f>
        <v/>
      </c>
      <c r="C33" t="str">
        <f>IF(UPS!D8="", "", UPS!D8)</f>
        <v/>
      </c>
      <c r="D33" s="304" t="str">
        <f t="shared" si="1"/>
        <v/>
      </c>
      <c r="E33" s="304" t="str">
        <f>IF($C33="","",UPS!Q8)</f>
        <v/>
      </c>
      <c r="F33" s="311" t="str">
        <f>IF($C33="","",UPS!L8)</f>
        <v/>
      </c>
      <c r="G33" s="312" t="str">
        <f>IF($C33="","",IFERROR(UPS!O8, ""))</f>
        <v/>
      </c>
      <c r="H33" t="str">
        <f>IF($C33="","",'Project Summary'!$C$13)</f>
        <v/>
      </c>
      <c r="I33" t="str">
        <f>IF($C33="","",'Project Summary'!$C$12)</f>
        <v/>
      </c>
      <c r="J33" s="295" t="str">
        <f>IF($C33="","",'Project Summary'!$C$9)</f>
        <v/>
      </c>
      <c r="L33" t="str">
        <f>IF(C33="","",'Version Log'!$B$8)</f>
        <v/>
      </c>
      <c r="M33" s="304" t="str">
        <f>IF($C33="","",UPS!M8)</f>
        <v/>
      </c>
      <c r="N33" s="304" t="str">
        <f>IF($C33="","",UPS!N8)</f>
        <v/>
      </c>
      <c r="R33" s="305" t="str">
        <f>IF($C33="","",UPS!H8)</f>
        <v/>
      </c>
      <c r="S33" s="305" t="str">
        <f>IF($C33="","",UPS!I8)</f>
        <v/>
      </c>
      <c r="AC33" t="str" cm="1">
        <f t="array" ref="AC33">IF($C33="","",_xlfn.IFS(UPS!G8="VFD", "Voltage and Frequency Dependent (VFD)", UPS!G8="VI","Voltage Independent (VI)", UPS!G8="VFI", "Voltage and Frequency Independent (VFI)",UPS!G8&lt;&gt;"VI",UPS!G8))</f>
        <v/>
      </c>
      <c r="AD33" s="304" t="str">
        <f>IF($C33="","",UPS!E8)</f>
        <v/>
      </c>
    </row>
    <row r="34" spans="1:30" x14ac:dyDescent="0.2">
      <c r="A34" s="307" t="s">
        <v>171</v>
      </c>
      <c r="B34" s="307" t="str">
        <f t="shared" ref="B34:B42" si="4">IF(C34="", "", "UPS")</f>
        <v/>
      </c>
      <c r="C34" t="str">
        <f>IF(UPS!D9="", "", UPS!D9)</f>
        <v/>
      </c>
      <c r="D34" t="str">
        <f t="shared" ref="D34:D42" si="5">IF(C34="","",ROUND(E34/C34,2))</f>
        <v/>
      </c>
      <c r="E34" t="str">
        <f>IF($C34="","",UPS!Q9)</f>
        <v/>
      </c>
      <c r="F34" s="313" t="str">
        <f>IF($C34="","",UPS!L9)</f>
        <v/>
      </c>
      <c r="G34" s="302" t="str">
        <f>IF($C34="","",IFERROR(UPS!O9, ""))</f>
        <v/>
      </c>
      <c r="H34" t="str">
        <f>IF($C34="","",'Project Summary'!$C$13)</f>
        <v/>
      </c>
      <c r="I34" t="str">
        <f>IF($C34="","",'Project Summary'!$C$12)</f>
        <v/>
      </c>
      <c r="J34" s="295" t="str">
        <f>IF($C34="","",'Project Summary'!$C$9)</f>
        <v/>
      </c>
      <c r="L34" t="str">
        <f>IF(C34="","",'Version Log'!$B$8)</f>
        <v/>
      </c>
      <c r="M34" t="str">
        <f>IF($C34="","",UPS!M9)</f>
        <v/>
      </c>
      <c r="N34" t="str">
        <f>IF($C34="","",UPS!N9)</f>
        <v/>
      </c>
      <c r="R34" s="163" t="str">
        <f>IF($C34="","",UPS!H9)</f>
        <v/>
      </c>
      <c r="S34" s="163" t="str">
        <f>IF($C34="","",UPS!I9)</f>
        <v/>
      </c>
      <c r="AC34" t="str" cm="1">
        <f t="array" ref="AC34">IF($C34="","",_xlfn.IFS(UPS!G9="VFD", "Voltage and Frequency Dependent (VFD)", UPS!G9="VI","Voltage Independent (VI)", UPS!G9="VFI", "Voltage and Frequency Independent (VFI)",UPS!G9&lt;&gt;"VI",UPS!G9))</f>
        <v/>
      </c>
      <c r="AD34" t="str">
        <f>IF($C34="","",UPS!E9)</f>
        <v/>
      </c>
    </row>
    <row r="35" spans="1:30" x14ac:dyDescent="0.2">
      <c r="A35" s="307" t="s">
        <v>171</v>
      </c>
      <c r="B35" s="307" t="str">
        <f t="shared" si="4"/>
        <v/>
      </c>
      <c r="C35" t="str">
        <f>IF(UPS!D10="", "", UPS!D10)</f>
        <v/>
      </c>
      <c r="D35" t="str">
        <f t="shared" si="5"/>
        <v/>
      </c>
      <c r="E35" t="str">
        <f>IF($C35="","",UPS!Q10)</f>
        <v/>
      </c>
      <c r="F35" s="313" t="str">
        <f>IF($C35="","",UPS!L10)</f>
        <v/>
      </c>
      <c r="G35" s="302" t="str">
        <f>IF($C35="","",IFERROR(UPS!O10, ""))</f>
        <v/>
      </c>
      <c r="H35" t="str">
        <f>IF($C35="","",'Project Summary'!$C$13)</f>
        <v/>
      </c>
      <c r="I35" t="str">
        <f>IF($C35="","",'Project Summary'!$C$12)</f>
        <v/>
      </c>
      <c r="J35" s="295" t="str">
        <f>IF($C35="","",'Project Summary'!$C$9)</f>
        <v/>
      </c>
      <c r="L35" t="str">
        <f>IF(C35="","",'Version Log'!$B$8)</f>
        <v/>
      </c>
      <c r="M35" t="str">
        <f>IF($C35="","",UPS!M10)</f>
        <v/>
      </c>
      <c r="N35" t="str">
        <f>IF($C35="","",UPS!N10)</f>
        <v/>
      </c>
      <c r="R35" s="163" t="str">
        <f>IF($C35="","",UPS!H10)</f>
        <v/>
      </c>
      <c r="S35" s="163" t="str">
        <f>IF($C35="","",UPS!I10)</f>
        <v/>
      </c>
      <c r="AC35" t="str" cm="1">
        <f t="array" ref="AC35">IF($C35="","",_xlfn.IFS(UPS!G10="VFD", "Voltage and Frequency Dependent (VFD)", UPS!G10="VI","Voltage Independent (VI)", UPS!G10="VFI", "Voltage and Frequency Independent (VFI)",UPS!G10&lt;&gt;"VI",UPS!G10))</f>
        <v/>
      </c>
      <c r="AD35" t="str">
        <f>IF($C35="","",UPS!E10)</f>
        <v/>
      </c>
    </row>
    <row r="36" spans="1:30" x14ac:dyDescent="0.2">
      <c r="A36" s="307" t="s">
        <v>171</v>
      </c>
      <c r="B36" s="307" t="str">
        <f t="shared" si="4"/>
        <v/>
      </c>
      <c r="C36" t="str">
        <f>IF(UPS!D11="", "", UPS!D11)</f>
        <v/>
      </c>
      <c r="D36" t="str">
        <f t="shared" si="5"/>
        <v/>
      </c>
      <c r="E36" t="str">
        <f>IF($C36="","",UPS!Q11)</f>
        <v/>
      </c>
      <c r="F36" s="313" t="str">
        <f>IF($C36="","",UPS!L11)</f>
        <v/>
      </c>
      <c r="G36" s="302" t="str">
        <f>IF($C36="","",IFERROR(UPS!O11, ""))</f>
        <v/>
      </c>
      <c r="H36" t="str">
        <f>IF($C36="","",'Project Summary'!$C$13)</f>
        <v/>
      </c>
      <c r="I36" t="str">
        <f>IF($C36="","",'Project Summary'!$C$12)</f>
        <v/>
      </c>
      <c r="J36" s="295" t="str">
        <f>IF($C36="","",'Project Summary'!$C$9)</f>
        <v/>
      </c>
      <c r="L36" t="str">
        <f>IF(C36="","",'Version Log'!$B$8)</f>
        <v/>
      </c>
      <c r="M36" t="str">
        <f>IF($C36="","",UPS!M11)</f>
        <v/>
      </c>
      <c r="N36" t="str">
        <f>IF($C36="","",UPS!N11)</f>
        <v/>
      </c>
      <c r="R36" s="163" t="str">
        <f>IF($C36="","",UPS!H11)</f>
        <v/>
      </c>
      <c r="S36" s="163" t="str">
        <f>IF($C36="","",UPS!I11)</f>
        <v/>
      </c>
      <c r="AC36" t="str" cm="1">
        <f t="array" ref="AC36">IF($C36="","",_xlfn.IFS(UPS!G11="VFD", "Voltage and Frequency Dependent (VFD)", UPS!G11="VI","Voltage Independent (VI)", UPS!G11="VFI", "Voltage and Frequency Independent (VFI)",UPS!G11&lt;&gt;"VI",UPS!G11))</f>
        <v/>
      </c>
      <c r="AD36" t="str">
        <f>IF($C36="","",UPS!E11)</f>
        <v/>
      </c>
    </row>
    <row r="37" spans="1:30" x14ac:dyDescent="0.2">
      <c r="A37" s="307" t="s">
        <v>171</v>
      </c>
      <c r="B37" s="307" t="str">
        <f t="shared" si="4"/>
        <v/>
      </c>
      <c r="C37" t="str">
        <f>IF(UPS!D12="", "", UPS!D12)</f>
        <v/>
      </c>
      <c r="D37" t="str">
        <f t="shared" si="5"/>
        <v/>
      </c>
      <c r="E37" t="str">
        <f>IF($C37="","",UPS!Q12)</f>
        <v/>
      </c>
      <c r="F37" s="313" t="str">
        <f>IF($C37="","",UPS!L12)</f>
        <v/>
      </c>
      <c r="G37" s="302" t="str">
        <f>IF($C37="","",IFERROR(UPS!O12, ""))</f>
        <v/>
      </c>
      <c r="H37" t="str">
        <f>IF($C37="","",'Project Summary'!$C$13)</f>
        <v/>
      </c>
      <c r="I37" t="str">
        <f>IF($C37="","",'Project Summary'!$C$12)</f>
        <v/>
      </c>
      <c r="J37" s="295" t="str">
        <f>IF($C37="","",'Project Summary'!$C$9)</f>
        <v/>
      </c>
      <c r="L37" t="str">
        <f>IF(C37="","",'Version Log'!$B$8)</f>
        <v/>
      </c>
      <c r="M37" t="str">
        <f>IF($C37="","",UPS!M12)</f>
        <v/>
      </c>
      <c r="N37" t="str">
        <f>IF($C37="","",UPS!N12)</f>
        <v/>
      </c>
      <c r="R37" s="163" t="str">
        <f>IF($C37="","",UPS!H12)</f>
        <v/>
      </c>
      <c r="S37" s="163" t="str">
        <f>IF($C37="","",UPS!I12)</f>
        <v/>
      </c>
      <c r="AC37" t="str" cm="1">
        <f t="array" ref="AC37">IF($C37="","",_xlfn.IFS(UPS!G12="VFD", "Voltage and Frequency Dependent (VFD)", UPS!G12="VI","Voltage Independent (VI)", UPS!G12="VFI", "Voltage and Frequency Independent (VFI)",UPS!G12&lt;&gt;"VI",UPS!G12))</f>
        <v/>
      </c>
      <c r="AD37" t="str">
        <f>IF($C37="","",UPS!E12)</f>
        <v/>
      </c>
    </row>
    <row r="38" spans="1:30" x14ac:dyDescent="0.2">
      <c r="A38" s="307" t="s">
        <v>171</v>
      </c>
      <c r="B38" s="307" t="str">
        <f t="shared" si="4"/>
        <v/>
      </c>
      <c r="C38" t="str">
        <f>IF(UPS!D13="", "", UPS!D13)</f>
        <v/>
      </c>
      <c r="D38" t="str">
        <f t="shared" si="5"/>
        <v/>
      </c>
      <c r="E38" t="str">
        <f>IF($C38="","",UPS!Q13)</f>
        <v/>
      </c>
      <c r="F38" s="313" t="str">
        <f>IF($C38="","",UPS!L13)</f>
        <v/>
      </c>
      <c r="G38" s="302" t="str">
        <f>IF($C38="","",IFERROR(UPS!O13, ""))</f>
        <v/>
      </c>
      <c r="H38" t="str">
        <f>IF($C38="","",'Project Summary'!$C$13)</f>
        <v/>
      </c>
      <c r="I38" t="str">
        <f>IF($C38="","",'Project Summary'!$C$12)</f>
        <v/>
      </c>
      <c r="J38" s="295" t="str">
        <f>IF($C38="","",'Project Summary'!$C$9)</f>
        <v/>
      </c>
      <c r="L38" t="str">
        <f>IF(C38="","",'Version Log'!$B$8)</f>
        <v/>
      </c>
      <c r="M38" t="str">
        <f>IF($C38="","",UPS!M13)</f>
        <v/>
      </c>
      <c r="N38" t="str">
        <f>IF($C38="","",UPS!N13)</f>
        <v/>
      </c>
      <c r="R38" s="163" t="str">
        <f>IF($C38="","",UPS!H13)</f>
        <v/>
      </c>
      <c r="S38" s="163" t="str">
        <f>IF($C38="","",UPS!I13)</f>
        <v/>
      </c>
      <c r="AC38" t="str" cm="1">
        <f t="array" ref="AC38">IF($C38="","",_xlfn.IFS(UPS!G13="VFD", "Voltage and Frequency Dependent (VFD)", UPS!G13="VI","Voltage Independent (VI)", UPS!G13="VFI", "Voltage and Frequency Independent (VFI)",UPS!G13&lt;&gt;"VI",UPS!G13))</f>
        <v/>
      </c>
      <c r="AD38" t="str">
        <f>IF($C38="","",UPS!E13)</f>
        <v/>
      </c>
    </row>
    <row r="39" spans="1:30" x14ac:dyDescent="0.2">
      <c r="A39" s="307" t="s">
        <v>171</v>
      </c>
      <c r="B39" s="307" t="str">
        <f t="shared" si="4"/>
        <v/>
      </c>
      <c r="C39" t="str">
        <f>IF(UPS!D14="", "", UPS!D14)</f>
        <v/>
      </c>
      <c r="D39" t="str">
        <f t="shared" si="5"/>
        <v/>
      </c>
      <c r="E39" t="str">
        <f>IF($C39="","",UPS!Q14)</f>
        <v/>
      </c>
      <c r="F39" s="313" t="str">
        <f>IF($C39="","",UPS!L14)</f>
        <v/>
      </c>
      <c r="G39" s="302" t="str">
        <f>IF($C39="","",IFERROR(UPS!O14, ""))</f>
        <v/>
      </c>
      <c r="H39" t="str">
        <f>IF($C39="","",'Project Summary'!$C$13)</f>
        <v/>
      </c>
      <c r="I39" t="str">
        <f>IF($C39="","",'Project Summary'!$C$12)</f>
        <v/>
      </c>
      <c r="J39" s="295" t="str">
        <f>IF($C39="","",'Project Summary'!$C$9)</f>
        <v/>
      </c>
      <c r="L39" t="str">
        <f>IF(C39="","",'Version Log'!$B$8)</f>
        <v/>
      </c>
      <c r="M39" t="str">
        <f>IF($C39="","",UPS!M14)</f>
        <v/>
      </c>
      <c r="N39" t="str">
        <f>IF($C39="","",UPS!N14)</f>
        <v/>
      </c>
      <c r="R39" s="163" t="str">
        <f>IF($C39="","",UPS!H14)</f>
        <v/>
      </c>
      <c r="S39" s="163" t="str">
        <f>IF($C39="","",UPS!I14)</f>
        <v/>
      </c>
      <c r="AC39" t="str" cm="1">
        <f t="array" ref="AC39">IF($C39="","",_xlfn.IFS(UPS!G14="VFD", "Voltage and Frequency Dependent (VFD)", UPS!G14="VI","Voltage Independent (VI)", UPS!G14="VFI", "Voltage and Frequency Independent (VFI)",UPS!G14&lt;&gt;"VI",UPS!G14))</f>
        <v/>
      </c>
      <c r="AD39" t="str">
        <f>IF($C39="","",UPS!E14)</f>
        <v/>
      </c>
    </row>
    <row r="40" spans="1:30" x14ac:dyDescent="0.2">
      <c r="A40" s="307" t="s">
        <v>171</v>
      </c>
      <c r="B40" s="307" t="str">
        <f t="shared" si="4"/>
        <v/>
      </c>
      <c r="C40" t="str">
        <f>IF(UPS!D15="", "", UPS!D15)</f>
        <v/>
      </c>
      <c r="D40" t="str">
        <f t="shared" si="5"/>
        <v/>
      </c>
      <c r="E40" t="str">
        <f>IF($C40="","",UPS!Q15)</f>
        <v/>
      </c>
      <c r="F40" s="313" t="str">
        <f>IF($C40="","",UPS!L15)</f>
        <v/>
      </c>
      <c r="G40" s="302" t="str">
        <f>IF($C40="","",IFERROR(UPS!O15, ""))</f>
        <v/>
      </c>
      <c r="H40" t="str">
        <f>IF($C40="","",'Project Summary'!$C$13)</f>
        <v/>
      </c>
      <c r="I40" t="str">
        <f>IF($C40="","",'Project Summary'!$C$12)</f>
        <v/>
      </c>
      <c r="J40" s="295" t="str">
        <f>IF($C40="","",'Project Summary'!$C$9)</f>
        <v/>
      </c>
      <c r="L40" t="str">
        <f>IF(C40="","",'Version Log'!$B$8)</f>
        <v/>
      </c>
      <c r="M40" t="str">
        <f>IF($C40="","",UPS!M15)</f>
        <v/>
      </c>
      <c r="N40" t="str">
        <f>IF($C40="","",UPS!N15)</f>
        <v/>
      </c>
      <c r="R40" s="163" t="str">
        <f>IF($C40="","",UPS!H15)</f>
        <v/>
      </c>
      <c r="S40" s="163" t="str">
        <f>IF($C40="","",UPS!I15)</f>
        <v/>
      </c>
      <c r="AC40" t="str" cm="1">
        <f t="array" ref="AC40">IF($C40="","",_xlfn.IFS(UPS!G15="VFD", "Voltage and Frequency Dependent (VFD)", UPS!G15="VI","Voltage Independent (VI)", UPS!G15="VFI", "Voltage and Frequency Independent (VFI)",UPS!G15&lt;&gt;"VI",UPS!G15))</f>
        <v/>
      </c>
      <c r="AD40" t="str">
        <f>IF($C40="","",UPS!E15)</f>
        <v/>
      </c>
    </row>
    <row r="41" spans="1:30" x14ac:dyDescent="0.2">
      <c r="A41" s="307" t="s">
        <v>171</v>
      </c>
      <c r="B41" s="307" t="str">
        <f t="shared" si="4"/>
        <v/>
      </c>
      <c r="C41" t="str">
        <f>IF(UPS!D16="", "", UPS!D16)</f>
        <v/>
      </c>
      <c r="D41" t="str">
        <f t="shared" si="5"/>
        <v/>
      </c>
      <c r="E41" t="str">
        <f>IF($C41="","",UPS!Q16)</f>
        <v/>
      </c>
      <c r="F41" s="313" t="str">
        <f>IF($C41="","",UPS!L16)</f>
        <v/>
      </c>
      <c r="G41" s="302" t="str">
        <f>IF($C41="","",IFERROR(UPS!O16, ""))</f>
        <v/>
      </c>
      <c r="H41" t="str">
        <f>IF($C41="","",'Project Summary'!$C$13)</f>
        <v/>
      </c>
      <c r="I41" t="str">
        <f>IF($C41="","",'Project Summary'!$C$12)</f>
        <v/>
      </c>
      <c r="J41" s="295" t="str">
        <f>IF($C41="","",'Project Summary'!$C$9)</f>
        <v/>
      </c>
      <c r="L41" t="str">
        <f>IF(C41="","",'Version Log'!$B$8)</f>
        <v/>
      </c>
      <c r="M41" t="str">
        <f>IF($C41="","",UPS!M16)</f>
        <v/>
      </c>
      <c r="N41" t="str">
        <f>IF($C41="","",UPS!N16)</f>
        <v/>
      </c>
      <c r="R41" s="163" t="str">
        <f>IF($C41="","",UPS!H16)</f>
        <v/>
      </c>
      <c r="S41" s="163" t="str">
        <f>IF($C41="","",UPS!I16)</f>
        <v/>
      </c>
      <c r="AC41" t="str" cm="1">
        <f t="array" ref="AC41">IF($C41="","",_xlfn.IFS(UPS!G16="VFD", "Voltage and Frequency Dependent (VFD)", UPS!G16="VI","Voltage Independent (VI)", UPS!G16="VFI", "Voltage and Frequency Independent (VFI)",UPS!G16&lt;&gt;"VI",UPS!G16))</f>
        <v/>
      </c>
      <c r="AD41" t="str">
        <f>IF($C41="","",UPS!E16)</f>
        <v/>
      </c>
    </row>
    <row r="42" spans="1:30" s="64" customFormat="1" ht="15" thickBot="1" x14ac:dyDescent="0.25">
      <c r="A42" s="308" t="s">
        <v>171</v>
      </c>
      <c r="B42" s="308" t="str">
        <f t="shared" si="4"/>
        <v/>
      </c>
      <c r="C42" s="64" t="str">
        <f>IF(UPS!D17="", "", UPS!D17)</f>
        <v/>
      </c>
      <c r="D42" s="64" t="str">
        <f t="shared" si="5"/>
        <v/>
      </c>
      <c r="E42" s="64" t="str">
        <f>IF($C42="","",UPS!Q17)</f>
        <v/>
      </c>
      <c r="F42" s="286" t="str">
        <f>IF($C42="","",UPS!L17)</f>
        <v/>
      </c>
      <c r="G42" s="287" t="str">
        <f>IF($C42="","",IFERROR(UPS!O17, ""))</f>
        <v/>
      </c>
      <c r="H42" s="64" t="str">
        <f>IF($C42="","",'Project Summary'!$C$13)</f>
        <v/>
      </c>
      <c r="I42" s="64" t="str">
        <f>IF($C42="","",'Project Summary'!$C$12)</f>
        <v/>
      </c>
      <c r="J42" s="295" t="str">
        <f>IF($C42="","",'Project Summary'!$C$9)</f>
        <v/>
      </c>
      <c r="L42" s="64" t="str">
        <f>IF(C42="","",'Version Log'!$B$8)</f>
        <v/>
      </c>
      <c r="M42" s="64" t="str">
        <f>IF($C42="","",UPS!M17)</f>
        <v/>
      </c>
      <c r="N42" s="64" t="str">
        <f>IF($C42="","",UPS!N17)</f>
        <v/>
      </c>
      <c r="R42" s="164" t="str">
        <f>IF($C42="","",UPS!H17)</f>
        <v/>
      </c>
      <c r="S42" s="164" t="str">
        <f>IF($C42="","",UPS!I17)</f>
        <v/>
      </c>
      <c r="AC42" s="64" t="str" cm="1">
        <f t="array" ref="AC42">IF($C42="","",_xlfn.IFS(UPS!G17="VFD", "Voltage and Frequency Dependent (VFD)", UPS!G17="VI","Voltage Independent (VI)", UPS!G17="VFI", "Voltage and Frequency Independent (VFI)",UPS!G17&lt;&gt;"VI",UPS!G17))</f>
        <v/>
      </c>
      <c r="AD42" s="64" t="str">
        <f>IF($C42="","",UPS!E17)</f>
        <v/>
      </c>
    </row>
  </sheetData>
  <sheetProtection algorithmName="SHA-512" hashValue="lDfI84RqOF9ppAyhGdAMWdmg05orLJHjtGdzHwL+jxzqXnL5fm0S6IcWnEfAGGQaqWUoPnctOfkvDtuSsU0giw==" saltValue="CBPU2KhjHfsiAadFzJEOE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9E763885C5034EA33AFEB44E20B5DD" ma:contentTypeVersion="20" ma:contentTypeDescription="Create a new document." ma:contentTypeScope="" ma:versionID="33c51c4da5d31f0d9e95b93bd1b55d02">
  <xsd:schema xmlns:xsd="http://www.w3.org/2001/XMLSchema" xmlns:xs="http://www.w3.org/2001/XMLSchema" xmlns:p="http://schemas.microsoft.com/office/2006/metadata/properties" xmlns:ns2="3e486212-abdd-488a-bd93-e313ac9ef1c0" xmlns:ns3="10dc75f0-f2a5-4152-8ffa-1cdc8f900c09" targetNamespace="http://schemas.microsoft.com/office/2006/metadata/properties" ma:root="true" ma:fieldsID="a18da08271b907336adb430a4bfbea6e" ns2:_="" ns3:_="">
    <xsd:import namespace="3e486212-abdd-488a-bd93-e313ac9ef1c0"/>
    <xsd:import namespace="10dc75f0-f2a5-4152-8ffa-1cdc8f900c0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Hyper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486212-abdd-488a-bd93-e313ac9ef1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6033a7-fbac-4cd0-8a8a-00b65ae7f6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Hyperlink" ma:index="26"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dc75f0-f2a5-4152-8ffa-1cdc8f900c0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bae20dd-031e-46ce-9fca-4a0bb37af986}" ma:internalName="TaxCatchAll" ma:showField="CatchAllData" ma:web="10dc75f0-f2a5-4152-8ffa-1cdc8f900c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e486212-abdd-488a-bd93-e313ac9ef1c0">
      <Terms xmlns="http://schemas.microsoft.com/office/infopath/2007/PartnerControls"/>
    </lcf76f155ced4ddcb4097134ff3c332f>
    <TaxCatchAll xmlns="10dc75f0-f2a5-4152-8ffa-1cdc8f900c09" xsi:nil="true"/>
    <Hyperlink xmlns="3e486212-abdd-488a-bd93-e313ac9ef1c0">
      <Url xsi:nil="true"/>
      <Description xsi:nil="true"/>
    </Hyperlink>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CC9991-4D5E-4B97-AA01-9D3E4DB279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486212-abdd-488a-bd93-e313ac9ef1c0"/>
    <ds:schemaRef ds:uri="10dc75f0-f2a5-4152-8ffa-1cdc8f900c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399D27-9BFE-4155-AE52-51AF6A72D0EF}">
  <ds:schemaRefs>
    <ds:schemaRef ds:uri="http://purl.org/dc/terms/"/>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3e486212-abdd-488a-bd93-e313ac9ef1c0"/>
    <ds:schemaRef ds:uri="http://purl.org/dc/elements/1.1/"/>
    <ds:schemaRef ds:uri="http://schemas.microsoft.com/office/2006/metadata/properties"/>
    <ds:schemaRef ds:uri="10dc75f0-f2a5-4152-8ffa-1cdc8f900c09"/>
    <ds:schemaRef ds:uri="http://www.w3.org/XML/1998/namespace"/>
  </ds:schemaRefs>
</ds:datastoreItem>
</file>

<file path=customXml/itemProps3.xml><?xml version="1.0" encoding="utf-8"?>
<ds:datastoreItem xmlns:ds="http://schemas.openxmlformats.org/officeDocument/2006/customXml" ds:itemID="{100B3BCE-C7AB-4CCB-B8FC-4E0C0BDAFD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15</vt:i4>
      </vt:variant>
    </vt:vector>
  </HeadingPairs>
  <TitlesOfParts>
    <vt:vector size="27" baseType="lpstr">
      <vt:lpstr>Utility Admin</vt:lpstr>
      <vt:lpstr>Instructions</vt:lpstr>
      <vt:lpstr>Calculations</vt:lpstr>
      <vt:lpstr>Project Summary</vt:lpstr>
      <vt:lpstr>High Efficiency Transformer</vt:lpstr>
      <vt:lpstr>Engine Block Heat Timer</vt:lpstr>
      <vt:lpstr>High Frequency Battery Chargers</vt:lpstr>
      <vt:lpstr>UPS</vt:lpstr>
      <vt:lpstr>Data Export</vt:lpstr>
      <vt:lpstr>Lookup Table</vt:lpstr>
      <vt:lpstr>Methodology</vt:lpstr>
      <vt:lpstr>Version Log</vt:lpstr>
      <vt:lpstr>Methodology!_ftn1</vt:lpstr>
      <vt:lpstr>Methodology!_ftnref1</vt:lpstr>
      <vt:lpstr>Methodology!_Toc14197445</vt:lpstr>
      <vt:lpstr>'Lookup Table'!_Toc14197446</vt:lpstr>
      <vt:lpstr>CR_Utility</vt:lpstr>
      <vt:lpstr>CR_Utility_Alt</vt:lpstr>
      <vt:lpstr>HVAC_Fan_Control_Type</vt:lpstr>
      <vt:lpstr>HVAC_Fan_Motor_Function</vt:lpstr>
      <vt:lpstr>HVAC_Pump_Control_Type</vt:lpstr>
      <vt:lpstr>HVAC_Pump_Motor_Function</vt:lpstr>
      <vt:lpstr>'Engine Block Heat Timer'!Print_Area</vt:lpstr>
      <vt:lpstr>'High Efficiency Transformer'!Print_Area</vt:lpstr>
      <vt:lpstr>'High Frequency Battery Chargers'!Print_Area</vt:lpstr>
      <vt:lpstr>'Project Summary'!Print_Area</vt:lpstr>
      <vt:lpstr>UPS!Print_Area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Janine Morency</dc:creator>
  <cp:keywords/>
  <dc:description/>
  <cp:lastModifiedBy>Tom Cosgro</cp:lastModifiedBy>
  <cp:revision/>
  <dcterms:created xsi:type="dcterms:W3CDTF">2014-05-06T17:45:34Z</dcterms:created>
  <dcterms:modified xsi:type="dcterms:W3CDTF">2026-05-19T20:58:58Z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dlc_DocIdItemGuid">
    <vt:lpwstr>a4cae1f8-bc12-446a-99ab-1e69d7b1254e</vt:lpwstr>
  </property>
  <property fmtid="{D5CDD505-2E9C-101B-9397-08002B2CF9AE}" pid="4" name="ContentTypeId">
    <vt:lpwstr>0x010100039E763885C5034EA33AFEB44E20B5DD</vt:lpwstr>
  </property>
  <property fmtid="{D5CDD505-2E9C-101B-9397-08002B2CF9AE}" pid="5" name="TaxKeyword">
    <vt:lpwstr/>
  </property>
  <property fmtid="{D5CDD505-2E9C-101B-9397-08002B2CF9AE}" pid="6" name="MediaServiceImageTags">
    <vt:lpwstr/>
  </property>
</Properties>
</file>