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mc:AlternateContent xmlns:mc="http://schemas.openxmlformats.org/markup-compatibility/2006">
    <mc:Choice Requires="x15">
      <x15ac:absPath xmlns:x15ac="http://schemas.microsoft.com/office/spreadsheetml/2010/11/ac" url="https://clearesult5.sharepoint.com/sites/PPLCI/Shared Documents/Marketing/Phase V Marketing Assets/Phase V Engineering Calculators/"/>
    </mc:Choice>
  </mc:AlternateContent>
  <xr:revisionPtr revIDLastSave="93" documentId="8_{04F0AB0C-B955-48EB-B9CB-FB17B18E5A4E}" xr6:coauthVersionLast="47" xr6:coauthVersionMax="47" xr10:uidLastSave="{BD4742E6-1DED-4635-8018-6BCC832F61BE}"/>
  <workbookProtection workbookAlgorithmName="SHA-512" workbookHashValue="DOJtld8a5mUFri2kFQwwOGI2mAk4tIOSc08y0CLzQ1jyvTnmm8/SPhlhXQcDVUPK/t5tLh7N5hM34folQ8HOFw==" workbookSaltValue="D/K3DiVc68w5andU8DwF/g==" workbookSpinCount="100000" lockStructure="1"/>
  <bookViews>
    <workbookView xWindow="28680" yWindow="-120" windowWidth="29040" windowHeight="15720" tabRatio="878" firstSheet="1" activeTab="2" xr2:uid="{00000000-000D-0000-FFFF-FFFF00000000}"/>
  </bookViews>
  <sheets>
    <sheet name="Zip Code Lookup Table" sheetId="44" state="hidden" r:id="rId1"/>
    <sheet name="Instructions" sheetId="16" r:id="rId2"/>
    <sheet name="Project Summary" sheetId="34" r:id="rId3"/>
    <sheet name="Premium Eff Motor" sheetId="32" state="hidden" r:id="rId4"/>
    <sheet name="VFDs" sheetId="33" r:id="rId5"/>
    <sheet name="ECM Fan" sheetId="31" state="hidden" r:id="rId6"/>
    <sheet name="VSD Kitchen Fan" sheetId="30" r:id="rId7"/>
    <sheet name="ECM Circulator Pump" sheetId="35" r:id="rId8"/>
    <sheet name="High Efficiency Pumps" sheetId="36" state="hidden" r:id="rId9"/>
    <sheet name="Methodology" sheetId="21" state="hidden" r:id="rId10"/>
    <sheet name="Lookup Table" sheetId="5" state="hidden" r:id="rId11"/>
    <sheet name="Data Export" sheetId="43" state="hidden" r:id="rId12"/>
    <sheet name="Version Log" sheetId="29" state="hidden" r:id="rId13"/>
    <sheet name="Utility Admin" sheetId="45" state="hidden" r:id="rId14"/>
    <sheet name="Supply Fans" sheetId="38" state="hidden" r:id="rId15"/>
    <sheet name="Chilled Water Pumps" sheetId="39" state="hidden" r:id="rId16"/>
    <sheet name="Cooling Tower Fan" sheetId="40" state="hidden" r:id="rId17"/>
    <sheet name="Heating Hot Water Pumps" sheetId="41" state="hidden" r:id="rId18"/>
    <sheet name="Condenser Water Pumps" sheetId="42" state="hidden" r:id="rId19"/>
  </sheets>
  <definedNames>
    <definedName name="_xlnm._FilterDatabase" localSheetId="15" hidden="1">'Chilled Water Pumps'!$A$1:$K$17</definedName>
    <definedName name="_xlnm._FilterDatabase" localSheetId="18" hidden="1">'Condenser Water Pumps'!$A$1:$K$17</definedName>
    <definedName name="_xlnm._FilterDatabase" localSheetId="16" hidden="1">'Cooling Tower Fan'!$A$1:$K$17</definedName>
    <definedName name="_xlnm._FilterDatabase" localSheetId="17" hidden="1">'Heating Hot Water Pumps'!$A$1:$K$17</definedName>
    <definedName name="_xlnm._FilterDatabase" localSheetId="10" hidden="1">'Lookup Table'!#REF!</definedName>
    <definedName name="_xlnm._FilterDatabase" localSheetId="14" hidden="1">'Supply Fans'!$A$1:$K$27</definedName>
    <definedName name="_xlnm._FilterDatabase" localSheetId="0" hidden="1">'Zip Code Lookup Table'!$A$1:$C$2223</definedName>
    <definedName name="ASHkwh">#REF!</definedName>
    <definedName name="Calculation_Method_NC">#REF!</definedName>
    <definedName name="CF">#REF!</definedName>
    <definedName name="Chiller_BuildingLocation">#REF!</definedName>
    <definedName name="Chiller_BuildingType">#REF!</definedName>
    <definedName name="Chiller_Facility_Types">#REF!</definedName>
    <definedName name="City">"Pittsburgh"</definedName>
    <definedName name="CL_Incentive">0.06</definedName>
    <definedName name="Cooled">#REF!</definedName>
    <definedName name="CR_Utility">'Utility Admin'!$E$3</definedName>
    <definedName name="CR_Utility_Alt">'Utility Admin'!$F$3</definedName>
    <definedName name="Custom_Lite_Incentive">#REF!</definedName>
    <definedName name="CustomLite_Incentive">0.06</definedName>
    <definedName name="dASH">#REF!</definedName>
    <definedName name="DeterminingElecCostsDoc">"Object 4"</definedName>
    <definedName name="DHP_BuildingLocation">#REF!</definedName>
    <definedName name="DHP_BuildingType">#REF!</definedName>
    <definedName name="DoorkW">#REF!</definedName>
    <definedName name="DoorkWh">#REF!</definedName>
    <definedName name="EFLH">#REF!</definedName>
    <definedName name="ElectricHeatCOP">#REF!</definedName>
    <definedName name="Facility_Types">#REF!</definedName>
    <definedName name="Heated">#REF!</definedName>
    <definedName name="HVAC_BuildingLocation">#REF!</definedName>
    <definedName name="HVAC_Fan">'Lookup Table'!$E$237:$E$241</definedName>
    <definedName name="HVAC_Fan_Control_Type">'Lookup Table'!$L$230:$L$235</definedName>
    <definedName name="HVAC_Fan_Motor_Function">'Lookup Table'!$G$237:$G$238</definedName>
    <definedName name="HVAC_Pump">'Lookup Table'!$F$237:$F$238</definedName>
    <definedName name="HVAC_Pump_Control_Type">'Lookup Table'!$L$240:$L$241</definedName>
    <definedName name="HVAC_Pump_Motor_Function" localSheetId="0">#REF!</definedName>
    <definedName name="HVAC_Pump_Motor_Function">'Lookup Table'!$H$237:$H$239</definedName>
    <definedName name="Interior_or_Exterior">#REF!</definedName>
    <definedName name="KASH">#REF!</definedName>
    <definedName name="kW_Rate">#REF!</definedName>
    <definedName name="kWh_Rate">#REF!</definedName>
    <definedName name="Logo">IF('Utility Admin'!$E$3="PPL",  'Utility Admin'!$H$7:$L$15,   IF('Utility Admin'!$E$3 = "FirstEnergy",'Utility Admin'!$H$27:$L$35,'Utility Admin'!$H$17:$L$25))</definedName>
    <definedName name="NC_Type" hidden="1">#REF!</definedName>
    <definedName name="Opcos">#REF!</definedName>
    <definedName name="Presc_kW_Incentive">185</definedName>
    <definedName name="Presc_kWh_Incentive">0.1</definedName>
    <definedName name="Prescriptive_Incentive">#REF!</definedName>
    <definedName name="_xlnm.Print_Area" localSheetId="5">'ECM Fan'!$B$3:$F$24</definedName>
    <definedName name="_xlnm.Print_Area" localSheetId="3">'Premium Eff Motor'!$B$3:$F$24</definedName>
    <definedName name="_xlnm.Print_Area" localSheetId="2">'Project Summary'!$B$3:$D$28</definedName>
    <definedName name="_xlnm.Print_Area" localSheetId="4">VFDs!$B$3:$G$24</definedName>
    <definedName name="_xlnm.Print_Area" localSheetId="6">'VSD Kitchen Fan'!$B$3:$F$24</definedName>
    <definedName name="PRJ_Type" hidden="1">#REF!</definedName>
    <definedName name="Proj_Type">#REF!</definedName>
    <definedName name="Project_Type">#REF!</definedName>
    <definedName name="ProjectCost">#REF!</definedName>
    <definedName name="Rate_Codes">'Lookup Table'!$L$244:$L$245</definedName>
    <definedName name="Reporting_Categories">#REF!</definedName>
    <definedName name="ReportLogo">IF('Utility Admin'!$E$3="PPL", 'Utility Admin'!$O$7:$S$15,   IF('Utility Admin'!$E$3 = "FirstEnergy",'Utility Admin'!$O$27:$S$35,'Utility Admin'!$O$17:$S$25))</definedName>
    <definedName name="Sector">#REF!</definedName>
    <definedName name="Uncooled">#REF!</definedName>
    <definedName name="Unheated">#REF!</definedName>
    <definedName name="xBaseValues">#REF!</definedName>
    <definedName name="xBuilding_Location">#REF!</definedName>
    <definedName name="xyAC_Cooling_EFLHs">#REF!</definedName>
    <definedName name="xyAFUE">#REF!</definedName>
    <definedName name="xyChiller_CFs">#REF!</definedName>
    <definedName name="xyChiller_Cooling_EFLHs">#REF!</definedName>
    <definedName name="xyDegreeDays">#REF!</definedName>
    <definedName name="xyDHP_Cooling_Baseline">#REF!</definedName>
    <definedName name="xyDHP_Heating_Baseline">#REF!</definedName>
    <definedName name="xyFree_Cooling_Hrs">#REF!</definedName>
    <definedName name="xyGRControls">#REF!</definedName>
    <definedName name="xyHeating_EFLHs">#REF!</definedName>
    <definedName name="xyHVAC_CFs">#REF!</definedName>
    <definedName name="xyInsulationValue">#REF!</definedName>
    <definedName name="xyPumpEff">#REF!</definedName>
    <definedName name="y_ECM_VSD">#REF!</definedName>
    <definedName name="y_Location_of_Fan_Plugs">#REF!</definedName>
    <definedName name="yBuilding_Type_Chillers">#REF!</definedName>
    <definedName name="yBuilding_Type_HVAC">#REF!</definedName>
    <definedName name="yChiller_EER_base">#REF!</definedName>
    <definedName name="yChiller_MaxCapacity">#REF!</definedName>
    <definedName name="yChiller_MinCapacity">#REF!</definedName>
    <definedName name="yChiller_Type">#REF!</definedName>
    <definedName name="yControlTypes" hidden="1">#REF!</definedName>
    <definedName name="yCOP_base">#REF!</definedName>
    <definedName name="yCOP_PT_a">#REF!</definedName>
    <definedName name="yDHP_Cooling_BaseEqpmt">#REF!</definedName>
    <definedName name="YDHP_heating_BaseEqpmt">#REF!</definedName>
    <definedName name="yEER_base">#REF!</definedName>
    <definedName name="yEER_PT_a">#REF!</definedName>
    <definedName name="yEfficiencyKnown">#REF!</definedName>
    <definedName name="yER_Existence">#REF!</definedName>
    <definedName name="yFixedVariableSpeed">#REF!</definedName>
    <definedName name="yFixture_Code" hidden="1">#REF!</definedName>
    <definedName name="yFS_COP">#REF!</definedName>
    <definedName name="yFS_EqptType">#REF!</definedName>
    <definedName name="yFS_HSPF">#REF!</definedName>
    <definedName name="yFS_MaxCap">#REF!</definedName>
    <definedName name="yFS_MinCap">#REF!</definedName>
    <definedName name="yGeothermal_COP">#REF!</definedName>
    <definedName name="yGeothermal_EER">#REF!</definedName>
    <definedName name="yGeothermal_EOL_Eqpt">#REF!</definedName>
    <definedName name="yGeothermal_EqptType">#REF!</definedName>
    <definedName name="yGeothermal_ERExist">#REF!</definedName>
    <definedName name="yGeothermal_HSPF">#REF!</definedName>
    <definedName name="yGeothermal_MinCap">#REF!</definedName>
    <definedName name="yGeothermal_ProposedEqp">#REF!</definedName>
    <definedName name="yGeothermal_SEER">#REF!</definedName>
    <definedName name="yGeothermalMaxCap">#REF!</definedName>
    <definedName name="yGRControls_Helper">#REF!</definedName>
    <definedName name="yHSPF_base">#REF!</definedName>
    <definedName name="yHVAC_MaxCapacity">#REF!</definedName>
    <definedName name="yHVAC_MinCapacity">#REF!</definedName>
    <definedName name="yHVAC_Type">#REF!</definedName>
    <definedName name="yIEER_base">#REF!</definedName>
    <definedName name="yIPLV_base">#REF!</definedName>
    <definedName name="ykWperton_base">#REF!</definedName>
    <definedName name="yMotorSize">#REF!</definedName>
    <definedName name="yOperating_Schedule">#REF!</definedName>
    <definedName name="yProject_Type">#REF!</definedName>
    <definedName name="ySEER_bas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F3" i="45"/>
  <c r="C13" i="34"/>
  <c r="E11" i="33" l="1"/>
  <c r="F11" i="33"/>
  <c r="E12" i="33"/>
  <c r="F12" i="33"/>
  <c r="E13" i="33"/>
  <c r="F13" i="33"/>
  <c r="E14" i="33"/>
  <c r="F14" i="33"/>
  <c r="E15" i="33"/>
  <c r="F15" i="33"/>
  <c r="E16" i="33"/>
  <c r="F16" i="33"/>
  <c r="E17" i="33"/>
  <c r="F17" i="33"/>
  <c r="E18" i="33"/>
  <c r="F18" i="33"/>
  <c r="E19" i="33"/>
  <c r="F19" i="33"/>
  <c r="F10" i="33"/>
  <c r="E10" i="33"/>
  <c r="J11" i="31"/>
  <c r="J12" i="31"/>
  <c r="J13" i="31"/>
  <c r="J14" i="31"/>
  <c r="J15" i="31"/>
  <c r="J16" i="31"/>
  <c r="J17" i="31"/>
  <c r="J18" i="31"/>
  <c r="J19" i="31"/>
  <c r="J10" i="31"/>
  <c r="E19" i="5" l="1"/>
  <c r="E20" i="5"/>
  <c r="N10" i="31" l="1"/>
  <c r="L10" i="31"/>
  <c r="H10" i="32" l="1"/>
  <c r="AA11" i="31"/>
  <c r="AA16" i="31"/>
  <c r="AA17" i="31"/>
  <c r="AA18" i="31"/>
  <c r="Z11" i="31"/>
  <c r="Z16" i="31"/>
  <c r="Z17" i="31"/>
  <c r="Z18" i="31"/>
  <c r="M11" i="36" l="1"/>
  <c r="M12" i="36"/>
  <c r="M13" i="36"/>
  <c r="M14" i="36"/>
  <c r="M15" i="36"/>
  <c r="M17" i="36"/>
  <c r="M19" i="36"/>
  <c r="M10" i="36"/>
  <c r="M16" i="36"/>
  <c r="M18" i="36"/>
  <c r="O13" i="32"/>
  <c r="M16" i="33"/>
  <c r="O11" i="32"/>
  <c r="M11" i="33"/>
  <c r="O14" i="32"/>
  <c r="O16" i="32"/>
  <c r="O17" i="32"/>
  <c r="O19" i="32"/>
  <c r="O10" i="32"/>
  <c r="M10" i="33"/>
  <c r="M12" i="33"/>
  <c r="O15" i="32"/>
  <c r="O18" i="32"/>
  <c r="M17" i="33"/>
  <c r="O12" i="32"/>
  <c r="M13" i="33"/>
  <c r="M14" i="33"/>
  <c r="M15" i="33"/>
  <c r="M18" i="33"/>
  <c r="M19" i="33"/>
  <c r="N11" i="31"/>
  <c r="N12" i="31"/>
  <c r="N13" i="31"/>
  <c r="N14" i="31"/>
  <c r="N15" i="31"/>
  <c r="N16" i="31"/>
  <c r="N17" i="31"/>
  <c r="N18" i="31"/>
  <c r="N19" i="31"/>
  <c r="U11" i="33" l="1"/>
  <c r="U12" i="33"/>
  <c r="U13" i="33"/>
  <c r="U14" i="33"/>
  <c r="U15" i="33"/>
  <c r="U16" i="33"/>
  <c r="U17" i="33"/>
  <c r="U18" i="33"/>
  <c r="U19" i="33"/>
  <c r="S11" i="33"/>
  <c r="S12" i="33"/>
  <c r="S13" i="33"/>
  <c r="S14" i="33"/>
  <c r="S15" i="33"/>
  <c r="S16" i="33"/>
  <c r="S17" i="33"/>
  <c r="S18" i="33"/>
  <c r="S19" i="33"/>
  <c r="U10" i="33"/>
  <c r="S10" i="33"/>
  <c r="T11" i="33"/>
  <c r="T12" i="33"/>
  <c r="T13" i="33"/>
  <c r="T14" i="33"/>
  <c r="T15" i="33"/>
  <c r="T16" i="33"/>
  <c r="T17" i="33"/>
  <c r="T18" i="33"/>
  <c r="T19" i="33"/>
  <c r="T10" i="33"/>
  <c r="R11" i="33"/>
  <c r="R12" i="33"/>
  <c r="R13" i="33"/>
  <c r="R14" i="33"/>
  <c r="R15" i="33"/>
  <c r="R16" i="33"/>
  <c r="R17" i="33"/>
  <c r="R18" i="33"/>
  <c r="R19" i="33"/>
  <c r="R10" i="33"/>
  <c r="X229" i="5"/>
  <c r="X230" i="5"/>
  <c r="X231" i="5"/>
  <c r="X232" i="5"/>
  <c r="X233" i="5"/>
  <c r="X234" i="5"/>
  <c r="X235" i="5"/>
  <c r="P10" i="32" l="1"/>
  <c r="J11" i="35"/>
  <c r="K11" i="35" s="1"/>
  <c r="T10" i="31" l="1"/>
  <c r="Z10" i="31"/>
  <c r="AA10" i="31" l="1"/>
  <c r="N11" i="35"/>
  <c r="N10" i="35"/>
  <c r="K10" i="30"/>
  <c r="M10" i="30" s="1"/>
  <c r="C32" i="5"/>
  <c r="Q10" i="36"/>
  <c r="O11" i="36"/>
  <c r="O12" i="36"/>
  <c r="O13" i="36"/>
  <c r="O14" i="36"/>
  <c r="O15" i="36"/>
  <c r="O16" i="36"/>
  <c r="O17" i="36"/>
  <c r="O18" i="36"/>
  <c r="O19" i="36"/>
  <c r="O10" i="36"/>
  <c r="N10" i="36"/>
  <c r="N11" i="36"/>
  <c r="N12" i="36"/>
  <c r="N13" i="36"/>
  <c r="N14" i="36"/>
  <c r="N15" i="36"/>
  <c r="N16" i="36"/>
  <c r="N17" i="36"/>
  <c r="N18" i="36"/>
  <c r="N19" i="36"/>
  <c r="P10" i="35"/>
  <c r="J10" i="35"/>
  <c r="K10" i="35" s="1"/>
  <c r="Q11" i="35"/>
  <c r="Q12" i="35"/>
  <c r="Q13" i="35"/>
  <c r="Q14" i="35"/>
  <c r="Q15" i="35"/>
  <c r="Q16" i="35"/>
  <c r="Q17" i="35"/>
  <c r="Q18" i="35"/>
  <c r="Q19" i="35"/>
  <c r="Q10" i="35"/>
  <c r="P11" i="35"/>
  <c r="P12" i="35"/>
  <c r="P13" i="35"/>
  <c r="P14" i="35"/>
  <c r="P15" i="35"/>
  <c r="P16" i="35"/>
  <c r="P17" i="35"/>
  <c r="P18" i="35"/>
  <c r="P19" i="35"/>
  <c r="K11" i="30"/>
  <c r="M11" i="30" s="1"/>
  <c r="U11" i="31"/>
  <c r="U12" i="31"/>
  <c r="U13" i="31"/>
  <c r="U14" i="31"/>
  <c r="U15" i="31"/>
  <c r="U16" i="31"/>
  <c r="U17" i="31"/>
  <c r="U18" i="31"/>
  <c r="U19" i="31"/>
  <c r="U10" i="31"/>
  <c r="T11" i="31"/>
  <c r="T12" i="31"/>
  <c r="T13" i="31"/>
  <c r="T14" i="31"/>
  <c r="T15" i="31"/>
  <c r="T16" i="31"/>
  <c r="T17" i="31"/>
  <c r="T18" i="31"/>
  <c r="T19" i="31"/>
  <c r="N11" i="30" l="1"/>
  <c r="L11" i="30" s="1"/>
  <c r="N10" i="30"/>
  <c r="L10" i="30" s="1"/>
  <c r="X240" i="5"/>
  <c r="H10" i="33"/>
  <c r="P10" i="33" s="1"/>
  <c r="K2" i="34"/>
  <c r="Q11" i="32"/>
  <c r="Q12" i="32"/>
  <c r="Q13" i="32"/>
  <c r="Q14" i="32"/>
  <c r="Q15" i="32"/>
  <c r="Q16" i="32"/>
  <c r="Q17" i="32"/>
  <c r="Q18" i="32"/>
  <c r="Q19" i="32"/>
  <c r="Q10" i="32"/>
  <c r="P11" i="32"/>
  <c r="P12" i="32"/>
  <c r="P13" i="32"/>
  <c r="P14" i="32"/>
  <c r="P15" i="32"/>
  <c r="P16" i="32"/>
  <c r="P17" i="32"/>
  <c r="P18" i="32"/>
  <c r="P19" i="32"/>
  <c r="I5" i="29"/>
  <c r="L19" i="31"/>
  <c r="Z19" i="31" s="1"/>
  <c r="AA19" i="31" s="1"/>
  <c r="L12" i="31"/>
  <c r="Z12" i="31" s="1"/>
  <c r="AA12" i="31" s="1"/>
  <c r="L13" i="31"/>
  <c r="Z13" i="31" s="1"/>
  <c r="AA13" i="31" s="1"/>
  <c r="L14" i="31"/>
  <c r="Z14" i="31" s="1"/>
  <c r="AA14" i="31" s="1"/>
  <c r="L15" i="31"/>
  <c r="Z15" i="31" s="1"/>
  <c r="AA15" i="31" s="1"/>
  <c r="L16" i="31"/>
  <c r="L17" i="31"/>
  <c r="L18" i="31"/>
  <c r="L11" i="31"/>
  <c r="H11" i="33"/>
  <c r="H12" i="33"/>
  <c r="H13" i="33"/>
  <c r="H14" i="33"/>
  <c r="H15" i="33"/>
  <c r="H16" i="33"/>
  <c r="H17" i="33"/>
  <c r="H18" i="33"/>
  <c r="H19" i="33"/>
  <c r="X239" i="5"/>
  <c r="X18" i="33" l="1"/>
  <c r="P18" i="33"/>
  <c r="X15" i="33"/>
  <c r="P15" i="33"/>
  <c r="X11" i="33"/>
  <c r="P11" i="33"/>
  <c r="X16" i="33"/>
  <c r="P16" i="33"/>
  <c r="X12" i="33"/>
  <c r="P12" i="33"/>
  <c r="X14" i="33"/>
  <c r="P14" i="33"/>
  <c r="X19" i="33"/>
  <c r="P19" i="33"/>
  <c r="X17" i="33"/>
  <c r="P17" i="33"/>
  <c r="X13" i="33"/>
  <c r="P13" i="33"/>
  <c r="X10" i="33"/>
  <c r="Y10" i="33"/>
  <c r="O10" i="30"/>
  <c r="O11" i="30"/>
  <c r="H19" i="32"/>
  <c r="H12" i="32"/>
  <c r="H13" i="32"/>
  <c r="H14" i="32"/>
  <c r="H15" i="32"/>
  <c r="H16" i="32"/>
  <c r="H17" i="32"/>
  <c r="H18" i="32"/>
  <c r="H11" i="32"/>
  <c r="Z10" i="33" l="1"/>
  <c r="AC12" i="31"/>
  <c r="AC19" i="31"/>
  <c r="AB12" i="31"/>
  <c r="AB19" i="31"/>
  <c r="I6" i="29" l="1"/>
  <c r="V6" i="34" a="1"/>
  <c r="V6" i="34" s="1"/>
  <c r="AD7" i="32" a="1"/>
  <c r="AD7" i="32" s="1"/>
  <c r="J11" i="36" l="1"/>
  <c r="J12" i="36"/>
  <c r="J13" i="36"/>
  <c r="J14" i="36"/>
  <c r="J15" i="36"/>
  <c r="J16" i="36"/>
  <c r="J17" i="36"/>
  <c r="J18" i="36"/>
  <c r="J19" i="36"/>
  <c r="J10" i="36"/>
  <c r="Q10" i="31" l="1"/>
  <c r="X10" i="31" s="1"/>
  <c r="AB10" i="31" s="1"/>
  <c r="S11" i="36"/>
  <c r="S12" i="36"/>
  <c r="P10" i="31"/>
  <c r="V10" i="31" s="1"/>
  <c r="S13" i="36"/>
  <c r="S14" i="36"/>
  <c r="S10" i="36"/>
  <c r="S15" i="36"/>
  <c r="S19" i="36"/>
  <c r="S16" i="36"/>
  <c r="S17" i="36"/>
  <c r="M10" i="35"/>
  <c r="R10" i="35" s="1"/>
  <c r="S18" i="36"/>
  <c r="E36" i="5"/>
  <c r="D32" i="5"/>
  <c r="K19" i="30" l="1"/>
  <c r="K18" i="30"/>
  <c r="K17" i="30"/>
  <c r="K16" i="30"/>
  <c r="K15" i="30"/>
  <c r="K14" i="30"/>
  <c r="K13" i="30"/>
  <c r="K12" i="30"/>
  <c r="M17" i="30" l="1"/>
  <c r="N17" i="30"/>
  <c r="O17" i="30"/>
  <c r="M16" i="30"/>
  <c r="N16" i="30"/>
  <c r="N18" i="30"/>
  <c r="M18" i="30"/>
  <c r="N14" i="30"/>
  <c r="M14" i="30"/>
  <c r="N15" i="30"/>
  <c r="M15" i="30"/>
  <c r="N19" i="30"/>
  <c r="M19" i="30"/>
  <c r="L19" i="30" s="1"/>
  <c r="N13" i="30"/>
  <c r="M13" i="30"/>
  <c r="N12" i="30"/>
  <c r="M12" i="30"/>
  <c r="L12" i="30" s="1"/>
  <c r="O12" i="30"/>
  <c r="A42" i="43"/>
  <c r="A41" i="43"/>
  <c r="A40" i="43"/>
  <c r="A39" i="43"/>
  <c r="A38" i="43"/>
  <c r="A37" i="43"/>
  <c r="A36" i="43"/>
  <c r="A35" i="43"/>
  <c r="A34" i="43"/>
  <c r="A33" i="43"/>
  <c r="L15" i="30" l="1"/>
  <c r="L14" i="30"/>
  <c r="L13" i="30"/>
  <c r="O14" i="30"/>
  <c r="L18" i="30"/>
  <c r="AC36" i="43"/>
  <c r="AD36" i="43"/>
  <c r="AC40" i="43"/>
  <c r="AD40" i="43"/>
  <c r="AC34" i="43"/>
  <c r="AD34" i="43"/>
  <c r="AD39" i="43"/>
  <c r="AC39" i="43"/>
  <c r="AC41" i="43"/>
  <c r="AD41" i="43"/>
  <c r="O16" i="30"/>
  <c r="L16" i="30"/>
  <c r="AC38" i="43"/>
  <c r="AD38" i="43"/>
  <c r="AC42" i="43"/>
  <c r="AD42" i="43"/>
  <c r="AC37" i="43"/>
  <c r="AD37" i="43"/>
  <c r="O15" i="30"/>
  <c r="Z33" i="43"/>
  <c r="AC33" i="43"/>
  <c r="AD33" i="43"/>
  <c r="O13" i="30"/>
  <c r="L17" i="30"/>
  <c r="Q40" i="43" s="1"/>
  <c r="AD35" i="43"/>
  <c r="AC35" i="43"/>
  <c r="AA42" i="43"/>
  <c r="Q42" i="43"/>
  <c r="Y42" i="43"/>
  <c r="Z42" i="43"/>
  <c r="Q35" i="43"/>
  <c r="Z35" i="43"/>
  <c r="AA35" i="43"/>
  <c r="Y35" i="43"/>
  <c r="Q39" i="43"/>
  <c r="Z39" i="43"/>
  <c r="Y39" i="43"/>
  <c r="AA39" i="43"/>
  <c r="AA38" i="43"/>
  <c r="Y38" i="43"/>
  <c r="Z38" i="43"/>
  <c r="Q38" i="43"/>
  <c r="Q36" i="43"/>
  <c r="Y36" i="43"/>
  <c r="AA36" i="43"/>
  <c r="Z36" i="43"/>
  <c r="Y40" i="43"/>
  <c r="AA40" i="43"/>
  <c r="Z40" i="43"/>
  <c r="AA34" i="43"/>
  <c r="Y34" i="43"/>
  <c r="Q34" i="43"/>
  <c r="Z34" i="43"/>
  <c r="Q33" i="43"/>
  <c r="Y33" i="43"/>
  <c r="AA33" i="43"/>
  <c r="Z37" i="43"/>
  <c r="AA37" i="43"/>
  <c r="Q37" i="43"/>
  <c r="Y37" i="43"/>
  <c r="Z41" i="43"/>
  <c r="Y41" i="43"/>
  <c r="Q41" i="43"/>
  <c r="AA41" i="43"/>
  <c r="O18" i="30"/>
  <c r="O19" i="30"/>
  <c r="E20" i="34"/>
  <c r="D20" i="34"/>
  <c r="U34" i="43"/>
  <c r="R34" i="43"/>
  <c r="U42" i="43"/>
  <c r="R42" i="43"/>
  <c r="R35" i="43"/>
  <c r="U35" i="43"/>
  <c r="R36" i="43"/>
  <c r="U36" i="43"/>
  <c r="U41" i="43"/>
  <c r="R41" i="43"/>
  <c r="R37" i="43"/>
  <c r="U37" i="43"/>
  <c r="R33" i="43"/>
  <c r="U33" i="43"/>
  <c r="U38" i="43"/>
  <c r="R38" i="43"/>
  <c r="U39" i="43"/>
  <c r="R39" i="43"/>
  <c r="U40" i="43"/>
  <c r="R40" i="43"/>
  <c r="C35" i="43"/>
  <c r="G35" i="43"/>
  <c r="H35" i="43"/>
  <c r="K35" i="43"/>
  <c r="B35" i="43"/>
  <c r="N35" i="43"/>
  <c r="H38" i="43"/>
  <c r="K38" i="43"/>
  <c r="B38" i="43"/>
  <c r="G38" i="43"/>
  <c r="N38" i="43"/>
  <c r="C38" i="43"/>
  <c r="K39" i="43"/>
  <c r="B39" i="43"/>
  <c r="N39" i="43"/>
  <c r="H39" i="43"/>
  <c r="C39" i="43"/>
  <c r="G39" i="43"/>
  <c r="G37" i="43"/>
  <c r="C37" i="43"/>
  <c r="H37" i="43"/>
  <c r="K37" i="43"/>
  <c r="B37" i="43"/>
  <c r="N37" i="43"/>
  <c r="N40" i="43"/>
  <c r="B40" i="43"/>
  <c r="C40" i="43"/>
  <c r="G40" i="43"/>
  <c r="K40" i="43"/>
  <c r="H40" i="43"/>
  <c r="C36" i="43"/>
  <c r="G36" i="43"/>
  <c r="H36" i="43"/>
  <c r="K36" i="43"/>
  <c r="B36" i="43"/>
  <c r="N36" i="43"/>
  <c r="N41" i="43"/>
  <c r="C41" i="43"/>
  <c r="G41" i="43"/>
  <c r="H41" i="43"/>
  <c r="K41" i="43"/>
  <c r="B41" i="43"/>
  <c r="N34" i="43"/>
  <c r="C34" i="43"/>
  <c r="G34" i="43"/>
  <c r="H34" i="43"/>
  <c r="K34" i="43"/>
  <c r="B34" i="43"/>
  <c r="N42" i="43"/>
  <c r="C42" i="43"/>
  <c r="G42" i="43"/>
  <c r="H42" i="43"/>
  <c r="K42" i="43"/>
  <c r="B42" i="43"/>
  <c r="B33" i="43"/>
  <c r="K33" i="43"/>
  <c r="H33" i="43"/>
  <c r="G33" i="43"/>
  <c r="C33" i="43"/>
  <c r="N33" i="43"/>
  <c r="C20" i="34"/>
  <c r="Q19" i="36"/>
  <c r="Q18" i="36"/>
  <c r="Q17" i="36"/>
  <c r="Q16" i="36"/>
  <c r="Q15" i="36"/>
  <c r="Q14" i="36"/>
  <c r="Q13" i="36"/>
  <c r="Q12" i="36"/>
  <c r="Q11" i="36"/>
  <c r="N19" i="35"/>
  <c r="N18" i="35"/>
  <c r="N17" i="35"/>
  <c r="N16" i="35"/>
  <c r="N15" i="35"/>
  <c r="N14" i="35"/>
  <c r="N13" i="35"/>
  <c r="N12" i="35"/>
  <c r="O19" i="35"/>
  <c r="O18" i="35"/>
  <c r="O17" i="35"/>
  <c r="O16" i="35"/>
  <c r="O15" i="35"/>
  <c r="O14" i="35"/>
  <c r="O13" i="35"/>
  <c r="O12" i="35"/>
  <c r="O11" i="35"/>
  <c r="O10" i="35"/>
  <c r="S10" i="35" s="1"/>
  <c r="T10" i="35" s="1"/>
  <c r="J19" i="35"/>
  <c r="K19" i="35" s="1"/>
  <c r="J18" i="35"/>
  <c r="K18" i="35" s="1"/>
  <c r="J17" i="35"/>
  <c r="K17" i="35" s="1"/>
  <c r="J16" i="35"/>
  <c r="K16" i="35" s="1"/>
  <c r="J15" i="35"/>
  <c r="K15" i="35" s="1"/>
  <c r="J14" i="35"/>
  <c r="K14" i="35" s="1"/>
  <c r="J13" i="35"/>
  <c r="K13" i="35" s="1"/>
  <c r="J12" i="35"/>
  <c r="K12" i="35" s="1"/>
  <c r="M19" i="35"/>
  <c r="M18" i="35"/>
  <c r="M17" i="35"/>
  <c r="M16" i="35"/>
  <c r="M15" i="35"/>
  <c r="M14" i="35"/>
  <c r="M13" i="35"/>
  <c r="M12" i="35"/>
  <c r="M11" i="35"/>
  <c r="Q19" i="31"/>
  <c r="X19" i="31" s="1"/>
  <c r="P19" i="31"/>
  <c r="V19" i="31" s="1"/>
  <c r="Q18" i="31"/>
  <c r="X18" i="31" s="1"/>
  <c r="P18" i="31"/>
  <c r="V18" i="31" s="1"/>
  <c r="AB18" i="31" s="1"/>
  <c r="Q17" i="31"/>
  <c r="X17" i="31" s="1"/>
  <c r="AB17" i="31" s="1"/>
  <c r="P17" i="31"/>
  <c r="V17" i="31" s="1"/>
  <c r="Q16" i="31"/>
  <c r="X16" i="31" s="1"/>
  <c r="AB16" i="31" s="1"/>
  <c r="P16" i="31"/>
  <c r="V16" i="31" s="1"/>
  <c r="Q15" i="31"/>
  <c r="X15" i="31" s="1"/>
  <c r="P15" i="31"/>
  <c r="V15" i="31" s="1"/>
  <c r="AB15" i="31" s="1"/>
  <c r="Q14" i="31"/>
  <c r="X14" i="31" s="1"/>
  <c r="AB14" i="31" s="1"/>
  <c r="P14" i="31"/>
  <c r="V14" i="31" s="1"/>
  <c r="Q13" i="31"/>
  <c r="X13" i="31" s="1"/>
  <c r="P13" i="31"/>
  <c r="V13" i="31" s="1"/>
  <c r="AB13" i="31" s="1"/>
  <c r="Q12" i="31"/>
  <c r="X12" i="31" s="1"/>
  <c r="P12" i="31"/>
  <c r="V12" i="31" s="1"/>
  <c r="Q11" i="31"/>
  <c r="X11" i="31" s="1"/>
  <c r="Y11" i="31" s="1"/>
  <c r="AE11" i="31" s="1"/>
  <c r="P11" i="31"/>
  <c r="V11" i="31" s="1"/>
  <c r="AB11" i="31" s="1"/>
  <c r="Y19" i="33"/>
  <c r="Z19" i="33" s="1"/>
  <c r="Y18" i="33"/>
  <c r="Z18" i="33" s="1"/>
  <c r="Y17" i="33"/>
  <c r="Z17" i="33" s="1"/>
  <c r="Y16" i="33"/>
  <c r="Z16" i="33" s="1"/>
  <c r="Y15" i="33"/>
  <c r="Z15" i="33" s="1"/>
  <c r="Y14" i="33"/>
  <c r="Z14" i="33" s="1"/>
  <c r="Y13" i="33"/>
  <c r="Z13" i="33" s="1"/>
  <c r="Y12" i="33"/>
  <c r="Z12" i="33" s="1"/>
  <c r="Y11" i="33"/>
  <c r="Z11" i="33" s="1"/>
  <c r="Q10" i="33"/>
  <c r="V10" i="33" s="1"/>
  <c r="W10" i="33" s="1"/>
  <c r="X241" i="5"/>
  <c r="F20" i="34" l="1"/>
  <c r="G20" i="34"/>
  <c r="W10" i="31"/>
  <c r="AF10" i="31" s="1"/>
  <c r="V10" i="35"/>
  <c r="W10" i="35"/>
  <c r="Y10" i="31"/>
  <c r="AE10" i="31" s="1"/>
  <c r="S11" i="35"/>
  <c r="S16" i="35"/>
  <c r="T16" i="35" s="1"/>
  <c r="S17" i="35"/>
  <c r="Y19" i="31"/>
  <c r="AE19" i="31" s="1"/>
  <c r="W13" i="31"/>
  <c r="AF13" i="31" s="1"/>
  <c r="R18" i="35"/>
  <c r="R11" i="35"/>
  <c r="R19" i="35"/>
  <c r="T19" i="35" s="1"/>
  <c r="V19" i="35" s="1"/>
  <c r="R12" i="35"/>
  <c r="S18" i="35"/>
  <c r="T18" i="35" s="1"/>
  <c r="R13" i="35"/>
  <c r="T13" i="35" s="1"/>
  <c r="V13" i="35" s="1"/>
  <c r="S19" i="35"/>
  <c r="R14" i="35"/>
  <c r="S12" i="35"/>
  <c r="T12" i="35" s="1"/>
  <c r="R15" i="35"/>
  <c r="T15" i="35" s="1"/>
  <c r="V15" i="35" s="1"/>
  <c r="S13" i="35"/>
  <c r="R16" i="35"/>
  <c r="S14" i="35"/>
  <c r="T14" i="35" s="1"/>
  <c r="R17" i="35"/>
  <c r="T17" i="35" s="1"/>
  <c r="V17" i="35" s="1"/>
  <c r="S15" i="35"/>
  <c r="Y12" i="31"/>
  <c r="AE12" i="31" s="1"/>
  <c r="W11" i="31"/>
  <c r="AF11" i="31" s="1"/>
  <c r="Y13" i="31"/>
  <c r="AE13" i="31" s="1"/>
  <c r="W14" i="31"/>
  <c r="AF14" i="31" s="1"/>
  <c r="W15" i="31"/>
  <c r="AF15" i="31" s="1"/>
  <c r="W16" i="31"/>
  <c r="AF16" i="31" s="1"/>
  <c r="Y16" i="31"/>
  <c r="AE16" i="31" s="1"/>
  <c r="W17" i="31"/>
  <c r="AF17" i="31" s="1"/>
  <c r="W18" i="31"/>
  <c r="AF18" i="31" s="1"/>
  <c r="W19" i="31"/>
  <c r="AF19" i="31" s="1"/>
  <c r="W12" i="31"/>
  <c r="AF12" i="31" s="1"/>
  <c r="U10" i="35" l="1"/>
  <c r="W19" i="35"/>
  <c r="U19" i="35" s="1"/>
  <c r="W17" i="35"/>
  <c r="U17" i="35" s="1"/>
  <c r="W15" i="35"/>
  <c r="U15" i="35" s="1"/>
  <c r="V18" i="35"/>
  <c r="W18" i="35"/>
  <c r="V16" i="35"/>
  <c r="W16" i="35"/>
  <c r="V14" i="35"/>
  <c r="W14" i="35"/>
  <c r="W13" i="35"/>
  <c r="X13" i="35" s="1"/>
  <c r="AD16" i="31"/>
  <c r="AC16" i="31"/>
  <c r="AC18" i="31"/>
  <c r="AC13" i="31"/>
  <c r="AC11" i="31"/>
  <c r="A30" i="43"/>
  <c r="Y17" i="31"/>
  <c r="A27" i="43"/>
  <c r="Y14" i="31"/>
  <c r="A28" i="43"/>
  <c r="Y15" i="31"/>
  <c r="AE15" i="31" s="1"/>
  <c r="A24" i="43"/>
  <c r="AD11" i="31"/>
  <c r="A31" i="43"/>
  <c r="Y18" i="31"/>
  <c r="AE18" i="31" s="1"/>
  <c r="D18" i="34"/>
  <c r="E18" i="34"/>
  <c r="AD19" i="31"/>
  <c r="AD13" i="31"/>
  <c r="AD12" i="31"/>
  <c r="V12" i="35"/>
  <c r="W12" i="35"/>
  <c r="T11" i="35"/>
  <c r="A26" i="43"/>
  <c r="A29" i="43"/>
  <c r="A25" i="43"/>
  <c r="A32" i="43"/>
  <c r="A52" i="43"/>
  <c r="A50" i="43"/>
  <c r="A48" i="43"/>
  <c r="A49" i="43"/>
  <c r="A47" i="43"/>
  <c r="A46" i="43"/>
  <c r="A51" i="43"/>
  <c r="R17" i="36"/>
  <c r="T17" i="36" s="1"/>
  <c r="R15" i="36"/>
  <c r="T15" i="36" s="1"/>
  <c r="R18" i="36"/>
  <c r="T18" i="36" s="1"/>
  <c r="U16" i="35" l="1"/>
  <c r="U18" i="35"/>
  <c r="U13" i="35"/>
  <c r="U14" i="35"/>
  <c r="U12" i="35"/>
  <c r="V17" i="36"/>
  <c r="W17" i="36"/>
  <c r="V15" i="36"/>
  <c r="W15" i="36"/>
  <c r="V18" i="36"/>
  <c r="W18" i="36"/>
  <c r="X19" i="35"/>
  <c r="AC17" i="31"/>
  <c r="Q30" i="43" s="1"/>
  <c r="AE17" i="31"/>
  <c r="Y30" i="43" s="1"/>
  <c r="AC14" i="31"/>
  <c r="AE14" i="31"/>
  <c r="AD14" i="31" s="1"/>
  <c r="X15" i="35"/>
  <c r="Q46" i="43"/>
  <c r="P46" i="43"/>
  <c r="AC46" i="43"/>
  <c r="AD46" i="43"/>
  <c r="N46" i="43"/>
  <c r="AD49" i="43"/>
  <c r="P49" i="43"/>
  <c r="N49" i="43"/>
  <c r="AC49" i="43"/>
  <c r="X16" i="35"/>
  <c r="X17" i="35"/>
  <c r="AC47" i="43"/>
  <c r="AD47" i="43"/>
  <c r="P47" i="43"/>
  <c r="N47" i="43"/>
  <c r="N51" i="43"/>
  <c r="P51" i="43"/>
  <c r="AC51" i="43"/>
  <c r="AD51" i="43"/>
  <c r="X18" i="35"/>
  <c r="Q51" i="43"/>
  <c r="P52" i="43"/>
  <c r="AC52" i="43"/>
  <c r="AD52" i="43"/>
  <c r="N52" i="43"/>
  <c r="AC48" i="43"/>
  <c r="AD48" i="43"/>
  <c r="N48" i="43"/>
  <c r="P48" i="43"/>
  <c r="AC50" i="43"/>
  <c r="P50" i="43"/>
  <c r="AD50" i="43"/>
  <c r="N50" i="43"/>
  <c r="X14" i="35"/>
  <c r="L27" i="43"/>
  <c r="N27" i="43"/>
  <c r="AC27" i="43"/>
  <c r="AD27" i="43"/>
  <c r="AG27" i="43"/>
  <c r="L30" i="43"/>
  <c r="N30" i="43"/>
  <c r="AD30" i="43"/>
  <c r="AC30" i="43"/>
  <c r="AG30" i="43"/>
  <c r="N24" i="43"/>
  <c r="AG24" i="43"/>
  <c r="AD24" i="43"/>
  <c r="AC24" i="43"/>
  <c r="L24" i="43"/>
  <c r="AG26" i="43"/>
  <c r="AC26" i="43"/>
  <c r="N26" i="43"/>
  <c r="AD26" i="43"/>
  <c r="L26" i="43"/>
  <c r="AG31" i="43"/>
  <c r="N31" i="43"/>
  <c r="L31" i="43"/>
  <c r="AD31" i="43"/>
  <c r="AC31" i="43"/>
  <c r="L28" i="43"/>
  <c r="N28" i="43"/>
  <c r="AC28" i="43"/>
  <c r="AD28" i="43"/>
  <c r="AG28" i="43"/>
  <c r="AC32" i="43"/>
  <c r="AD32" i="43"/>
  <c r="L32" i="43"/>
  <c r="N32" i="43"/>
  <c r="AG32" i="43"/>
  <c r="AC25" i="43"/>
  <c r="L25" i="43"/>
  <c r="AD25" i="43"/>
  <c r="N25" i="43"/>
  <c r="AG25" i="43"/>
  <c r="AG29" i="43"/>
  <c r="L29" i="43"/>
  <c r="N29" i="43"/>
  <c r="AD29" i="43"/>
  <c r="AC29" i="43"/>
  <c r="U24" i="43"/>
  <c r="Y24" i="43"/>
  <c r="AA24" i="43"/>
  <c r="Z24" i="43"/>
  <c r="AA46" i="43"/>
  <c r="B46" i="43"/>
  <c r="Y46" i="43"/>
  <c r="Z46" i="43"/>
  <c r="AA50" i="43"/>
  <c r="B50" i="43"/>
  <c r="Y50" i="43"/>
  <c r="Z50" i="43"/>
  <c r="Q50" i="43"/>
  <c r="C29" i="43"/>
  <c r="Z29" i="43"/>
  <c r="Y29" i="43"/>
  <c r="AA29" i="43"/>
  <c r="Z51" i="43"/>
  <c r="AA51" i="43"/>
  <c r="B51" i="43"/>
  <c r="Y51" i="43"/>
  <c r="U25" i="43"/>
  <c r="Z25" i="43"/>
  <c r="AA25" i="43"/>
  <c r="Y25" i="43"/>
  <c r="AA47" i="43"/>
  <c r="B47" i="43"/>
  <c r="Z47" i="43"/>
  <c r="Y47" i="43"/>
  <c r="Q47" i="43"/>
  <c r="U26" i="43"/>
  <c r="AA26" i="43"/>
  <c r="Y26" i="43"/>
  <c r="Z26" i="43"/>
  <c r="C31" i="43"/>
  <c r="Z31" i="43"/>
  <c r="AA31" i="43"/>
  <c r="Y31" i="43"/>
  <c r="R28" i="43"/>
  <c r="Y28" i="43"/>
  <c r="AA28" i="43"/>
  <c r="Z28" i="43"/>
  <c r="U30" i="43"/>
  <c r="AA30" i="43"/>
  <c r="Z30" i="43"/>
  <c r="Y48" i="43"/>
  <c r="Z48" i="43"/>
  <c r="AA48" i="43"/>
  <c r="B48" i="43"/>
  <c r="Q48" i="43"/>
  <c r="K27" i="43"/>
  <c r="Z27" i="43"/>
  <c r="AA27" i="43"/>
  <c r="Z52" i="43"/>
  <c r="Q52" i="43"/>
  <c r="AA52" i="43"/>
  <c r="Y52" i="43"/>
  <c r="B52" i="43"/>
  <c r="Q49" i="43"/>
  <c r="AA49" i="43"/>
  <c r="B49" i="43"/>
  <c r="Y49" i="43"/>
  <c r="Z49" i="43"/>
  <c r="X32" i="43"/>
  <c r="Y32" i="43"/>
  <c r="AA32" i="43"/>
  <c r="Z32" i="43"/>
  <c r="AC15" i="31"/>
  <c r="Q28" i="43" s="1"/>
  <c r="AD18" i="31"/>
  <c r="B27" i="43"/>
  <c r="R27" i="43"/>
  <c r="X27" i="43"/>
  <c r="U27" i="43"/>
  <c r="X30" i="43"/>
  <c r="W28" i="43"/>
  <c r="W27" i="43"/>
  <c r="Q27" i="43"/>
  <c r="M27" i="43"/>
  <c r="H27" i="43"/>
  <c r="R30" i="43"/>
  <c r="H30" i="43"/>
  <c r="W30" i="43"/>
  <c r="G30" i="43"/>
  <c r="C30" i="43"/>
  <c r="M30" i="43"/>
  <c r="K30" i="43"/>
  <c r="B30" i="43"/>
  <c r="C27" i="43"/>
  <c r="Q31" i="43"/>
  <c r="M28" i="43"/>
  <c r="B28" i="43"/>
  <c r="G28" i="43"/>
  <c r="X28" i="43"/>
  <c r="B24" i="43"/>
  <c r="X24" i="43"/>
  <c r="C28" i="43"/>
  <c r="R24" i="43"/>
  <c r="C24" i="43"/>
  <c r="U28" i="43"/>
  <c r="W24" i="43"/>
  <c r="K31" i="43"/>
  <c r="U31" i="43"/>
  <c r="H24" i="43"/>
  <c r="H31" i="43"/>
  <c r="H28" i="43"/>
  <c r="W31" i="43"/>
  <c r="R31" i="43"/>
  <c r="M24" i="43"/>
  <c r="B31" i="43"/>
  <c r="M31" i="43"/>
  <c r="K24" i="43"/>
  <c r="G27" i="43"/>
  <c r="K28" i="43"/>
  <c r="X31" i="43"/>
  <c r="G31" i="43"/>
  <c r="G24" i="43"/>
  <c r="Q24" i="43"/>
  <c r="F18" i="34"/>
  <c r="AC10" i="31"/>
  <c r="E19" i="34"/>
  <c r="X12" i="35"/>
  <c r="W11" i="35"/>
  <c r="E21" i="34" s="1"/>
  <c r="V11" i="35"/>
  <c r="X10" i="35"/>
  <c r="AD15" i="31"/>
  <c r="Q26" i="43"/>
  <c r="B26" i="43"/>
  <c r="G26" i="43"/>
  <c r="W26" i="43"/>
  <c r="C26" i="43"/>
  <c r="X26" i="43"/>
  <c r="M26" i="43"/>
  <c r="K26" i="43"/>
  <c r="A60" i="43"/>
  <c r="A58" i="43"/>
  <c r="B29" i="43"/>
  <c r="G25" i="43"/>
  <c r="Q25" i="43"/>
  <c r="M25" i="43"/>
  <c r="W29" i="43"/>
  <c r="H26" i="43"/>
  <c r="H25" i="43"/>
  <c r="B25" i="43"/>
  <c r="R25" i="43"/>
  <c r="C25" i="43"/>
  <c r="R29" i="43"/>
  <c r="W25" i="43"/>
  <c r="R26" i="43"/>
  <c r="K29" i="43"/>
  <c r="K25" i="43"/>
  <c r="U29" i="43"/>
  <c r="X25" i="43"/>
  <c r="X29" i="43"/>
  <c r="M29" i="43"/>
  <c r="H29" i="43"/>
  <c r="Q29" i="43"/>
  <c r="G29" i="43"/>
  <c r="K32" i="43"/>
  <c r="Q32" i="43"/>
  <c r="B32" i="43"/>
  <c r="C32" i="43"/>
  <c r="W32" i="43"/>
  <c r="H32" i="43"/>
  <c r="U32" i="43"/>
  <c r="R32" i="43"/>
  <c r="G32" i="43"/>
  <c r="M32" i="43"/>
  <c r="A45" i="43"/>
  <c r="G47" i="43"/>
  <c r="U47" i="43"/>
  <c r="H47" i="43"/>
  <c r="R47" i="43"/>
  <c r="C47" i="43"/>
  <c r="K47" i="43"/>
  <c r="M47" i="43"/>
  <c r="U50" i="43"/>
  <c r="M50" i="43"/>
  <c r="H50" i="43"/>
  <c r="K50" i="43"/>
  <c r="R50" i="43"/>
  <c r="G50" i="43"/>
  <c r="C50" i="43"/>
  <c r="H51" i="43"/>
  <c r="C51" i="43"/>
  <c r="R51" i="43"/>
  <c r="G51" i="43"/>
  <c r="K51" i="43"/>
  <c r="M51" i="43"/>
  <c r="U51" i="43"/>
  <c r="U49" i="43"/>
  <c r="M49" i="43"/>
  <c r="R49" i="43"/>
  <c r="C49" i="43"/>
  <c r="K49" i="43"/>
  <c r="G49" i="43"/>
  <c r="H49" i="43"/>
  <c r="M52" i="43"/>
  <c r="H52" i="43"/>
  <c r="R52" i="43"/>
  <c r="C52" i="43"/>
  <c r="U52" i="43"/>
  <c r="G52" i="43"/>
  <c r="K52" i="43"/>
  <c r="R46" i="43"/>
  <c r="K46" i="43"/>
  <c r="G46" i="43"/>
  <c r="H46" i="43"/>
  <c r="M46" i="43"/>
  <c r="U46" i="43"/>
  <c r="C46" i="43"/>
  <c r="G48" i="43"/>
  <c r="U48" i="43"/>
  <c r="C48" i="43"/>
  <c r="K48" i="43"/>
  <c r="M48" i="43"/>
  <c r="R48" i="43"/>
  <c r="H48" i="43"/>
  <c r="R16" i="36"/>
  <c r="T16" i="36" s="1"/>
  <c r="R19" i="36"/>
  <c r="T19" i="36" s="1"/>
  <c r="R13" i="36"/>
  <c r="T13" i="36" s="1"/>
  <c r="A61" i="43"/>
  <c r="C21" i="34"/>
  <c r="A43" i="43"/>
  <c r="A44" i="43"/>
  <c r="C19" i="34"/>
  <c r="A23" i="43"/>
  <c r="U11" i="35" l="1"/>
  <c r="AD17" i="31"/>
  <c r="Y27" i="43"/>
  <c r="V19" i="36"/>
  <c r="W19" i="36"/>
  <c r="V13" i="36"/>
  <c r="W13" i="36"/>
  <c r="U18" i="36"/>
  <c r="V16" i="36"/>
  <c r="W16" i="36"/>
  <c r="U15" i="36"/>
  <c r="U17" i="36"/>
  <c r="Q60" i="43" s="1"/>
  <c r="X18" i="36"/>
  <c r="AC61" i="43"/>
  <c r="AD61" i="43"/>
  <c r="AC58" i="43"/>
  <c r="AD58" i="43"/>
  <c r="AD60" i="43"/>
  <c r="AC60" i="43"/>
  <c r="AC44" i="43"/>
  <c r="AD44" i="43"/>
  <c r="N44" i="43"/>
  <c r="P44" i="43"/>
  <c r="AC45" i="43"/>
  <c r="AD45" i="43"/>
  <c r="N45" i="43"/>
  <c r="P45" i="43"/>
  <c r="P43" i="43"/>
  <c r="N43" i="43"/>
  <c r="AD43" i="43"/>
  <c r="AC43" i="43"/>
  <c r="D21" i="34"/>
  <c r="F21" i="34" s="1"/>
  <c r="AG23" i="43"/>
  <c r="M23" i="43"/>
  <c r="AD23" i="43"/>
  <c r="AC23" i="43"/>
  <c r="L23" i="43"/>
  <c r="N23" i="43"/>
  <c r="B60" i="43"/>
  <c r="P60" i="43"/>
  <c r="AA60" i="43"/>
  <c r="Y60" i="43"/>
  <c r="Z60" i="43"/>
  <c r="Q43" i="43"/>
  <c r="B43" i="43"/>
  <c r="AA43" i="43"/>
  <c r="Z43" i="43"/>
  <c r="Y43" i="43"/>
  <c r="Y23" i="43"/>
  <c r="Z23" i="43"/>
  <c r="AA23" i="43"/>
  <c r="B61" i="43"/>
  <c r="Y61" i="43"/>
  <c r="P61" i="43"/>
  <c r="Z61" i="43"/>
  <c r="Q61" i="43"/>
  <c r="AA61" i="43"/>
  <c r="B58" i="43"/>
  <c r="AA58" i="43"/>
  <c r="Z58" i="43"/>
  <c r="P58" i="43"/>
  <c r="Y58" i="43"/>
  <c r="Q58" i="43"/>
  <c r="Y44" i="43"/>
  <c r="Z44" i="43"/>
  <c r="Q44" i="43"/>
  <c r="AA44" i="43"/>
  <c r="B44" i="43"/>
  <c r="Q45" i="43"/>
  <c r="AA45" i="43"/>
  <c r="Y45" i="43"/>
  <c r="B45" i="43"/>
  <c r="Z45" i="43"/>
  <c r="X17" i="36"/>
  <c r="X15" i="36"/>
  <c r="D19" i="34"/>
  <c r="F19" i="34" s="1"/>
  <c r="AD10" i="31"/>
  <c r="G19" i="34" s="1"/>
  <c r="X11" i="35"/>
  <c r="G21" i="34" s="1"/>
  <c r="M45" i="43"/>
  <c r="G45" i="43"/>
  <c r="R45" i="43"/>
  <c r="U45" i="43"/>
  <c r="K45" i="43"/>
  <c r="C45" i="43"/>
  <c r="H45" i="43"/>
  <c r="R14" i="36"/>
  <c r="T14" i="36" s="1"/>
  <c r="R61" i="43"/>
  <c r="U61" i="43"/>
  <c r="U44" i="43"/>
  <c r="R44" i="43"/>
  <c r="M44" i="43"/>
  <c r="H44" i="43"/>
  <c r="K44" i="43"/>
  <c r="G44" i="43"/>
  <c r="C44" i="43"/>
  <c r="R60" i="43"/>
  <c r="U60" i="43"/>
  <c r="U43" i="43"/>
  <c r="R43" i="43"/>
  <c r="H43" i="43"/>
  <c r="K43" i="43"/>
  <c r="M43" i="43"/>
  <c r="C43" i="43"/>
  <c r="G43" i="43"/>
  <c r="U58" i="43"/>
  <c r="R58" i="43"/>
  <c r="X23" i="43"/>
  <c r="W23" i="43"/>
  <c r="U23" i="43"/>
  <c r="R23" i="43"/>
  <c r="H61" i="43"/>
  <c r="K61" i="43"/>
  <c r="M61" i="43"/>
  <c r="G61" i="43"/>
  <c r="N61" i="43"/>
  <c r="C61" i="43"/>
  <c r="N60" i="43"/>
  <c r="H60" i="43"/>
  <c r="C60" i="43"/>
  <c r="M60" i="43"/>
  <c r="G60" i="43"/>
  <c r="K60" i="43"/>
  <c r="K58" i="43"/>
  <c r="C58" i="43"/>
  <c r="N58" i="43"/>
  <c r="M58" i="43"/>
  <c r="H58" i="43"/>
  <c r="G58" i="43"/>
  <c r="K23" i="43"/>
  <c r="C23" i="43"/>
  <c r="H23" i="43"/>
  <c r="Q23" i="43"/>
  <c r="G23" i="43"/>
  <c r="B23" i="43"/>
  <c r="U16" i="36" l="1"/>
  <c r="U13" i="36"/>
  <c r="V14" i="36"/>
  <c r="W14" i="36"/>
  <c r="U19" i="36"/>
  <c r="X19" i="36"/>
  <c r="X13" i="36"/>
  <c r="X16" i="36"/>
  <c r="R10" i="36"/>
  <c r="T10" i="36" s="1"/>
  <c r="A57" i="43"/>
  <c r="A62" i="43"/>
  <c r="A59" i="43"/>
  <c r="R12" i="36"/>
  <c r="T12" i="36" s="1"/>
  <c r="R11" i="36"/>
  <c r="T11" i="36" s="1"/>
  <c r="E32" i="5"/>
  <c r="F32" i="5"/>
  <c r="H32" i="5"/>
  <c r="G32" i="5"/>
  <c r="R10" i="32" s="1"/>
  <c r="U10" i="32" s="1"/>
  <c r="E33" i="5"/>
  <c r="F33" i="5"/>
  <c r="D33" i="5"/>
  <c r="H33" i="5" s="1"/>
  <c r="G33" i="5"/>
  <c r="R11" i="32" s="1"/>
  <c r="U11" i="32" s="1"/>
  <c r="E34" i="5"/>
  <c r="F34" i="5"/>
  <c r="D34" i="5"/>
  <c r="H34" i="5" s="1"/>
  <c r="G34" i="5"/>
  <c r="R12" i="32" s="1"/>
  <c r="U12" i="32" s="1"/>
  <c r="E35" i="5"/>
  <c r="F35" i="5"/>
  <c r="D35" i="5"/>
  <c r="H35" i="5" s="1"/>
  <c r="G35" i="5"/>
  <c r="R13" i="32" s="1"/>
  <c r="U13" i="32" s="1"/>
  <c r="F36" i="5"/>
  <c r="D36" i="5"/>
  <c r="H36" i="5" s="1"/>
  <c r="G36" i="5"/>
  <c r="R14" i="32" s="1"/>
  <c r="U14" i="32" s="1"/>
  <c r="E37" i="5"/>
  <c r="F37" i="5"/>
  <c r="D37" i="5"/>
  <c r="H37" i="5" s="1"/>
  <c r="G37" i="5"/>
  <c r="R15" i="32" s="1"/>
  <c r="U15" i="32" s="1"/>
  <c r="E38" i="5"/>
  <c r="E39" i="5"/>
  <c r="E40" i="5"/>
  <c r="E41" i="5"/>
  <c r="D38" i="5"/>
  <c r="H38" i="5" s="1"/>
  <c r="G38" i="5"/>
  <c r="R16" i="32" s="1"/>
  <c r="U16" i="32" s="1"/>
  <c r="F38" i="5"/>
  <c r="D39" i="5"/>
  <c r="H39" i="5" s="1"/>
  <c r="G39" i="5"/>
  <c r="R17" i="32" s="1"/>
  <c r="U17" i="32" s="1"/>
  <c r="F39" i="5"/>
  <c r="D40" i="5"/>
  <c r="H40" i="5" s="1"/>
  <c r="G40" i="5"/>
  <c r="R18" i="32" s="1"/>
  <c r="U18" i="32" s="1"/>
  <c r="F40" i="5"/>
  <c r="D41" i="5"/>
  <c r="H41" i="5" s="1"/>
  <c r="G41" i="5"/>
  <c r="R19" i="32" s="1"/>
  <c r="U19" i="32" s="1"/>
  <c r="F41" i="5"/>
  <c r="C33" i="5"/>
  <c r="C34" i="5"/>
  <c r="C35" i="5"/>
  <c r="C36" i="5"/>
  <c r="C37" i="5"/>
  <c r="C38" i="5"/>
  <c r="C39" i="5"/>
  <c r="C40" i="5"/>
  <c r="C41" i="5"/>
  <c r="V11" i="36" l="1"/>
  <c r="W11" i="36"/>
  <c r="W12" i="36"/>
  <c r="V12" i="36"/>
  <c r="W10" i="36"/>
  <c r="V10" i="36"/>
  <c r="U14" i="36"/>
  <c r="Q57" i="43" s="1"/>
  <c r="AC59" i="43"/>
  <c r="AD59" i="43"/>
  <c r="AC62" i="43"/>
  <c r="AD62" i="43"/>
  <c r="AC57" i="43"/>
  <c r="AD57" i="43"/>
  <c r="B57" i="43"/>
  <c r="Y57" i="43"/>
  <c r="AA57" i="43"/>
  <c r="P57" i="43"/>
  <c r="Z57" i="43"/>
  <c r="B62" i="43"/>
  <c r="AA62" i="43"/>
  <c r="Z62" i="43"/>
  <c r="P62" i="43"/>
  <c r="Y62" i="43"/>
  <c r="Q62" i="43"/>
  <c r="B59" i="43"/>
  <c r="Y59" i="43"/>
  <c r="Q59" i="43"/>
  <c r="P59" i="43"/>
  <c r="AA59" i="43"/>
  <c r="Z59" i="43"/>
  <c r="X14" i="36"/>
  <c r="K57" i="43"/>
  <c r="H57" i="43"/>
  <c r="G57" i="43"/>
  <c r="R57" i="43"/>
  <c r="M57" i="43"/>
  <c r="U57" i="43"/>
  <c r="N57" i="43"/>
  <c r="C57" i="43"/>
  <c r="A56" i="43"/>
  <c r="U62" i="43"/>
  <c r="C62" i="43"/>
  <c r="M62" i="43"/>
  <c r="K62" i="43"/>
  <c r="R62" i="43"/>
  <c r="H62" i="43"/>
  <c r="N62" i="43"/>
  <c r="G62" i="43"/>
  <c r="H59" i="43"/>
  <c r="K59" i="43"/>
  <c r="N59" i="43"/>
  <c r="G59" i="43"/>
  <c r="M59" i="43"/>
  <c r="C59" i="43"/>
  <c r="U59" i="43"/>
  <c r="R59" i="43"/>
  <c r="I38" i="5"/>
  <c r="P40" i="5"/>
  <c r="K40" i="5"/>
  <c r="Q37" i="5"/>
  <c r="M38" i="5"/>
  <c r="O37" i="5"/>
  <c r="P34" i="5"/>
  <c r="I40" i="5"/>
  <c r="Q34" i="5"/>
  <c r="P38" i="5"/>
  <c r="N39" i="5"/>
  <c r="T39" i="5" s="1"/>
  <c r="M39" i="5"/>
  <c r="I39" i="5"/>
  <c r="R39" i="5" s="1"/>
  <c r="Q39" i="5"/>
  <c r="O39" i="5"/>
  <c r="P39" i="5"/>
  <c r="U39" i="5" s="1"/>
  <c r="L39" i="5"/>
  <c r="S39" i="5" s="1"/>
  <c r="K39" i="5"/>
  <c r="N41" i="5"/>
  <c r="T41" i="5" s="1"/>
  <c r="K41" i="5"/>
  <c r="I41" i="5"/>
  <c r="R41" i="5" s="1"/>
  <c r="O41" i="5"/>
  <c r="P41" i="5"/>
  <c r="U41" i="5" s="1"/>
  <c r="L41" i="5"/>
  <c r="M41" i="5"/>
  <c r="Q41" i="5"/>
  <c r="P35" i="5"/>
  <c r="U35" i="5" s="1"/>
  <c r="L35" i="5"/>
  <c r="S35" i="5" s="1"/>
  <c r="O35" i="5"/>
  <c r="O33" i="5"/>
  <c r="K33" i="5"/>
  <c r="N33" i="5"/>
  <c r="M33" i="5"/>
  <c r="L33" i="5"/>
  <c r="K32" i="5"/>
  <c r="M32" i="5"/>
  <c r="N32" i="5"/>
  <c r="O32" i="5"/>
  <c r="O38" i="5"/>
  <c r="Q40" i="5"/>
  <c r="I37" i="5"/>
  <c r="N40" i="5"/>
  <c r="N38" i="5"/>
  <c r="Q35" i="5"/>
  <c r="P33" i="5"/>
  <c r="P32" i="5"/>
  <c r="I34" i="5"/>
  <c r="K38" i="5"/>
  <c r="M40" i="5"/>
  <c r="K34" i="5"/>
  <c r="O34" i="5"/>
  <c r="O40" i="5"/>
  <c r="Q38" i="5"/>
  <c r="L40" i="5"/>
  <c r="L38" i="5"/>
  <c r="S38" i="5" s="1"/>
  <c r="V38" i="5" s="1"/>
  <c r="N16" i="32" s="1"/>
  <c r="T16" i="32" s="1"/>
  <c r="V16" i="32" s="1"/>
  <c r="P37" i="5"/>
  <c r="M34" i="5"/>
  <c r="Q36" i="5"/>
  <c r="M36" i="5"/>
  <c r="P36" i="5"/>
  <c r="L36" i="5"/>
  <c r="K36" i="5"/>
  <c r="N36" i="5"/>
  <c r="O36" i="5"/>
  <c r="I36" i="5"/>
  <c r="L32" i="5"/>
  <c r="K37" i="5"/>
  <c r="M37" i="5"/>
  <c r="N34" i="5"/>
  <c r="Q33" i="5"/>
  <c r="I35" i="5"/>
  <c r="R35" i="5" s="1"/>
  <c r="I33" i="5"/>
  <c r="N37" i="5"/>
  <c r="N35" i="5"/>
  <c r="T35" i="5" s="1"/>
  <c r="Q32" i="5"/>
  <c r="L37" i="5"/>
  <c r="I32" i="5"/>
  <c r="K35" i="5"/>
  <c r="L34" i="5"/>
  <c r="M35" i="5"/>
  <c r="U11" i="36" l="1"/>
  <c r="U10" i="36"/>
  <c r="U12" i="36"/>
  <c r="U38" i="5"/>
  <c r="T36" i="5"/>
  <c r="T38" i="5"/>
  <c r="AC56" i="43"/>
  <c r="AD56" i="43"/>
  <c r="P56" i="43"/>
  <c r="Q56" i="43"/>
  <c r="AA56" i="43"/>
  <c r="Y56" i="43"/>
  <c r="Z56" i="43"/>
  <c r="G56" i="43"/>
  <c r="B56" i="43"/>
  <c r="R38" i="5"/>
  <c r="V39" i="5"/>
  <c r="N17" i="32" s="1"/>
  <c r="T17" i="32" s="1"/>
  <c r="V17" i="32" s="1"/>
  <c r="R36" i="5"/>
  <c r="S36" i="5"/>
  <c r="U36" i="5"/>
  <c r="D22" i="34"/>
  <c r="T33" i="5"/>
  <c r="E22" i="34"/>
  <c r="X11" i="36"/>
  <c r="X12" i="36"/>
  <c r="V35" i="5"/>
  <c r="N13" i="32" s="1"/>
  <c r="T13" i="32" s="1"/>
  <c r="V13" i="32" s="1"/>
  <c r="S41" i="5"/>
  <c r="Q13" i="33"/>
  <c r="Q12" i="33"/>
  <c r="Q19" i="33"/>
  <c r="K56" i="43"/>
  <c r="U56" i="43"/>
  <c r="M56" i="43"/>
  <c r="R56" i="43"/>
  <c r="H56" i="43"/>
  <c r="C56" i="43"/>
  <c r="N56" i="43"/>
  <c r="T37" i="5"/>
  <c r="V41" i="5"/>
  <c r="N19" i="32" s="1"/>
  <c r="T19" i="32" s="1"/>
  <c r="V19" i="32" s="1"/>
  <c r="U40" i="5"/>
  <c r="T40" i="5"/>
  <c r="R37" i="5"/>
  <c r="S40" i="5"/>
  <c r="U37" i="5"/>
  <c r="R40" i="5"/>
  <c r="S37" i="5"/>
  <c r="U33" i="5"/>
  <c r="R33" i="5"/>
  <c r="S33" i="5"/>
  <c r="A54" i="43"/>
  <c r="A53" i="43"/>
  <c r="C22" i="34"/>
  <c r="A55" i="43"/>
  <c r="S32" i="5"/>
  <c r="R32" i="5"/>
  <c r="T34" i="5"/>
  <c r="T32" i="5"/>
  <c r="R34" i="5"/>
  <c r="U32" i="5"/>
  <c r="S34" i="5"/>
  <c r="U34" i="5"/>
  <c r="AD53" i="43" l="1"/>
  <c r="AC53" i="43"/>
  <c r="AC55" i="43"/>
  <c r="AD55" i="43"/>
  <c r="AC54" i="43"/>
  <c r="AD54" i="43"/>
  <c r="B53" i="43"/>
  <c r="Z53" i="43"/>
  <c r="Q53" i="43"/>
  <c r="Y53" i="43"/>
  <c r="P53" i="43"/>
  <c r="AA53" i="43"/>
  <c r="B54" i="43"/>
  <c r="AA54" i="43"/>
  <c r="Z54" i="43"/>
  <c r="Q54" i="43"/>
  <c r="P54" i="43"/>
  <c r="Y54" i="43"/>
  <c r="B55" i="43"/>
  <c r="Y55" i="43"/>
  <c r="Q55" i="43"/>
  <c r="AA55" i="43"/>
  <c r="Z55" i="43"/>
  <c r="P55" i="43"/>
  <c r="V36" i="5"/>
  <c r="N14" i="32" s="1"/>
  <c r="T14" i="32" s="1"/>
  <c r="V14" i="32" s="1"/>
  <c r="V40" i="5"/>
  <c r="N18" i="32" s="1"/>
  <c r="T18" i="32" s="1"/>
  <c r="V18" i="32" s="1"/>
  <c r="V37" i="5"/>
  <c r="N15" i="32" s="1"/>
  <c r="T15" i="32" s="1"/>
  <c r="V15" i="32" s="1"/>
  <c r="X10" i="36"/>
  <c r="G22" i="34" s="1"/>
  <c r="F22" i="34"/>
  <c r="Q11" i="33"/>
  <c r="V12" i="33"/>
  <c r="W12" i="33" s="1"/>
  <c r="V19" i="33"/>
  <c r="W19" i="33" s="1"/>
  <c r="V13" i="33"/>
  <c r="W13" i="33" s="1"/>
  <c r="Q14" i="33"/>
  <c r="Q18" i="33"/>
  <c r="Q17" i="33"/>
  <c r="Q15" i="33"/>
  <c r="Q16" i="33"/>
  <c r="V32" i="5"/>
  <c r="N10" i="32" s="1"/>
  <c r="T10" i="32" s="1"/>
  <c r="V10" i="32" s="1"/>
  <c r="V34" i="5"/>
  <c r="V33" i="5"/>
  <c r="N11" i="32" s="1"/>
  <c r="T11" i="32" s="1"/>
  <c r="V11" i="32" s="1"/>
  <c r="R55" i="43"/>
  <c r="U55" i="43"/>
  <c r="G55" i="43"/>
  <c r="K55" i="43"/>
  <c r="C55" i="43"/>
  <c r="H55" i="43"/>
  <c r="M55" i="43"/>
  <c r="N55" i="43"/>
  <c r="R53" i="43"/>
  <c r="U53" i="43"/>
  <c r="C53" i="43"/>
  <c r="M53" i="43"/>
  <c r="H53" i="43"/>
  <c r="N53" i="43"/>
  <c r="G53" i="43"/>
  <c r="K53" i="43"/>
  <c r="U54" i="43"/>
  <c r="R54" i="43"/>
  <c r="C54" i="43"/>
  <c r="G54" i="43"/>
  <c r="K54" i="43"/>
  <c r="N54" i="43"/>
  <c r="H54" i="43"/>
  <c r="M54" i="43"/>
  <c r="W10" i="32" l="1"/>
  <c r="X15" i="32"/>
  <c r="W15" i="32"/>
  <c r="Y15" i="32" s="1"/>
  <c r="V11" i="33"/>
  <c r="W11" i="33" s="1"/>
  <c r="N12" i="32"/>
  <c r="T12" i="32" s="1"/>
  <c r="V12" i="32" s="1"/>
  <c r="V16" i="33"/>
  <c r="W16" i="33" s="1"/>
  <c r="V17" i="33"/>
  <c r="W17" i="33" s="1"/>
  <c r="V15" i="33"/>
  <c r="W15" i="33" s="1"/>
  <c r="V18" i="33"/>
  <c r="W18" i="33" s="1"/>
  <c r="V14" i="33"/>
  <c r="W14" i="33" s="1"/>
  <c r="A8" i="43"/>
  <c r="A15" i="43"/>
  <c r="A16" i="43"/>
  <c r="A22" i="43"/>
  <c r="L15" i="43" l="1"/>
  <c r="AI15" i="43"/>
  <c r="L16" i="43"/>
  <c r="AI16" i="43"/>
  <c r="L22" i="43"/>
  <c r="AI22" i="43"/>
  <c r="AG8" i="43"/>
  <c r="AC8" i="43"/>
  <c r="AD8" i="43"/>
  <c r="AH8" i="43"/>
  <c r="AF8" i="43"/>
  <c r="AE8" i="43"/>
  <c r="L8" i="43"/>
  <c r="AA8" i="43"/>
  <c r="B8" i="43"/>
  <c r="Z8" i="43"/>
  <c r="Y8" i="43"/>
  <c r="Q8" i="43"/>
  <c r="Q15" i="43"/>
  <c r="P15" i="43"/>
  <c r="AA15" i="43"/>
  <c r="Y15" i="43"/>
  <c r="Z15" i="43"/>
  <c r="R22" i="43"/>
  <c r="P22" i="43"/>
  <c r="AA22" i="43"/>
  <c r="Z22" i="43"/>
  <c r="Y22" i="43"/>
  <c r="Q22" i="43"/>
  <c r="N16" i="43"/>
  <c r="Z16" i="43"/>
  <c r="Q16" i="43"/>
  <c r="P16" i="43"/>
  <c r="AA16" i="43"/>
  <c r="Y16" i="43"/>
  <c r="Z15" i="32"/>
  <c r="X19" i="32"/>
  <c r="X10" i="32"/>
  <c r="Z10" i="32" s="1"/>
  <c r="W19" i="32"/>
  <c r="X17" i="32"/>
  <c r="W17" i="32"/>
  <c r="Y17" i="32" s="1"/>
  <c r="X18" i="32"/>
  <c r="W18" i="32"/>
  <c r="X16" i="32"/>
  <c r="W16" i="32"/>
  <c r="X14" i="32"/>
  <c r="W14" i="32"/>
  <c r="X13" i="32"/>
  <c r="W13" i="32"/>
  <c r="Y13" i="32" s="1"/>
  <c r="A3" i="43"/>
  <c r="K16" i="43"/>
  <c r="C16" i="43"/>
  <c r="C15" i="43"/>
  <c r="M15" i="43"/>
  <c r="N15" i="43"/>
  <c r="H22" i="43"/>
  <c r="H16" i="43"/>
  <c r="K15" i="43"/>
  <c r="B22" i="43"/>
  <c r="K22" i="43"/>
  <c r="U22" i="43"/>
  <c r="M22" i="43"/>
  <c r="G16" i="43"/>
  <c r="G15" i="43"/>
  <c r="C22" i="43"/>
  <c r="N22" i="43"/>
  <c r="B16" i="43"/>
  <c r="R15" i="43"/>
  <c r="G22" i="43"/>
  <c r="M16" i="43"/>
  <c r="H15" i="43"/>
  <c r="B15" i="43"/>
  <c r="A17" i="43"/>
  <c r="A7" i="43"/>
  <c r="G8" i="43"/>
  <c r="A20" i="43"/>
  <c r="A9" i="43"/>
  <c r="A19" i="43"/>
  <c r="A14" i="43"/>
  <c r="A12" i="43"/>
  <c r="A13" i="43"/>
  <c r="A11" i="43"/>
  <c r="A6" i="43"/>
  <c r="U16" i="43"/>
  <c r="A21" i="43"/>
  <c r="A18" i="43"/>
  <c r="A10" i="43"/>
  <c r="R16" i="43"/>
  <c r="U15" i="43"/>
  <c r="C8" i="43"/>
  <c r="K8" i="43"/>
  <c r="H8" i="43"/>
  <c r="U8" i="43"/>
  <c r="R8" i="43"/>
  <c r="M8" i="43"/>
  <c r="N8" i="43"/>
  <c r="C18" i="34"/>
  <c r="Y19" i="32" l="1"/>
  <c r="Y18" i="32"/>
  <c r="Y14" i="32"/>
  <c r="Y16" i="32"/>
  <c r="Y10" i="32"/>
  <c r="Q3" i="43" s="1"/>
  <c r="L14" i="43"/>
  <c r="AI14" i="43"/>
  <c r="L19" i="43"/>
  <c r="AI19" i="43"/>
  <c r="L20" i="43"/>
  <c r="AI20" i="43"/>
  <c r="AI17" i="43"/>
  <c r="L17" i="43"/>
  <c r="L18" i="43"/>
  <c r="AI18" i="43"/>
  <c r="AI21" i="43"/>
  <c r="L21" i="43"/>
  <c r="AC6" i="43"/>
  <c r="AG6" i="43"/>
  <c r="AD6" i="43"/>
  <c r="AH6" i="43"/>
  <c r="AF6" i="43"/>
  <c r="AE6" i="43"/>
  <c r="AF11" i="43"/>
  <c r="AG11" i="43"/>
  <c r="AC11" i="43"/>
  <c r="AH11" i="43"/>
  <c r="AD11" i="43"/>
  <c r="AE11" i="43"/>
  <c r="AF10" i="43"/>
  <c r="AG10" i="43"/>
  <c r="AH10" i="43"/>
  <c r="AC10" i="43"/>
  <c r="AD10" i="43"/>
  <c r="AE10" i="43"/>
  <c r="AG7" i="43"/>
  <c r="AC7" i="43"/>
  <c r="AD7" i="43"/>
  <c r="AH7" i="43"/>
  <c r="AF7" i="43"/>
  <c r="AE7" i="43"/>
  <c r="AD12" i="43"/>
  <c r="AG12" i="43"/>
  <c r="AC12" i="43"/>
  <c r="AF12" i="43"/>
  <c r="AH12" i="43"/>
  <c r="AE12" i="43"/>
  <c r="AD3" i="43"/>
  <c r="AC3" i="43"/>
  <c r="AF3" i="43"/>
  <c r="AH3" i="43"/>
  <c r="AG3" i="43"/>
  <c r="AE3" i="43"/>
  <c r="AF9" i="43"/>
  <c r="AG9" i="43"/>
  <c r="AC9" i="43"/>
  <c r="AD9" i="43"/>
  <c r="AH9" i="43"/>
  <c r="AE9" i="43"/>
  <c r="K13" i="43"/>
  <c r="L13" i="43"/>
  <c r="AI13" i="43"/>
  <c r="L12" i="43"/>
  <c r="AA12" i="43"/>
  <c r="B12" i="43"/>
  <c r="Z12" i="43"/>
  <c r="Y12" i="43"/>
  <c r="Q12" i="43"/>
  <c r="L6" i="43"/>
  <c r="Z6" i="43"/>
  <c r="Y6" i="43"/>
  <c r="AA6" i="43"/>
  <c r="B6" i="43"/>
  <c r="Q6" i="43"/>
  <c r="L10" i="43"/>
  <c r="Z10" i="43"/>
  <c r="AA10" i="43"/>
  <c r="B10" i="43"/>
  <c r="Y10" i="43"/>
  <c r="Q10" i="43"/>
  <c r="L11" i="43"/>
  <c r="AA11" i="43"/>
  <c r="Y11" i="43"/>
  <c r="B11" i="43"/>
  <c r="Z11" i="43"/>
  <c r="Q11" i="43"/>
  <c r="L7" i="43"/>
  <c r="B7" i="43"/>
  <c r="Y7" i="43"/>
  <c r="Z7" i="43"/>
  <c r="AA7" i="43"/>
  <c r="Q7" i="43"/>
  <c r="L3" i="43"/>
  <c r="K3" i="43"/>
  <c r="AA3" i="43"/>
  <c r="B3" i="43"/>
  <c r="Z3" i="43"/>
  <c r="Y3" i="43"/>
  <c r="L9" i="43"/>
  <c r="AA9" i="43"/>
  <c r="B9" i="43"/>
  <c r="Y9" i="43"/>
  <c r="Z9" i="43"/>
  <c r="Q9" i="43"/>
  <c r="N18" i="43"/>
  <c r="P18" i="43"/>
  <c r="AA18" i="43"/>
  <c r="Z18" i="43"/>
  <c r="Y18" i="43"/>
  <c r="Q18" i="43"/>
  <c r="H21" i="43"/>
  <c r="Y21" i="43"/>
  <c r="Z21" i="43"/>
  <c r="Q21" i="43"/>
  <c r="P21" i="43"/>
  <c r="AA21" i="43"/>
  <c r="H19" i="43"/>
  <c r="Q19" i="43"/>
  <c r="P19" i="43"/>
  <c r="AA19" i="43"/>
  <c r="Y19" i="43"/>
  <c r="Z19" i="43"/>
  <c r="G17" i="43"/>
  <c r="Y17" i="43"/>
  <c r="Z17" i="43"/>
  <c r="Q17" i="43"/>
  <c r="P17" i="43"/>
  <c r="AA17" i="43"/>
  <c r="C20" i="43"/>
  <c r="Z20" i="43"/>
  <c r="Q20" i="43"/>
  <c r="P20" i="43"/>
  <c r="AA20" i="43"/>
  <c r="Y20" i="43"/>
  <c r="Q13" i="43"/>
  <c r="P13" i="43"/>
  <c r="Z13" i="43"/>
  <c r="Y13" i="43"/>
  <c r="AA13" i="43"/>
  <c r="B14" i="43"/>
  <c r="P14" i="43"/>
  <c r="AA14" i="43"/>
  <c r="Z14" i="43"/>
  <c r="Y14" i="43"/>
  <c r="Q14" i="43"/>
  <c r="H11" i="43"/>
  <c r="N10" i="43"/>
  <c r="H7" i="43"/>
  <c r="M6" i="43"/>
  <c r="H3" i="43"/>
  <c r="Z13" i="32"/>
  <c r="Z16" i="32"/>
  <c r="Z18" i="32"/>
  <c r="Z14" i="32"/>
  <c r="Z17" i="32"/>
  <c r="Z19" i="32"/>
  <c r="X12" i="32"/>
  <c r="A5" i="43"/>
  <c r="W12" i="32"/>
  <c r="Y12" i="32" s="1"/>
  <c r="U3" i="43"/>
  <c r="R3" i="43"/>
  <c r="C3" i="43"/>
  <c r="N3" i="43"/>
  <c r="M3" i="43"/>
  <c r="G3" i="43"/>
  <c r="U21" i="43"/>
  <c r="G21" i="43"/>
  <c r="N9" i="43"/>
  <c r="G9" i="43"/>
  <c r="R9" i="43"/>
  <c r="K9" i="43"/>
  <c r="U9" i="43"/>
  <c r="R10" i="43"/>
  <c r="U12" i="43"/>
  <c r="H10" i="43"/>
  <c r="U11" i="43"/>
  <c r="C12" i="43"/>
  <c r="H12" i="43"/>
  <c r="C10" i="43"/>
  <c r="U10" i="43"/>
  <c r="K10" i="43"/>
  <c r="N12" i="43"/>
  <c r="M10" i="43"/>
  <c r="G10" i="43"/>
  <c r="M11" i="43"/>
  <c r="G12" i="43"/>
  <c r="K12" i="43"/>
  <c r="R12" i="43"/>
  <c r="M12" i="43"/>
  <c r="K11" i="43"/>
  <c r="C21" i="43"/>
  <c r="B21" i="43"/>
  <c r="K21" i="43"/>
  <c r="M21" i="43"/>
  <c r="N21" i="43"/>
  <c r="B19" i="43"/>
  <c r="G19" i="43"/>
  <c r="N19" i="43"/>
  <c r="B20" i="43"/>
  <c r="U20" i="43"/>
  <c r="M20" i="43"/>
  <c r="N20" i="43"/>
  <c r="G20" i="43"/>
  <c r="R20" i="43"/>
  <c r="K20" i="43"/>
  <c r="H20" i="43"/>
  <c r="R19" i="43"/>
  <c r="C19" i="43"/>
  <c r="K19" i="43"/>
  <c r="M19" i="43"/>
  <c r="U19" i="43"/>
  <c r="C18" i="43"/>
  <c r="M18" i="43"/>
  <c r="U18" i="43"/>
  <c r="N17" i="43"/>
  <c r="M17" i="43"/>
  <c r="U17" i="43"/>
  <c r="R17" i="43"/>
  <c r="B17" i="43"/>
  <c r="C17" i="43"/>
  <c r="H17" i="43"/>
  <c r="K17" i="43"/>
  <c r="C14" i="43"/>
  <c r="G14" i="43"/>
  <c r="U14" i="43"/>
  <c r="N14" i="43"/>
  <c r="M14" i="43"/>
  <c r="H14" i="43"/>
  <c r="R14" i="43"/>
  <c r="K14" i="43"/>
  <c r="M13" i="43"/>
  <c r="N13" i="43"/>
  <c r="U13" i="43"/>
  <c r="R13" i="43"/>
  <c r="K6" i="43"/>
  <c r="G6" i="43"/>
  <c r="H6" i="43"/>
  <c r="N6" i="43"/>
  <c r="R6" i="43"/>
  <c r="C6" i="43"/>
  <c r="U6" i="43"/>
  <c r="N7" i="43"/>
  <c r="G7" i="43"/>
  <c r="B18" i="43"/>
  <c r="G18" i="43"/>
  <c r="H13" i="43"/>
  <c r="R18" i="43"/>
  <c r="C11" i="43"/>
  <c r="C7" i="43"/>
  <c r="K7" i="43"/>
  <c r="N11" i="43"/>
  <c r="R11" i="43"/>
  <c r="R7" i="43"/>
  <c r="G11" i="43"/>
  <c r="M7" i="43"/>
  <c r="U7" i="43"/>
  <c r="G18" i="34"/>
  <c r="M9" i="43"/>
  <c r="H9" i="43"/>
  <c r="C9" i="43"/>
  <c r="K18" i="43"/>
  <c r="B13" i="43"/>
  <c r="R21" i="43"/>
  <c r="C13" i="43"/>
  <c r="H18" i="43"/>
  <c r="G13" i="43"/>
  <c r="AD5" i="43" l="1"/>
  <c r="AG5" i="43"/>
  <c r="AH5" i="43"/>
  <c r="AC5" i="43"/>
  <c r="AF5" i="43"/>
  <c r="AE5" i="43"/>
  <c r="L5" i="43"/>
  <c r="AA5" i="43"/>
  <c r="B5" i="43"/>
  <c r="Y5" i="43"/>
  <c r="Z5" i="43"/>
  <c r="Q5" i="43"/>
  <c r="N5" i="43"/>
  <c r="Z12" i="32"/>
  <c r="C17" i="34"/>
  <c r="C23" i="34" s="1"/>
  <c r="W11" i="32"/>
  <c r="X11" i="32"/>
  <c r="E17" i="34" s="1"/>
  <c r="E23" i="34" s="1"/>
  <c r="A4" i="43"/>
  <c r="K5" i="43"/>
  <c r="U5" i="43"/>
  <c r="M5" i="43"/>
  <c r="C5" i="43"/>
  <c r="H5" i="43"/>
  <c r="R5" i="43"/>
  <c r="G5" i="43"/>
  <c r="D17" i="34" l="1"/>
  <c r="Y11" i="32"/>
  <c r="AD4" i="43"/>
  <c r="AG4" i="43"/>
  <c r="AH4" i="43"/>
  <c r="AC4" i="43"/>
  <c r="AF4" i="43"/>
  <c r="AE4" i="43"/>
  <c r="L4" i="43"/>
  <c r="AA4" i="43"/>
  <c r="B4" i="43"/>
  <c r="Z4" i="43"/>
  <c r="Y4" i="43"/>
  <c r="Q4" i="43"/>
  <c r="Z11" i="32"/>
  <c r="G17" i="34" s="1"/>
  <c r="G23" i="34" s="1"/>
  <c r="H23" i="34" s="1"/>
  <c r="AA10" i="32" s="1"/>
  <c r="K4" i="43"/>
  <c r="R4" i="43"/>
  <c r="U4" i="43"/>
  <c r="C4" i="43"/>
  <c r="M4" i="43"/>
  <c r="G4" i="43"/>
  <c r="N4" i="43"/>
  <c r="H4" i="43"/>
  <c r="F17" i="34"/>
  <c r="D23" i="34"/>
  <c r="F23" i="34" l="1"/>
  <c r="AG10" i="31"/>
  <c r="F23" i="43" s="1"/>
  <c r="Y11" i="36"/>
  <c r="F54" i="43" s="1"/>
  <c r="P17" i="30"/>
  <c r="F40" i="43" s="1"/>
  <c r="AG13" i="31"/>
  <c r="F26" i="43" s="1"/>
  <c r="Y19" i="35"/>
  <c r="F52" i="43" s="1"/>
  <c r="AA19" i="33"/>
  <c r="F22" i="43" s="1"/>
  <c r="AA15" i="33"/>
  <c r="F18" i="43" s="1"/>
  <c r="AA17" i="33"/>
  <c r="F20" i="43" s="1"/>
  <c r="P10" i="30"/>
  <c r="F33" i="43" s="1"/>
  <c r="Y12" i="36"/>
  <c r="F55" i="43" s="1"/>
  <c r="AG18" i="31"/>
  <c r="F31" i="43" s="1"/>
  <c r="AG19" i="31"/>
  <c r="F32" i="43" s="1"/>
  <c r="Y10" i="36"/>
  <c r="F53" i="43" s="1"/>
  <c r="AG12" i="31"/>
  <c r="F25" i="43" s="1"/>
  <c r="AA13" i="33"/>
  <c r="F16" i="43" s="1"/>
  <c r="Y17" i="35"/>
  <c r="F50" i="43" s="1"/>
  <c r="Y14" i="36"/>
  <c r="F57" i="43" s="1"/>
  <c r="Y10" i="35"/>
  <c r="F43" i="43" s="1"/>
  <c r="AA11" i="33"/>
  <c r="F14" i="43" s="1"/>
  <c r="P18" i="30"/>
  <c r="F41" i="43" s="1"/>
  <c r="Y15" i="36"/>
  <c r="F58" i="43" s="1"/>
  <c r="Y16" i="36"/>
  <c r="F59" i="43" s="1"/>
  <c r="P15" i="30"/>
  <c r="F38" i="43" s="1"/>
  <c r="Y13" i="35"/>
  <c r="F46" i="43" s="1"/>
  <c r="Y16" i="35"/>
  <c r="F49" i="43" s="1"/>
  <c r="Y17" i="36"/>
  <c r="F60" i="43" s="1"/>
  <c r="P16" i="30"/>
  <c r="F39" i="43" s="1"/>
  <c r="Y18" i="35"/>
  <c r="F51" i="43" s="1"/>
  <c r="Y18" i="36"/>
  <c r="F61" i="43" s="1"/>
  <c r="AA19" i="32"/>
  <c r="F12" i="43" s="1"/>
  <c r="AA14" i="33"/>
  <c r="F17" i="43" s="1"/>
  <c r="AA16" i="33"/>
  <c r="F19" i="43" s="1"/>
  <c r="P14" i="30"/>
  <c r="F37" i="43" s="1"/>
  <c r="AG14" i="31"/>
  <c r="F27" i="43" s="1"/>
  <c r="AA18" i="33"/>
  <c r="F21" i="43" s="1"/>
  <c r="P12" i="30"/>
  <c r="F35" i="43" s="1"/>
  <c r="AA18" i="32"/>
  <c r="F11" i="43" s="1"/>
  <c r="P13" i="30"/>
  <c r="F36" i="43" s="1"/>
  <c r="Y19" i="36"/>
  <c r="F62" i="43" s="1"/>
  <c r="AA12" i="33"/>
  <c r="F15" i="43" s="1"/>
  <c r="Y13" i="36"/>
  <c r="F56" i="43" s="1"/>
  <c r="Y15" i="35"/>
  <c r="F48" i="43" s="1"/>
  <c r="AA15" i="32"/>
  <c r="F8" i="43" s="1"/>
  <c r="AG15" i="31"/>
  <c r="F28" i="43" s="1"/>
  <c r="Y11" i="35"/>
  <c r="F44" i="43" s="1"/>
  <c r="P11" i="30"/>
  <c r="F34" i="43" s="1"/>
  <c r="AA12" i="32"/>
  <c r="F5" i="43" s="1"/>
  <c r="AG17" i="31"/>
  <c r="F30" i="43" s="1"/>
  <c r="AA17" i="32"/>
  <c r="F10" i="43" s="1"/>
  <c r="AA16" i="32"/>
  <c r="F9" i="43" s="1"/>
  <c r="Y14" i="35"/>
  <c r="F47" i="43" s="1"/>
  <c r="AA13" i="32"/>
  <c r="F6" i="43" s="1"/>
  <c r="AG11" i="31"/>
  <c r="F24" i="43" s="1"/>
  <c r="P19" i="30"/>
  <c r="F42" i="43" s="1"/>
  <c r="F3" i="43"/>
  <c r="AG16" i="31"/>
  <c r="F29" i="43" s="1"/>
  <c r="Y12" i="35"/>
  <c r="F45" i="43" s="1"/>
  <c r="AA10" i="33"/>
  <c r="F13" i="43" s="1"/>
  <c r="AA14" i="32"/>
  <c r="F7" i="43" s="1"/>
  <c r="AA11" i="32"/>
  <c r="F4" i="43" s="1"/>
  <c r="D7" i="43" l="1"/>
  <c r="AB7" i="43"/>
  <c r="D3" i="43"/>
  <c r="AB3" i="43"/>
  <c r="D47" i="43"/>
  <c r="AB47" i="43"/>
  <c r="D5" i="43"/>
  <c r="AB5" i="43"/>
  <c r="D8" i="43"/>
  <c r="AB8" i="43"/>
  <c r="D62" i="43"/>
  <c r="AB62" i="43"/>
  <c r="D39" i="43"/>
  <c r="AB39" i="43"/>
  <c r="D38" i="43"/>
  <c r="AB38" i="43"/>
  <c r="D16" i="43"/>
  <c r="AB16" i="43"/>
  <c r="D18" i="43"/>
  <c r="AB18" i="43"/>
  <c r="D13" i="43"/>
  <c r="AB13" i="43"/>
  <c r="D42" i="43"/>
  <c r="AB42" i="43"/>
  <c r="D9" i="43"/>
  <c r="AB9" i="43"/>
  <c r="D34" i="43"/>
  <c r="AB34" i="43"/>
  <c r="D48" i="43"/>
  <c r="AB48" i="43"/>
  <c r="D36" i="43"/>
  <c r="AB36" i="43"/>
  <c r="D27" i="43"/>
  <c r="AB27" i="43"/>
  <c r="D12" i="43"/>
  <c r="AB12" i="43"/>
  <c r="D60" i="43"/>
  <c r="AB60" i="43"/>
  <c r="D59" i="43"/>
  <c r="AB59" i="43"/>
  <c r="D43" i="43"/>
  <c r="AB43" i="43"/>
  <c r="D25" i="43"/>
  <c r="AB25" i="43"/>
  <c r="D55" i="43"/>
  <c r="AB55" i="43"/>
  <c r="D22" i="43"/>
  <c r="AB22" i="43"/>
  <c r="D54" i="43"/>
  <c r="AB54" i="43"/>
  <c r="D4" i="43"/>
  <c r="AB4" i="43"/>
  <c r="D21" i="43"/>
  <c r="AB21" i="43"/>
  <c r="D17" i="43"/>
  <c r="AB17" i="43"/>
  <c r="D14" i="43"/>
  <c r="AB14" i="43"/>
  <c r="D31" i="43"/>
  <c r="AB31" i="43"/>
  <c r="D40" i="43"/>
  <c r="AB40" i="43"/>
  <c r="D45" i="43"/>
  <c r="AB45" i="43"/>
  <c r="D24" i="43"/>
  <c r="AB24" i="43"/>
  <c r="D10" i="43"/>
  <c r="AB10" i="43"/>
  <c r="D44" i="43"/>
  <c r="AB44" i="43"/>
  <c r="D56" i="43"/>
  <c r="AB56" i="43"/>
  <c r="D11" i="43"/>
  <c r="AB11" i="43"/>
  <c r="D37" i="43"/>
  <c r="AB37" i="43"/>
  <c r="D61" i="43"/>
  <c r="AB61" i="43"/>
  <c r="D49" i="43"/>
  <c r="AB49" i="43"/>
  <c r="D58" i="43"/>
  <c r="AB58" i="43"/>
  <c r="D57" i="43"/>
  <c r="AB57" i="43"/>
  <c r="D53" i="43"/>
  <c r="AB53" i="43"/>
  <c r="D33" i="43"/>
  <c r="AB33" i="43"/>
  <c r="D52" i="43"/>
  <c r="AB52" i="43"/>
  <c r="D23" i="43"/>
  <c r="AB23" i="43"/>
  <c r="D29" i="43"/>
  <c r="AB29" i="43"/>
  <c r="D6" i="43"/>
  <c r="AB6" i="43"/>
  <c r="D30" i="43"/>
  <c r="AB30" i="43"/>
  <c r="D28" i="43"/>
  <c r="AB28" i="43"/>
  <c r="D15" i="43"/>
  <c r="AB15" i="43"/>
  <c r="D35" i="43"/>
  <c r="AB35" i="43"/>
  <c r="D19" i="43"/>
  <c r="AB19" i="43"/>
  <c r="D51" i="43"/>
  <c r="AB51" i="43"/>
  <c r="D46" i="43"/>
  <c r="AB46" i="43"/>
  <c r="D41" i="43"/>
  <c r="AB41" i="43"/>
  <c r="D50" i="43"/>
  <c r="AB50" i="43"/>
  <c r="D32" i="43"/>
  <c r="AB32" i="43"/>
  <c r="D20" i="43"/>
  <c r="AB20" i="43"/>
  <c r="D26" i="43"/>
  <c r="AB26" i="43"/>
  <c r="H22" i="34"/>
  <c r="H19" i="34"/>
  <c r="H20" i="34"/>
  <c r="H18" i="34"/>
  <c r="H21" i="34"/>
  <c r="H17" i="3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<sst xmlns="http://schemas.openxmlformats.org/spreadsheetml/2006/main" count="6436" uniqueCount="590">
  <si>
    <t>ZCTA</t>
  </si>
  <si>
    <t>Climate Region</t>
  </si>
  <si>
    <t>Reference Location</t>
  </si>
  <si>
    <t>H</t>
  </si>
  <si>
    <t>Pittsburgh</t>
  </si>
  <si>
    <t>E</t>
  </si>
  <si>
    <t>Harrisburg</t>
  </si>
  <si>
    <t>I</t>
  </si>
  <si>
    <t>Erie</t>
  </si>
  <si>
    <t>G</t>
  </si>
  <si>
    <t>Bradford</t>
  </si>
  <si>
    <t>F</t>
  </si>
  <si>
    <t>Williamsport</t>
  </si>
  <si>
    <t>B</t>
  </si>
  <si>
    <t>Scranton</t>
  </si>
  <si>
    <t>D</t>
  </si>
  <si>
    <t>Philadelphia</t>
  </si>
  <si>
    <t>C</t>
  </si>
  <si>
    <t>Allentown</t>
  </si>
  <si>
    <t>A</t>
  </si>
  <si>
    <t>Binghamton</t>
  </si>
  <si>
    <r>
      <t>Input Instructions</t>
    </r>
    <r>
      <rPr>
        <b/>
        <sz val="11"/>
        <color indexed="13"/>
        <rFont val="Arial"/>
        <family val="2"/>
      </rPr>
      <t/>
    </r>
  </si>
  <si>
    <t>Yellow cells indicate that user input is required. Cells with a * are required.</t>
  </si>
  <si>
    <t xml:space="preserve">Grey cells are calculated values. </t>
  </si>
  <si>
    <t>Worksheet Summary</t>
  </si>
  <si>
    <t>Methodology</t>
  </si>
  <si>
    <t>Provides methodology for savings estimations</t>
  </si>
  <si>
    <t>Project Summary</t>
  </si>
  <si>
    <t>This provides summary of estimated savings along with some required inputs</t>
  </si>
  <si>
    <t>Premium Efficiency Motors</t>
  </si>
  <si>
    <t>This measure applies to the installation of premium‑efficiency, constant‑speed motors in new construction or replace‑on‑burnout applications. Motors must be uniformly loaded and single‑speed. Variable‑speed motors, motors with horsepower changes, or multi‑motor configurations are treated as custom measures.</t>
  </si>
  <si>
    <t>VFD Improvements</t>
  </si>
  <si>
    <t>This measure applies to the installation of variable frequency drives (VFDs) on existing constant‑speed motors in standard commercial applications. The baseline condition assumes operation without variable speed control.</t>
  </si>
  <si>
    <t>ECM Fans</t>
  </si>
  <si>
    <t xml:space="preserve">This measure is for the retrofit of existing shaded-pole (SP) or permanent-split capacitor (PSC) evaporator fan motors in an air handling unit to a electronically commutated motor (ECM). This measure only applies to motors of one horsepower or less. Anything greater than 1 HP are governed by NEMA standard. The targeted fan can be for cooling, heating, or both. </t>
  </si>
  <si>
    <t>VSD Kitchen Fans</t>
  </si>
  <si>
    <t>This measure is for the installation of variable speed drives (VSD) on commercial kitchen exhaust fans. The VSD must vary the exhaust rate of kitchen ventilation based on the energy and effluent output from the cooking appliances. This involves installing a temperature sensor in the hood exhaust collar and/or an optic sensor on the end of the hood that can sense cooking conditions.</t>
  </si>
  <si>
    <t>ECM Circulator Pump</t>
  </si>
  <si>
    <t>This measure applies to replacing existing single‑speed circulator pumps used for space heating, cooling, or domestic hot water with high‑efficiency electronically commutated motor (ECM) circulator pumps. The measure is applicable to commercial and industrial retrofit or replace‑on‑burnout installations.</t>
  </si>
  <si>
    <t>High Efficiency Pumps</t>
  </si>
  <si>
    <t>This measure applies to the installation of high‑efficiency clean water pumps in commercial, industrial, or agricultural applications. Eligible pumps include end‑suction, in‑line, split‑case, multistage, and submersible turbine pumps and may be installed as part of retrofit, replace‑on‑burnout, or new construction projects.</t>
  </si>
  <si>
    <t>Version Log</t>
  </si>
  <si>
    <t>The Version Log Worksheet tracks updates and changes made to the workbook.</t>
  </si>
  <si>
    <t>Glossary of Inputs</t>
  </si>
  <si>
    <t>Date</t>
  </si>
  <si>
    <t>Date the estimator is completed.</t>
  </si>
  <si>
    <t>Project Name</t>
  </si>
  <si>
    <t>Name of project for reference.</t>
  </si>
  <si>
    <t>Address</t>
  </si>
  <si>
    <t>Physical location of project.</t>
  </si>
  <si>
    <t>Installation Date</t>
  </si>
  <si>
    <t>Date the project is completed.</t>
  </si>
  <si>
    <t>Project Cost*</t>
  </si>
  <si>
    <t>The cost associated with the project. Required for incentive calculation.</t>
  </si>
  <si>
    <t>Location*</t>
  </si>
  <si>
    <t>The nearest city to the project location.</t>
  </si>
  <si>
    <t>Building Type*</t>
  </si>
  <si>
    <t>Motor ID</t>
  </si>
  <si>
    <t>The ID of the motor for reference.</t>
  </si>
  <si>
    <t>Motor Function*</t>
  </si>
  <si>
    <t>Number of Units*</t>
  </si>
  <si>
    <t>The number of units to receive the retrofit. May also be referred to as quantity.</t>
  </si>
  <si>
    <t>NEMA Design Type*</t>
  </si>
  <si>
    <t>The NEMA type of motor to be installed. Used to calculate baseline efficiency.</t>
  </si>
  <si>
    <t>Number of Poles*</t>
  </si>
  <si>
    <t>Number of poles in the motor.</t>
  </si>
  <si>
    <t>Motor Enclosure*</t>
  </si>
  <si>
    <t xml:space="preserve">The motor enclosure type. </t>
  </si>
  <si>
    <t>Motor Replacement*</t>
  </si>
  <si>
    <t>Select if the motor is new construction or a replace on burnout.</t>
  </si>
  <si>
    <t>Horsepower*</t>
  </si>
  <si>
    <t>The horsepower of the pre and post motor must match.</t>
  </si>
  <si>
    <t>Manufacturer*</t>
  </si>
  <si>
    <t>This is the manufacturer of the equipment to be installed. See specific tab for which piece of equipment.</t>
  </si>
  <si>
    <t>Model Number*</t>
  </si>
  <si>
    <t>This is the model number of the equipment to be installed. See individual tab for which piece of equipment.</t>
  </si>
  <si>
    <t>Efficiency*</t>
  </si>
  <si>
    <t>In premium motors, this is the efficiency of the new NEMA motor.</t>
  </si>
  <si>
    <t>Control Type*</t>
  </si>
  <si>
    <t>Baseline Motor Type*</t>
  </si>
  <si>
    <t>This is the baseline motor type for ECM applications.</t>
  </si>
  <si>
    <t>Equipment Size*</t>
  </si>
  <si>
    <t>This is the HP size for the ECM motor application. It must be less than or equal to 1 HP.</t>
  </si>
  <si>
    <t>Fan Application*</t>
  </si>
  <si>
    <t>This designates if the fan is for heating, cooling, or both.</t>
  </si>
  <si>
    <t>Glossary of Outputs</t>
  </si>
  <si>
    <t>kWh Savings</t>
  </si>
  <si>
    <t>This is the anticipated kWh savings of the line item or measure.</t>
  </si>
  <si>
    <t>kWh</t>
  </si>
  <si>
    <t>kW savings</t>
  </si>
  <si>
    <t>This is the anticipated peak kW savings of the line item/measure.</t>
  </si>
  <si>
    <t>Incentive</t>
  </si>
  <si>
    <t>This is the estimated incentive based on project cost and kWh savings.</t>
  </si>
  <si>
    <t>Run Hours</t>
  </si>
  <si>
    <t>This is the prescriptive hours of use based on location and facility type.</t>
  </si>
  <si>
    <t>Coincidence Factor</t>
  </si>
  <si>
    <t>This is the prescriptive coincidence factor based on the location and facility type.</t>
  </si>
  <si>
    <t>Motor Efficiency</t>
  </si>
  <si>
    <t>This is the NEMA efficiency in the Motors tab based on NEMA inputs.</t>
  </si>
  <si>
    <t>ESF</t>
  </si>
  <si>
    <t>This is a Energy Savings Factor based on inputs from the VFD tab.</t>
  </si>
  <si>
    <t>DSF</t>
  </si>
  <si>
    <t>This is a Demand Savings Factor based on inputs from the VFD tab.</t>
  </si>
  <si>
    <t>HIDE</t>
  </si>
  <si>
    <t>Version</t>
  </si>
  <si>
    <t>Last Updated</t>
  </si>
  <si>
    <t>Instructions: Enter the project information in the yellow cells below. Cells with a * are required. See Instructions Worksheet for more information.</t>
  </si>
  <si>
    <t>List</t>
  </si>
  <si>
    <t>Rate Code*</t>
  </si>
  <si>
    <t>Small Business (GS1 &amp; GS3 Rate Codes)</t>
  </si>
  <si>
    <t>Zip Code</t>
  </si>
  <si>
    <t>Office</t>
  </si>
  <si>
    <t>Measure</t>
  </si>
  <si>
    <t>kW Summer Savings</t>
  </si>
  <si>
    <t>kW Winter Savings</t>
  </si>
  <si>
    <t>kW Avg. Savings</t>
  </si>
  <si>
    <t>Uncapped Incentive</t>
  </si>
  <si>
    <t>Variable Frequency Drives (VFDs)</t>
  </si>
  <si>
    <t>ECM Circulating Fans</t>
  </si>
  <si>
    <t>VSD on Kitchen Exhaust Fan</t>
  </si>
  <si>
    <t>Total</t>
  </si>
  <si>
    <t>This is for constant speed and uniformly loaded motors in new construction and replace on burnout measures. Replacements where old motors and new motors have different horsepowers are considered a custom measure. Motor with variable speeds are considered a custom measure. Systems with multiple motors in a lead-lag setup are also considered custom measures.</t>
  </si>
  <si>
    <t>Motor Information</t>
  </si>
  <si>
    <t>Calculations</t>
  </si>
  <si>
    <t>Total Incentive</t>
  </si>
  <si>
    <t>Line Item</t>
  </si>
  <si>
    <t>Manufacturer</t>
  </si>
  <si>
    <t>Model Number</t>
  </si>
  <si>
    <t>Load Factor</t>
  </si>
  <si>
    <t>Motor Horsepower*</t>
  </si>
  <si>
    <t>Efficiency</t>
  </si>
  <si>
    <t>RHRS</t>
  </si>
  <si>
    <t>ETDF summer</t>
  </si>
  <si>
    <t>ETDF winter</t>
  </si>
  <si>
    <t>Horsepower</t>
  </si>
  <si>
    <t>Baseline kWh</t>
  </si>
  <si>
    <t>EE kWh</t>
  </si>
  <si>
    <t>Chilled Water Pump</t>
  </si>
  <si>
    <t>Type C</t>
  </si>
  <si>
    <t>Enclosed</t>
  </si>
  <si>
    <t>Replace on Burnout</t>
  </si>
  <si>
    <t>Variable Frequency Drive (VFD) Improvements</t>
  </si>
  <si>
    <t>The protocol is for standard commercial application where the baseline motor is without a VFD control.</t>
  </si>
  <si>
    <t>Baseline Information</t>
  </si>
  <si>
    <t>VFD Information</t>
  </si>
  <si>
    <t>Equipment Type</t>
  </si>
  <si>
    <t>Ref cell 1</t>
  </si>
  <si>
    <t>Ref cell 2</t>
  </si>
  <si>
    <t>Quantity*</t>
  </si>
  <si>
    <t>HVAC Pump</t>
  </si>
  <si>
    <t>Condenser Water Pump</t>
  </si>
  <si>
    <t>Throttle Valve</t>
  </si>
  <si>
    <t>HVAC Fan</t>
  </si>
  <si>
    <t>Supply Fan</t>
  </si>
  <si>
    <t>Air Foil/Backward Incline</t>
  </si>
  <si>
    <t>ECM Circulating Fan</t>
  </si>
  <si>
    <t>Efficient Unit</t>
  </si>
  <si>
    <t>Baseline Unit</t>
  </si>
  <si>
    <t>Proposed Unit</t>
  </si>
  <si>
    <t>Unit ID</t>
  </si>
  <si>
    <t>Model</t>
  </si>
  <si>
    <t>Motor HP</t>
  </si>
  <si>
    <t>Motor Eff</t>
  </si>
  <si>
    <t>Ventilation Only Hours</t>
  </si>
  <si>
    <t>Watts</t>
  </si>
  <si>
    <t>LF</t>
  </si>
  <si>
    <t>EFLH heat</t>
  </si>
  <si>
    <t>EFLH cool</t>
  </si>
  <si>
    <t>IF kWh</t>
  </si>
  <si>
    <t>IF kW</t>
  </si>
  <si>
    <t>kWh heat</t>
  </si>
  <si>
    <t>kW heat</t>
  </si>
  <si>
    <t>kWh cool</t>
  </si>
  <si>
    <t>kW cool</t>
  </si>
  <si>
    <t>kWh vent</t>
  </si>
  <si>
    <t>kW vent</t>
  </si>
  <si>
    <t>kWh savings</t>
  </si>
  <si>
    <t>Ventilation Only</t>
  </si>
  <si>
    <t>ECM</t>
  </si>
  <si>
    <t>SP</t>
  </si>
  <si>
    <t>Heating &amp; Cooling</t>
  </si>
  <si>
    <t>ECM Circulating Pump</t>
  </si>
  <si>
    <t>""</t>
  </si>
  <si>
    <t>Pump Application*</t>
  </si>
  <si>
    <t>Pump Control Type*</t>
  </si>
  <si>
    <t>HOUdhw-base</t>
  </si>
  <si>
    <t>HOUdhw-ee</t>
  </si>
  <si>
    <t>EDTF summer</t>
  </si>
  <si>
    <t>EDTF Winter</t>
  </si>
  <si>
    <t>kWh heating</t>
  </si>
  <si>
    <t>kWh dhw</t>
  </si>
  <si>
    <t>kW summer savings</t>
  </si>
  <si>
    <t>Capped Incentive</t>
  </si>
  <si>
    <t>Domestic Hot Water</t>
  </si>
  <si>
    <t>Pump/Motor Information</t>
  </si>
  <si>
    <t>Pump Function*</t>
  </si>
  <si>
    <t>Pump Type</t>
  </si>
  <si>
    <t>Pump Speed*</t>
  </si>
  <si>
    <t>Motor Efficiency*</t>
  </si>
  <si>
    <t>ETDF Summer</t>
  </si>
  <si>
    <t>ETDF Winter</t>
  </si>
  <si>
    <r>
      <t>Pump Energy Index Efficient Case (PEI</t>
    </r>
    <r>
      <rPr>
        <b/>
        <vertAlign val="subscript"/>
        <sz val="11"/>
        <color theme="5"/>
        <rFont val="Arial"/>
        <family val="2"/>
        <scheme val="minor"/>
      </rPr>
      <t>ee</t>
    </r>
    <r>
      <rPr>
        <b/>
        <sz val="11"/>
        <color theme="5"/>
        <rFont val="Arial"/>
        <family val="2"/>
        <scheme val="minor"/>
      </rPr>
      <t>)</t>
    </r>
  </si>
  <si>
    <r>
      <t>PEI</t>
    </r>
    <r>
      <rPr>
        <b/>
        <vertAlign val="subscript"/>
        <sz val="11"/>
        <color theme="5"/>
        <rFont val="Arial"/>
        <family val="2"/>
        <scheme val="minor"/>
      </rPr>
      <t>base</t>
    </r>
  </si>
  <si>
    <t>Variable Speed</t>
  </si>
  <si>
    <t>Calculator Methodology</t>
  </si>
  <si>
    <t>The energy savings is calculated from the 2016 PA TRM with errata. Reference that document for any greater detail than what is provided.</t>
  </si>
  <si>
    <t>VFD Improvement</t>
  </si>
  <si>
    <t>The energy savings is calculated from the 2026 PA TRM with errata. Reference that document for any greater detail than what is provided.</t>
  </si>
  <si>
    <t>ECM Motors</t>
  </si>
  <si>
    <t>VSD on Kitchen Exhaust Fans</t>
  </si>
  <si>
    <t>Table 1: Location</t>
  </si>
  <si>
    <t>Table 2A: Facility Type</t>
  </si>
  <si>
    <t xml:space="preserve">Table 2B: Facility Type </t>
  </si>
  <si>
    <t>Table 3: Motor Replace</t>
  </si>
  <si>
    <t>Table 4: Nema Type</t>
  </si>
  <si>
    <t>Table 5: Motor Function</t>
  </si>
  <si>
    <t>Table 6: Motor Enclosure</t>
  </si>
  <si>
    <t>Table 7: Horsepower</t>
  </si>
  <si>
    <t>Table 8: Poles</t>
  </si>
  <si>
    <t>Education - College / University</t>
  </si>
  <si>
    <t>New Construction</t>
  </si>
  <si>
    <t>Type A</t>
  </si>
  <si>
    <t>Open</t>
  </si>
  <si>
    <t>Condensor Water Pump</t>
  </si>
  <si>
    <t>Education - Other</t>
  </si>
  <si>
    <t>Type B</t>
  </si>
  <si>
    <t>Cooling Tower Fan</t>
  </si>
  <si>
    <t>Grocery</t>
  </si>
  <si>
    <t>Health - Hospital</t>
  </si>
  <si>
    <t>Early Replacement</t>
  </si>
  <si>
    <t>Health - Other</t>
  </si>
  <si>
    <t>Heating Hot Water Pump</t>
  </si>
  <si>
    <t>Industrial Manufacturing</t>
  </si>
  <si>
    <t>Lodging</t>
  </si>
  <si>
    <t>Institutional / Public Service</t>
  </si>
  <si>
    <t>Multifamily (Common Areas)</t>
  </si>
  <si>
    <t>Retail</t>
  </si>
  <si>
    <t>Restaurant</t>
  </si>
  <si>
    <t>Warehouse - Other</t>
  </si>
  <si>
    <t>Warehouse - Refrigerated</t>
  </si>
  <si>
    <t>CHANGE INCENTIVE LEVELS HERE TO CHANGE INCENTIVES ON ALL TABS</t>
  </si>
  <si>
    <t>Incentive / kWh</t>
  </si>
  <si>
    <t>Incentive / kW</t>
  </si>
  <si>
    <t>Calculation 1: Calculating Baseline Efficiency for Premium Motors</t>
  </si>
  <si>
    <t>NC?</t>
  </si>
  <si>
    <t>Nema Type</t>
  </si>
  <si>
    <t>Poles</t>
  </si>
  <si>
    <t>Table Lookup</t>
  </si>
  <si>
    <t>2 close</t>
  </si>
  <si>
    <t>2 open</t>
  </si>
  <si>
    <t>4 close</t>
  </si>
  <si>
    <t>4 open</t>
  </si>
  <si>
    <t>6 close</t>
  </si>
  <si>
    <t>6 open</t>
  </si>
  <si>
    <t>8 close</t>
  </si>
  <si>
    <t>8 open</t>
  </si>
  <si>
    <t>2 Pole</t>
  </si>
  <si>
    <t>4 Pole</t>
  </si>
  <si>
    <t>6 Pole</t>
  </si>
  <si>
    <t>8 Pole</t>
  </si>
  <si>
    <t>Table 9: Type A/B</t>
  </si>
  <si>
    <t>Table 10: Type C Motors</t>
  </si>
  <si>
    <t>2 Poles</t>
  </si>
  <si>
    <t>4 Poles</t>
  </si>
  <si>
    <t>6 Poles</t>
  </si>
  <si>
    <t>8 Poles</t>
  </si>
  <si>
    <t>HP</t>
  </si>
  <si>
    <t>Close</t>
  </si>
  <si>
    <t>N/A</t>
  </si>
  <si>
    <t>Table 3-92: ETDF (premium Eff motor)</t>
  </si>
  <si>
    <t>Table 3-99 ETDF (ECM Fan)</t>
  </si>
  <si>
    <t>Table 3-103 ETDF (ECM Circulatory Pump)</t>
  </si>
  <si>
    <t>Table 3-106 ETDF (High Efficiency Pumps)</t>
  </si>
  <si>
    <t>Type</t>
  </si>
  <si>
    <t>Parameter</t>
  </si>
  <si>
    <t>Building Type</t>
  </si>
  <si>
    <t>EDTF Summer</t>
  </si>
  <si>
    <t>Table 3-87 - 3-91: RHRS</t>
  </si>
  <si>
    <t>City</t>
  </si>
  <si>
    <t>Type Combined</t>
  </si>
  <si>
    <t>sss</t>
  </si>
  <si>
    <t>Allentown Education - College / University</t>
  </si>
  <si>
    <t>Allentown Education - Other</t>
  </si>
  <si>
    <t>Allentown Grocery</t>
  </si>
  <si>
    <t>Allentown Health - Hospital</t>
  </si>
  <si>
    <t>Allentown Health - Other</t>
  </si>
  <si>
    <t>Allentown Industrial Manufacturing</t>
  </si>
  <si>
    <t>Allentown Institutional / Public Service</t>
  </si>
  <si>
    <t>Allentown Lodging</t>
  </si>
  <si>
    <t>Allentown Office</t>
  </si>
  <si>
    <t>Allentown Restaurant</t>
  </si>
  <si>
    <t>Allentown Retail</t>
  </si>
  <si>
    <t>Allentown Warehouse - Other</t>
  </si>
  <si>
    <t>Allentown Warehouse - Refrigerated</t>
  </si>
  <si>
    <t>Binghamton Education - College / University</t>
  </si>
  <si>
    <t>Binghamton Education - Other</t>
  </si>
  <si>
    <t>Binghamton Grocery</t>
  </si>
  <si>
    <t>Binghamton Health - Hospital</t>
  </si>
  <si>
    <t>Binghamton Health - Other</t>
  </si>
  <si>
    <t>Binghamton Industrial Manufacturing</t>
  </si>
  <si>
    <t>Binghamton Institutional / Public Service</t>
  </si>
  <si>
    <t>Binghamton Lodging</t>
  </si>
  <si>
    <t>Binghamton Office</t>
  </si>
  <si>
    <t>Binghamton Restaurant</t>
  </si>
  <si>
    <t>Binghamton Retail</t>
  </si>
  <si>
    <t>Binghamton Warehouse - Other</t>
  </si>
  <si>
    <t>Binghamton Warehouse - Refrigerated</t>
  </si>
  <si>
    <t>Bradford Education - College / University</t>
  </si>
  <si>
    <t>Bradford Education - Other</t>
  </si>
  <si>
    <t>Bradford Grocery</t>
  </si>
  <si>
    <t>Bradford Health - Hospital</t>
  </si>
  <si>
    <t>Bradford Health - Other</t>
  </si>
  <si>
    <t>Bradford Industrial Manufacturing</t>
  </si>
  <si>
    <t>Bradford Institutional / Public Service</t>
  </si>
  <si>
    <t>Bradford Lodging</t>
  </si>
  <si>
    <t>Bradford Office</t>
  </si>
  <si>
    <t>Bradford Restaurant</t>
  </si>
  <si>
    <t>Bradford Retail</t>
  </si>
  <si>
    <t>Bradford Warehouse - Other</t>
  </si>
  <si>
    <t>Bradford Warehouse - Refrigerated</t>
  </si>
  <si>
    <t>Erie Education - College / University</t>
  </si>
  <si>
    <t>Erie Education - Other</t>
  </si>
  <si>
    <t>Erie Grocery</t>
  </si>
  <si>
    <t>Erie Health - Hospital</t>
  </si>
  <si>
    <t>Erie Health - Other</t>
  </si>
  <si>
    <t>Erie Industrial Manufacturing</t>
  </si>
  <si>
    <t>Erie Institutional / Public Service</t>
  </si>
  <si>
    <t>Erie Lodging</t>
  </si>
  <si>
    <t>Erie Office</t>
  </si>
  <si>
    <t>Erie Restaurant</t>
  </si>
  <si>
    <t>Erie Retail</t>
  </si>
  <si>
    <t>Erie Warehouse - Other</t>
  </si>
  <si>
    <t>Erie Warehouse - Refrigerated</t>
  </si>
  <si>
    <t>Harrisburg Education - College / University</t>
  </si>
  <si>
    <t>Harrisburg Education - Other</t>
  </si>
  <si>
    <t>Harrisburg Grocery</t>
  </si>
  <si>
    <t>Harrisburg Health - Hospital</t>
  </si>
  <si>
    <t>Harrisburg Health - Other</t>
  </si>
  <si>
    <t>Harrisburg Industrial Manufacturing</t>
  </si>
  <si>
    <t>Harrisburg Institutional / Public Service</t>
  </si>
  <si>
    <t>Harrisburg Lodging</t>
  </si>
  <si>
    <t>Harrisburg Office</t>
  </si>
  <si>
    <t>Harrisburg Restaurant</t>
  </si>
  <si>
    <t>Harrisburg Retail</t>
  </si>
  <si>
    <t>Harrisburg Warehouse - Other</t>
  </si>
  <si>
    <t>Harrisburg Warehouse - Refrigerated</t>
  </si>
  <si>
    <t>Philadelphia Education - College / University</t>
  </si>
  <si>
    <t>Philadelphia Education - Other</t>
  </si>
  <si>
    <t>Philadelphia Grocery</t>
  </si>
  <si>
    <t>Philadelphia Health - Hospital</t>
  </si>
  <si>
    <t>Philadelphia Health - Other</t>
  </si>
  <si>
    <t>Philadelphia Industrial Manufacturing</t>
  </si>
  <si>
    <t>Philadelphia Institutional / Public Service</t>
  </si>
  <si>
    <t>Philadelphia Lodging</t>
  </si>
  <si>
    <t>Philadelphia Office</t>
  </si>
  <si>
    <t>Philadelphia Restaurant</t>
  </si>
  <si>
    <t>Philadelphia Retail</t>
  </si>
  <si>
    <t>Philadelphia Warehouse - Other</t>
  </si>
  <si>
    <t>Philadelphia Warehouse - Refrigerated</t>
  </si>
  <si>
    <t>Pittsburgh Education - College / University</t>
  </si>
  <si>
    <t>Pittsburgh Education - Other</t>
  </si>
  <si>
    <t>Pittsburgh Grocery</t>
  </si>
  <si>
    <t>Pittsburgh Health - Hospital</t>
  </si>
  <si>
    <t>Pittsburgh Health - Other</t>
  </si>
  <si>
    <t>Pittsburgh Industrial Manufacturing</t>
  </si>
  <si>
    <t>Pittsburgh Institutional / Public Service</t>
  </si>
  <si>
    <t>Pittsburgh Lodging</t>
  </si>
  <si>
    <t>Pittsburgh Office</t>
  </si>
  <si>
    <t>Pittsburgh Restaurant</t>
  </si>
  <si>
    <t>Pittsburgh Retail</t>
  </si>
  <si>
    <t>Pittsburgh Warehouse - Other</t>
  </si>
  <si>
    <t>Pittsburgh Warehouse - Refrigerated</t>
  </si>
  <si>
    <t>Scranton Education - College / University</t>
  </si>
  <si>
    <t>Scranton Education - Other</t>
  </si>
  <si>
    <t>Scranton Grocery</t>
  </si>
  <si>
    <t>Scranton Health - Hospital</t>
  </si>
  <si>
    <t>Scranton Health - Other</t>
  </si>
  <si>
    <t>Scranton Industrial Manufacturing</t>
  </si>
  <si>
    <t>Scranton Institutional / Public Service</t>
  </si>
  <si>
    <t>Scranton Lodging</t>
  </si>
  <si>
    <t>Scranton Office</t>
  </si>
  <si>
    <t>Scranton Restaurant</t>
  </si>
  <si>
    <t>Scranton Retail</t>
  </si>
  <si>
    <t>Scranton Warehouse - Other</t>
  </si>
  <si>
    <t>Scranton Warehouse - Refrigerated</t>
  </si>
  <si>
    <t>Williamsport Education - College / University</t>
  </si>
  <si>
    <t>Williamsport Education - Other</t>
  </si>
  <si>
    <t>Williamsport Grocery</t>
  </si>
  <si>
    <t>Williamsport Health - Hospital</t>
  </si>
  <si>
    <t>Williamsport Health - Other</t>
  </si>
  <si>
    <t>Williamsport Industrial Manufacturing</t>
  </si>
  <si>
    <t>Williamsport Institutional / Public Service</t>
  </si>
  <si>
    <t>Williamsport Lodging</t>
  </si>
  <si>
    <t>Williamsport Office</t>
  </si>
  <si>
    <t>Williamsport Restaurant</t>
  </si>
  <si>
    <t>Williamsport Retail</t>
  </si>
  <si>
    <t>Williamsport Warehouse - Other</t>
  </si>
  <si>
    <t>Williamsport Warehouse - Refrigerated</t>
  </si>
  <si>
    <t>Default Load Profiles for HVAC Fans and Pumps</t>
  </si>
  <si>
    <t>Flow Fraction (%)</t>
  </si>
  <si>
    <t>Supply/Return and Cooling Tower Fan Power Part Load Ratios</t>
  </si>
  <si>
    <t>Control Type</t>
  </si>
  <si>
    <t>Constant Volume</t>
  </si>
  <si>
    <t>Two-Speed</t>
  </si>
  <si>
    <t>Air Foil/Backward Incline with Inlet Guide Vanes</t>
  </si>
  <si>
    <t>Outlet Damper Forward Curved</t>
  </si>
  <si>
    <t>Forward Curved with Inlet Guide Vanes</t>
  </si>
  <si>
    <t>Table 13: Vlookup Column</t>
  </si>
  <si>
    <t>VFD Control Type dropdown</t>
  </si>
  <si>
    <t>VFD Motor Function dropdown</t>
  </si>
  <si>
    <t>Variable Frequency Drive</t>
  </si>
  <si>
    <t>Number</t>
  </si>
  <si>
    <t>HVAC Fan Motor Function</t>
  </si>
  <si>
    <t>HVAC Pump Motor Function</t>
  </si>
  <si>
    <t>HVAC Pump Power Part Load Ratios</t>
  </si>
  <si>
    <t>Rate Codes</t>
  </si>
  <si>
    <t>Large Business (LP4 &amp; LP5 Rate Codes)</t>
  </si>
  <si>
    <t>Table 15: EFLH Heat</t>
  </si>
  <si>
    <t>Table 16: EFLH Cool</t>
  </si>
  <si>
    <t>Space and/or Building Type</t>
  </si>
  <si>
    <t>Table 18: Fan Application</t>
  </si>
  <si>
    <t>Motor Type</t>
  </si>
  <si>
    <t>Assumed Efficiency</t>
  </si>
  <si>
    <t>Heating Only</t>
  </si>
  <si>
    <t>Cooling Only</t>
  </si>
  <si>
    <t>PSC</t>
  </si>
  <si>
    <t>Heating &amp; Ventilation</t>
  </si>
  <si>
    <t>Cooling &amp; Ventilation</t>
  </si>
  <si>
    <t>Heating &amp; Cooling &amp; Ventilation</t>
  </si>
  <si>
    <t>Table 18: Pump Application</t>
  </si>
  <si>
    <t>Heating Circulation</t>
  </si>
  <si>
    <r>
      <t>PEI</t>
    </r>
    <r>
      <rPr>
        <b/>
        <vertAlign val="subscript"/>
        <sz val="9"/>
        <color rgb="FF000000"/>
        <rFont val="Arial"/>
        <family val="2"/>
      </rPr>
      <t>base</t>
    </r>
  </si>
  <si>
    <t>Constant Speed</t>
  </si>
  <si>
    <t>ESCC, 1800 RPM</t>
  </si>
  <si>
    <t>ESCC, 3600 RPM</t>
  </si>
  <si>
    <t>ESFM, 1800 RPM</t>
  </si>
  <si>
    <t>ESFM, 3600 RPM</t>
  </si>
  <si>
    <t>IL</t>
  </si>
  <si>
    <t>RSV</t>
  </si>
  <si>
    <t>ST</t>
  </si>
  <si>
    <t>Measure Type</t>
  </si>
  <si>
    <t>Measure Code</t>
  </si>
  <si>
    <t>Quantity</t>
  </si>
  <si>
    <t xml:space="preserve">Per Unit Incentive </t>
  </si>
  <si>
    <t>Non PPL Incentive Amount Received</t>
  </si>
  <si>
    <t>Total PPL Incentive</t>
  </si>
  <si>
    <t>Model #</t>
  </si>
  <si>
    <t>Nozzle Size</t>
  </si>
  <si>
    <t>Compressor Control Type</t>
  </si>
  <si>
    <t>Motor Rated Horsepower (HP)</t>
  </si>
  <si>
    <t>ηmotor</t>
  </si>
  <si>
    <t>Annual Run Hours of Motor (RHRS)</t>
  </si>
  <si>
    <t xml:space="preserve"> PSIG - Orifice Diameter</t>
  </si>
  <si>
    <t>HVAC Fan/Pump Control Type</t>
  </si>
  <si>
    <t>Total kW Savings</t>
  </si>
  <si>
    <t>Total kWh savings</t>
  </si>
  <si>
    <t>Facility schedule</t>
  </si>
  <si>
    <t>Pressure</t>
  </si>
  <si>
    <t>Space Type</t>
  </si>
  <si>
    <t>Baseline Watts</t>
  </si>
  <si>
    <t>Energy Efficient Watts</t>
  </si>
  <si>
    <t>Original Author:</t>
  </si>
  <si>
    <t>Tom Cosgro</t>
  </si>
  <si>
    <t>QA/QC Engineer(s):</t>
  </si>
  <si>
    <t>Primary Developer:</t>
  </si>
  <si>
    <t>Jeremy Selwyn</t>
  </si>
  <si>
    <t>Senior Engineer Approval:</t>
  </si>
  <si>
    <t>Current Version:</t>
  </si>
  <si>
    <t>Date Updated:</t>
  </si>
  <si>
    <t>Reason for Change</t>
  </si>
  <si>
    <t>Change Description</t>
  </si>
  <si>
    <t>Contact, Department</t>
  </si>
  <si>
    <t>Document created</t>
  </si>
  <si>
    <t>Adapted the TRM Motor &amp; Drives tool for use in the PPL Program</t>
  </si>
  <si>
    <t>Jeremy Selwyn, Engineering</t>
  </si>
  <si>
    <t>Unprotect input fields</t>
  </si>
  <si>
    <t>ECM Circ Fan and VSD Kitchen have protected user inputs</t>
  </si>
  <si>
    <t>Jeannie Sikora, Engineering</t>
  </si>
  <si>
    <t>TRM Errata</t>
  </si>
  <si>
    <t>Correction to Energy Interactive Factor within kWh equation, Change to HP option set and wattage lookup values</t>
  </si>
  <si>
    <t>Mary Clayton, Core Engineering</t>
  </si>
  <si>
    <t>Update format</t>
  </si>
  <si>
    <t>Update format of calculator to match other PPL Calculator</t>
  </si>
  <si>
    <t>Ryan Novosedliak, Engineering</t>
  </si>
  <si>
    <t>PPl branding</t>
  </si>
  <si>
    <t>Phase IV Update</t>
  </si>
  <si>
    <t>Update to 2021 TRM for Phase IV</t>
  </si>
  <si>
    <t>Michael Stevenson</t>
  </si>
  <si>
    <t>Incentives</t>
  </si>
  <si>
    <t>2022 incentive update</t>
  </si>
  <si>
    <t>Tom Cosgro, Engineering</t>
  </si>
  <si>
    <t>Bug fix</t>
  </si>
  <si>
    <t>Fixed dropdowns and formulas on VFDs tab</t>
  </si>
  <si>
    <t>Conor McGrail, Engineering</t>
  </si>
  <si>
    <t>Adjusted Fan/Pump Power Part Load Ratio tables to show full value without rounding to match EEMIS/Appendix D</t>
  </si>
  <si>
    <t>Update to PY15 Incentive rate</t>
  </si>
  <si>
    <t xml:space="preserve">Adjusted PY15 incentive rate from .075 cents and $215 to $0.05 per kWh and $0 for kW. </t>
  </si>
  <si>
    <t>Garrett Broussard, Engineering</t>
  </si>
  <si>
    <t>4.4.1</t>
  </si>
  <si>
    <t>Update for PY15 and QC</t>
  </si>
  <si>
    <t>Updated calculation issues on Premium Eff Motor, VFDs, and High Efficiency Pumps tabs. Corrected formulas in dropdowns</t>
  </si>
  <si>
    <t>Avery Taylor, Engineering</t>
  </si>
  <si>
    <t>Zip code lookup</t>
  </si>
  <si>
    <t>Added zip code lookup to Project Summary tab, changed all mentions of Williamsburg to Williamsport</t>
  </si>
  <si>
    <t>Savings was not calculating on VFD tab due to drop down issues. Updated dropdowns.</t>
  </si>
  <si>
    <t>Meredith Dunn, Engineering</t>
  </si>
  <si>
    <t>EFLH for Supply fans</t>
  </si>
  <si>
    <t>Adding uniques building type selction for supply fans based on TRM</t>
  </si>
  <si>
    <t>Nick Momenee, Engineering</t>
  </si>
  <si>
    <t>Removed Const Vol / Bug Fix</t>
  </si>
  <si>
    <t>Removed constant volume control type in VFDs tab.                   Adjusted building type options for Premium Eff Motor.</t>
  </si>
  <si>
    <t>Younes Ben, Engineering</t>
  </si>
  <si>
    <t>LCI Bonus Incentive</t>
  </si>
  <si>
    <t xml:space="preserve"> Added rate code selection on summary tab and corresponding PY16 LCI incentive rates of $0.10/kWh for prescriptive. SCI Customers get regular incentive rates.</t>
  </si>
  <si>
    <t>Zipcode Lookup Rename</t>
  </si>
  <si>
    <t>Binghamton, NY zipcode lookup renamed to Binghamton to match EFLH tables</t>
  </si>
  <si>
    <t>Incentive Update</t>
  </si>
  <si>
    <t>Updated incentives for small business class as $0.10/kWh.</t>
  </si>
  <si>
    <t>Nick Momenee /Wafa, Engineering</t>
  </si>
  <si>
    <t>Experimental</t>
  </si>
  <si>
    <t>Phase V Update</t>
  </si>
  <si>
    <t>Updated to phase 5 TRM / Incentive rate</t>
  </si>
  <si>
    <t>Michael Farber</t>
  </si>
  <si>
    <t>Facility Type</t>
  </si>
  <si>
    <t>CF</t>
  </si>
  <si>
    <t>Education – College / University</t>
  </si>
  <si>
    <t>Total Winter kW Savings</t>
  </si>
  <si>
    <t>Total Summer kW Savings</t>
  </si>
  <si>
    <t>kW Savings</t>
  </si>
  <si>
    <t>Description_Product_Style__c</t>
  </si>
  <si>
    <t>Quantity__c</t>
  </si>
  <si>
    <t>Total_Incentive_New__c</t>
  </si>
  <si>
    <t>Make__c</t>
  </si>
  <si>
    <t>Model__c</t>
  </si>
  <si>
    <t>Compressor_Control_Type__c</t>
  </si>
  <si>
    <t>Efficient_Motor_Horsepower_hp_number__c</t>
  </si>
  <si>
    <t>Motor_Type__c</t>
  </si>
  <si>
    <t>Efficient_Motor_Efficiency__c</t>
  </si>
  <si>
    <t>Average_Annual_Hours_of_Use__c</t>
  </si>
  <si>
    <t>HVAC_Fan_Pump_Control_Type__c</t>
  </si>
  <si>
    <t>Summer_Coincident_Peak_Demand_Savings_kW__c</t>
  </si>
  <si>
    <t>Annual_Electric_Energy_Savings_kwh__c</t>
  </si>
  <si>
    <t>Building_Type__c</t>
  </si>
  <si>
    <t>Baseline_Wattage__c</t>
  </si>
  <si>
    <t>Efficient_Wattage__c</t>
  </si>
  <si>
    <t>Incentive_Amount_Custom__c</t>
  </si>
  <si>
    <t>Date Installed</t>
  </si>
  <si>
    <t>Date_Installed__c</t>
  </si>
  <si>
    <t>Child___WC_Peak_Demand_Savings_kW__c</t>
  </si>
  <si>
    <t>Average_Demand_Savings_kW__c</t>
  </si>
  <si>
    <t>Incentive_Unit__c</t>
  </si>
  <si>
    <t>Child___ETDF_Summer__c</t>
  </si>
  <si>
    <t>Child___ETDF_Winter__c</t>
  </si>
  <si>
    <t>ETDFsummer</t>
  </si>
  <si>
    <t>ETDFwinter</t>
  </si>
  <si>
    <t>Housing_Type__c</t>
  </si>
  <si>
    <t>Housing Type</t>
  </si>
  <si>
    <t>Baseline_Motor_Load_Factor__c</t>
  </si>
  <si>
    <t>Type__c</t>
  </si>
  <si>
    <t>Equipment_Type__c</t>
  </si>
  <si>
    <t>Installation_Type__c</t>
  </si>
  <si>
    <t>Installation Type</t>
  </si>
  <si>
    <t>The workbook is currenlty configured for:</t>
  </si>
  <si>
    <t>PECO</t>
  </si>
  <si>
    <t>Incentive Manager</t>
  </si>
  <si>
    <t>Workbook Headers (Named Range 'Logo')</t>
  </si>
  <si>
    <t>Report Logos (Named Range 'Report Logo')</t>
  </si>
  <si>
    <t>Utility</t>
  </si>
  <si>
    <t>$/kWh</t>
  </si>
  <si>
    <t>$/kW</t>
  </si>
  <si>
    <t>PPL Logo</t>
  </si>
  <si>
    <t>PPL</t>
  </si>
  <si>
    <t>FirstEnergy</t>
  </si>
  <si>
    <t>PECO Logo</t>
  </si>
  <si>
    <t>First Energy Logo</t>
  </si>
  <si>
    <t>Dan Augustine</t>
  </si>
  <si>
    <t>Phase V Update, Bug Fix</t>
  </si>
  <si>
    <t>Updated error in VSD Kitchen Fan which was dividing the Unit ID by 2 for the Horsepower field. Added IFERROR to High Efficiency Pumps / ECM Fan kW savings</t>
  </si>
  <si>
    <t>In VFD's this is the type of control on the fan/pump. If yours is not listed, or you are unsure of which type you have, contact the Program team.</t>
  </si>
  <si>
    <t>The building type for the project. If your building type is not listed, please contact the Program.</t>
  </si>
  <si>
    <t>The function of the motor. This is a dropdown list. If your motor function is not listed, please contact the Program.</t>
  </si>
  <si>
    <r>
      <t>kWh</t>
    </r>
    <r>
      <rPr>
        <b/>
        <vertAlign val="subscript"/>
        <sz val="11"/>
        <color theme="0"/>
        <rFont val="Arial"/>
        <family val="2"/>
        <scheme val="minor"/>
      </rPr>
      <t>base</t>
    </r>
  </si>
  <si>
    <r>
      <t>kWh</t>
    </r>
    <r>
      <rPr>
        <b/>
        <vertAlign val="subscript"/>
        <sz val="11"/>
        <color theme="0"/>
        <rFont val="Arial"/>
        <family val="2"/>
        <scheme val="minor"/>
      </rPr>
      <t>ee</t>
    </r>
  </si>
  <si>
    <r>
      <t>PLR</t>
    </r>
    <r>
      <rPr>
        <b/>
        <vertAlign val="subscript"/>
        <sz val="11"/>
        <color theme="0"/>
        <rFont val="Arial"/>
        <family val="2"/>
        <scheme val="minor"/>
      </rPr>
      <t>summer peak, base</t>
    </r>
  </si>
  <si>
    <r>
      <t>PLR</t>
    </r>
    <r>
      <rPr>
        <b/>
        <vertAlign val="subscript"/>
        <sz val="11"/>
        <color theme="0"/>
        <rFont val="Arial"/>
        <family val="2"/>
        <scheme val="minor"/>
      </rPr>
      <t>summer peak, ee</t>
    </r>
  </si>
  <si>
    <r>
      <t>PLR</t>
    </r>
    <r>
      <rPr>
        <b/>
        <vertAlign val="subscript"/>
        <sz val="11"/>
        <color theme="0"/>
        <rFont val="Arial"/>
        <family val="2"/>
        <scheme val="minor"/>
      </rPr>
      <t>winter peak, base</t>
    </r>
  </si>
  <si>
    <r>
      <t>PLR</t>
    </r>
    <r>
      <rPr>
        <b/>
        <vertAlign val="subscript"/>
        <sz val="11"/>
        <color theme="0"/>
        <rFont val="Arial"/>
        <family val="2"/>
        <scheme val="minor"/>
      </rPr>
      <t>winter peak, ee</t>
    </r>
  </si>
  <si>
    <t>PPL Electric</t>
  </si>
  <si>
    <t>FirstEnergy Pennsylvania</t>
  </si>
  <si>
    <t>This estimator is used for estimating savings and does not guarantee the estimated incentive. The methodology presented in this estimator is deemed acceptable for the PPL Electric Business Energy Efficiency Program. However, the assumptions used by the applicant to esimate the annual savings will be reviewed by the Program Team, which is solely responsible for the final determination of the annual energy savings to be used in estimating the incentive amount. The Program also reserves the right to require the applicant to conduct specific measurement and verification activities, including monitoring both before and after the retrofit, and to base the incentive payment on the results of these activities. For any questions, or assistance using this estimator, please call 899-432-5501 or email us at pplbusiness@clearesult.com.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</si>
</sst>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7" formatCode="&quot;$&quot;#,##0.00_);\(&quot;$&quot;#,##0.00\)"/>
    <numFmt numFmtId="44" formatCode="_(&quot;$&quot;* #,##0.00_);_(&quot;$&quot;* \(#,##0.00\);_(&quot;$&quot;* &quot;-&quot;??_);_(@_)"/>
    <numFmt numFmtId="43" formatCode="_(* #,##0.00_);_(* \(#,##0.00\);_(* &quot;-&quot;??_);_(@_)"/>
    <numFmt numFmtId="164" formatCode="_(* #,##0_);_(* \(#,##0\);_(* &quot;-&quot;??_);_(@_)"/>
    <numFmt numFmtId="165" formatCode="0.0"/>
    <numFmt numFmtId="166" formatCode="&quot;$&quot;#,##0.00"/>
    <numFmt numFmtId="167" formatCode="0.000"/>
    <numFmt numFmtId="168" formatCode="&quot;$&quot;#,##0.000"/>
    <numFmt numFmtId="169" formatCode="0.0%"/>
    <numFmt numFmtId="170" formatCode="0.0000000"/>
    <numFmt numFmtId="171" formatCode="#,##0.0000000"/>
    <numFmt numFmtId="172" formatCode="0.00000"/>
    <numFmt numFmtId="173" formatCode="0.0000"/>
    <numFmt numFmtId="174" formatCode="0.000000"/>
    <numFmt numFmtId="175" formatCode="0.000000000"/>
  </numFmts>
  <fonts count="75" x14ac:knownFonts="1">
    <font>
      <sz val="11"/>
      <color theme="1"/>
      <name val="Arial"/>
      <family val="2"/>
      <scheme val="minor"/>
    </font>
    <font>
      <sz val="11"/>
      <color theme="1"/>
      <name val="Arial"/>
      <family val="2"/>
      <scheme val="minor"/>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b/>
      <sz val="11"/>
      <color theme="1"/>
      <name val="Arial"/>
      <family val="2"/>
      <scheme val="minor"/>
    </font>
    <font>
      <sz val="11"/>
      <color theme="0"/>
      <name val="Arial"/>
      <family val="2"/>
      <scheme val="minor"/>
    </font>
    <font>
      <sz val="14"/>
      <color theme="5"/>
      <name val="Arial"/>
      <family val="2"/>
      <scheme val="minor"/>
    </font>
    <font>
      <b/>
      <u/>
      <sz val="27"/>
      <color theme="4" tint="-0.249977111117893"/>
      <name val="Arial"/>
      <family val="2"/>
      <scheme val="minor"/>
    </font>
    <font>
      <sz val="10"/>
      <name val="Arial"/>
      <family val="2"/>
    </font>
    <font>
      <sz val="10"/>
      <name val="Arial"/>
      <family val="2"/>
    </font>
    <font>
      <sz val="11"/>
      <name val="Arial"/>
      <family val="2"/>
    </font>
    <font>
      <b/>
      <sz val="11"/>
      <color indexed="13"/>
      <name val="Arial"/>
      <family val="2"/>
    </font>
    <font>
      <b/>
      <sz val="11"/>
      <color rgb="FF0070C0"/>
      <name val="Arial"/>
      <family val="2"/>
    </font>
    <font>
      <sz val="10"/>
      <color theme="6" tint="-0.249977111117893"/>
      <name val="Arial"/>
      <family val="2"/>
    </font>
    <font>
      <u/>
      <sz val="16"/>
      <color theme="5"/>
      <name val="Arial"/>
      <family val="2"/>
    </font>
    <font>
      <b/>
      <sz val="11"/>
      <color theme="6"/>
      <name val="Arial"/>
      <family val="2"/>
    </font>
    <font>
      <b/>
      <u/>
      <sz val="27"/>
      <color theme="5"/>
      <name val="Arial"/>
      <family val="2"/>
      <scheme val="minor"/>
    </font>
    <font>
      <sz val="11"/>
      <color theme="5"/>
      <name val="Arial"/>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color theme="1"/>
      <name val="Arial"/>
      <family val="2"/>
      <scheme val="minor"/>
    </font>
    <font>
      <sz val="9"/>
      <color theme="1"/>
      <name val="Arial"/>
      <family val="2"/>
      <scheme val="minor"/>
    </font>
    <font>
      <sz val="11"/>
      <color theme="1"/>
      <name val="Arial"/>
      <family val="2"/>
    </font>
    <font>
      <b/>
      <sz val="11"/>
      <color theme="5"/>
      <name val="Arial"/>
      <family val="2"/>
      <scheme val="minor"/>
    </font>
    <font>
      <sz val="11"/>
      <name val="Arial"/>
      <family val="2"/>
      <scheme val="minor"/>
    </font>
    <font>
      <b/>
      <sz val="14"/>
      <color theme="5"/>
      <name val="Arial"/>
      <family val="2"/>
      <scheme val="minor"/>
    </font>
    <font>
      <b/>
      <sz val="14"/>
      <color theme="5"/>
      <name val="Calibri"/>
      <family val="2"/>
    </font>
    <font>
      <b/>
      <sz val="27"/>
      <color theme="4" tint="-0.249977111117893"/>
      <name val="Arial"/>
      <family val="2"/>
      <scheme val="minor"/>
    </font>
    <font>
      <sz val="18"/>
      <color theme="5"/>
      <name val="Arial"/>
      <family val="2"/>
      <scheme val="minor"/>
    </font>
    <font>
      <sz val="16"/>
      <color theme="5"/>
      <name val="Arial"/>
      <family val="2"/>
    </font>
    <font>
      <b/>
      <sz val="18"/>
      <color theme="5"/>
      <name val="Arial"/>
      <family val="2"/>
      <scheme val="minor"/>
    </font>
    <font>
      <sz val="9"/>
      <color theme="1"/>
      <name val="Arial"/>
      <family val="2"/>
    </font>
    <font>
      <b/>
      <sz val="9"/>
      <color theme="1"/>
      <name val="Arial"/>
      <family val="2"/>
    </font>
    <font>
      <b/>
      <sz val="9"/>
      <color rgb="FF000000"/>
      <name val="Arial"/>
      <family val="2"/>
    </font>
    <font>
      <sz val="9"/>
      <color rgb="FF000000"/>
      <name val="Arial"/>
      <family val="2"/>
    </font>
    <font>
      <sz val="8.5"/>
      <color rgb="FF000000"/>
      <name val="Arial"/>
      <family val="2"/>
    </font>
    <font>
      <b/>
      <vertAlign val="subscript"/>
      <sz val="9"/>
      <color rgb="FF000000"/>
      <name val="Arial"/>
      <family val="2"/>
    </font>
    <font>
      <b/>
      <sz val="14"/>
      <color theme="1"/>
      <name val="Arial"/>
      <family val="2"/>
      <scheme val="minor"/>
    </font>
    <font>
      <sz val="12"/>
      <color theme="1"/>
      <name val="Arial"/>
      <family val="2"/>
      <scheme val="minor"/>
    </font>
    <font>
      <b/>
      <sz val="12"/>
      <color theme="1"/>
      <name val="Arial"/>
      <family val="2"/>
      <scheme val="minor"/>
    </font>
    <font>
      <sz val="11"/>
      <color rgb="FF000000"/>
      <name val="Aptos Narrow"/>
      <family val="2"/>
    </font>
    <font>
      <sz val="16"/>
      <color theme="5"/>
      <name val="Arial"/>
      <family val="2"/>
      <scheme val="minor"/>
    </font>
    <font>
      <sz val="8"/>
      <name val="Arial"/>
      <family val="2"/>
      <scheme val="minor"/>
    </font>
    <font>
      <b/>
      <vertAlign val="subscript"/>
      <sz val="11"/>
      <color theme="5"/>
      <name val="Arial"/>
      <family val="2"/>
      <scheme val="minor"/>
    </font>
    <font>
      <b/>
      <vertAlign val="subscript"/>
      <sz val="11"/>
      <color theme="0"/>
      <name val="Arial"/>
      <family val="2"/>
      <scheme val="minor"/>
    </font>
    <font>
      <b/>
      <sz val="14"/>
      <color theme="0"/>
      <name val="Arial"/>
      <family val="2"/>
      <scheme val="minor"/>
    </font>
    <font>
      <b/>
      <sz val="18"/>
      <color rgb="FF001489"/>
      <name val="Arial"/>
      <family val="2"/>
      <scheme val="minor"/>
    </font>
    <font>
      <sz val="11"/>
      <color rgb="FF001489"/>
      <name val="Arial"/>
      <family val="2"/>
      <scheme val="minor"/>
    </font>
  </fonts>
  <fills count="7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7" tint="0.59999389629810485"/>
        <bgColor indexed="64"/>
      </patternFill>
    </fill>
    <fill>
      <patternFill patternType="solid">
        <fgColor rgb="FFBFBFBF"/>
        <bgColor indexed="64"/>
      </patternFill>
    </fill>
    <fill>
      <patternFill patternType="solid">
        <fgColor rgb="FFD9D9D9"/>
        <bgColor indexed="64"/>
      </patternFill>
    </fill>
    <fill>
      <patternFill patternType="solid">
        <fgColor rgb="FF92D050"/>
        <bgColor indexed="64"/>
      </patternFill>
    </fill>
    <fill>
      <patternFill patternType="solid">
        <fgColor theme="0" tint="-0.249977111117893"/>
        <bgColor indexed="64"/>
      </patternFill>
    </fill>
    <fill>
      <patternFill patternType="solid">
        <fgColor theme="5" tint="0.89999084444715716"/>
        <bgColor indexed="64"/>
      </patternFill>
    </fill>
    <fill>
      <patternFill patternType="solid">
        <fgColor theme="0" tint="-4.9989318521683403E-2"/>
        <bgColor indexed="64"/>
      </patternFill>
    </fill>
    <fill>
      <patternFill patternType="solid">
        <fgColor rgb="FFD7F9FD"/>
        <bgColor indexed="64"/>
      </patternFill>
    </fill>
    <fill>
      <patternFill patternType="solid">
        <fgColor rgb="FF1E427C"/>
        <bgColor indexed="64"/>
      </patternFill>
    </fill>
    <fill>
      <patternFill patternType="solid">
        <fgColor rgb="FFFFF8CA"/>
        <bgColor indexed="64"/>
      </patternFill>
    </fill>
    <fill>
      <patternFill patternType="solid">
        <fgColor rgb="FFFFFFCC"/>
        <bgColor indexed="64"/>
      </patternFill>
    </fill>
    <fill>
      <patternFill patternType="solid">
        <fgColor rgb="FF001489"/>
        <bgColor indexed="64"/>
      </patternFill>
    </fill>
    <fill>
      <patternFill patternType="solid">
        <fgColor rgb="FF6E06C1"/>
        <bgColor indexed="64"/>
      </patternFill>
    </fill>
  </fills>
  <borders count="10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thin">
        <color indexed="64"/>
      </right>
      <top style="medium">
        <color indexed="64"/>
      </top>
      <bottom/>
      <diagonal/>
    </border>
    <border>
      <left style="medium">
        <color indexed="64"/>
      </left>
      <right style="medium">
        <color indexed="64"/>
      </right>
      <top/>
      <bottom/>
      <diagonal/>
    </border>
    <border>
      <left/>
      <right/>
      <top style="thin">
        <color indexed="64"/>
      </top>
      <bottom style="medium">
        <color indexed="64"/>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right style="medium">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s>
  <cellStyleXfs count="2000">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0" fontId="21" fillId="0" borderId="0"/>
    <xf numFmtId="0" fontId="21" fillId="0" borderId="0"/>
    <xf numFmtId="0" fontId="21" fillId="0" borderId="0"/>
    <xf numFmtId="0" fontId="1" fillId="0" borderId="0"/>
    <xf numFmtId="9" fontId="21" fillId="0" borderId="0" applyFont="0" applyFill="0" applyBorder="0" applyAlignment="0" applyProtection="0"/>
    <xf numFmtId="9" fontId="21" fillId="0" borderId="0" applyFont="0" applyFill="0" applyBorder="0" applyAlignment="0" applyProtection="0"/>
    <xf numFmtId="0" fontId="20" fillId="0" borderId="0"/>
    <xf numFmtId="0" fontId="30" fillId="37"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43" borderId="0" applyNumberFormat="0" applyBorder="0" applyAlignment="0" applyProtection="0"/>
    <xf numFmtId="0" fontId="30" fillId="44" borderId="0" applyNumberFormat="0" applyBorder="0" applyAlignment="0" applyProtection="0"/>
    <xf numFmtId="0" fontId="30" fillId="45" borderId="0" applyNumberFormat="0" applyBorder="0" applyAlignment="0" applyProtection="0"/>
    <xf numFmtId="0" fontId="30" fillId="40" borderId="0" applyNumberFormat="0" applyBorder="0" applyAlignment="0" applyProtection="0"/>
    <xf numFmtId="0" fontId="30" fillId="43" borderId="0" applyNumberFormat="0" applyBorder="0" applyAlignment="0" applyProtection="0"/>
    <xf numFmtId="0" fontId="30" fillId="46" borderId="0" applyNumberFormat="0" applyBorder="0" applyAlignment="0" applyProtection="0"/>
    <xf numFmtId="0" fontId="31" fillId="47"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8"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1" fillId="52" borderId="0" applyNumberFormat="0" applyBorder="0" applyAlignment="0" applyProtection="0"/>
    <xf numFmtId="0" fontId="31" fillId="53" borderId="0" applyNumberFormat="0" applyBorder="0" applyAlignment="0" applyProtection="0"/>
    <xf numFmtId="0" fontId="31" fillId="48" borderId="0" applyNumberFormat="0" applyBorder="0" applyAlignment="0" applyProtection="0"/>
    <xf numFmtId="0" fontId="31" fillId="49" borderId="0" applyNumberFormat="0" applyBorder="0" applyAlignment="0" applyProtection="0"/>
    <xf numFmtId="0" fontId="31" fillId="54" borderId="0" applyNumberFormat="0" applyBorder="0" applyAlignment="0" applyProtection="0"/>
    <xf numFmtId="0" fontId="32" fillId="38" borderId="0" applyNumberFormat="0" applyBorder="0" applyAlignment="0" applyProtection="0"/>
    <xf numFmtId="0" fontId="33" fillId="55" borderId="23" applyNumberFormat="0" applyAlignment="0" applyProtection="0"/>
    <xf numFmtId="0" fontId="34" fillId="56" borderId="24" applyNumberFormat="0" applyAlignment="0" applyProtection="0"/>
    <xf numFmtId="44" fontId="20" fillId="0" borderId="0" applyFont="0" applyFill="0" applyBorder="0" applyAlignment="0" applyProtection="0"/>
    <xf numFmtId="44" fontId="30" fillId="0" borderId="0" applyFont="0" applyFill="0" applyBorder="0" applyAlignment="0" applyProtection="0"/>
    <xf numFmtId="0" fontId="35" fillId="0" borderId="0" applyNumberFormat="0" applyFill="0" applyBorder="0" applyAlignment="0" applyProtection="0"/>
    <xf numFmtId="0" fontId="36" fillId="39" borderId="0" applyNumberFormat="0" applyBorder="0" applyAlignment="0" applyProtection="0"/>
    <xf numFmtId="0" fontId="37" fillId="0" borderId="25" applyNumberFormat="0" applyFill="0" applyAlignment="0" applyProtection="0"/>
    <xf numFmtId="0" fontId="38" fillId="0" borderId="26" applyNumberFormat="0" applyFill="0" applyAlignment="0" applyProtection="0"/>
    <xf numFmtId="0" fontId="39" fillId="0" borderId="27" applyNumberFormat="0" applyFill="0" applyAlignment="0" applyProtection="0"/>
    <xf numFmtId="0" fontId="39" fillId="0" borderId="0" applyNumberFormat="0" applyFill="0" applyBorder="0" applyAlignment="0" applyProtection="0"/>
    <xf numFmtId="0" fontId="40" fillId="42" borderId="23" applyNumberFormat="0" applyAlignment="0" applyProtection="0"/>
    <xf numFmtId="0" fontId="41" fillId="0" borderId="28" applyNumberFormat="0" applyFill="0" applyAlignment="0" applyProtection="0"/>
    <xf numFmtId="0" fontId="42" fillId="57"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58" borderId="29" applyNumberFormat="0" applyFont="0" applyAlignment="0" applyProtection="0"/>
    <xf numFmtId="0" fontId="43" fillId="55" borderId="30" applyNumberFormat="0" applyAlignment="0" applyProtection="0"/>
    <xf numFmtId="9" fontId="20" fillId="0" borderId="0" applyFont="0" applyFill="0" applyBorder="0" applyAlignment="0" applyProtection="0"/>
    <xf numFmtId="0" fontId="44" fillId="0" borderId="0" applyNumberFormat="0" applyFill="0" applyBorder="0" applyAlignment="0" applyProtection="0"/>
    <xf numFmtId="0" fontId="45" fillId="0" borderId="31" applyNumberFormat="0" applyFill="0" applyAlignment="0" applyProtection="0"/>
    <xf numFmtId="0" fontId="46" fillId="0" borderId="0" applyNumberFormat="0" applyFill="0" applyBorder="0" applyAlignment="0" applyProtection="0"/>
    <xf numFmtId="9" fontId="1" fillId="0" borderId="0" applyFont="0" applyFill="0" applyBorder="0" applyAlignment="0" applyProtection="0"/>
    <xf numFmtId="0" fontId="65" fillId="0" borderId="0"/>
  </cellStyleXfs>
  <cellXfs count="720">
    <xf numFmtId="0" fontId="0" fillId="0" borderId="0" xfId="0"/>
    <xf numFmtId="0" fontId="0" fillId="34" borderId="0" xfId="0" applyFill="1"/>
    <xf numFmtId="0" fontId="0" fillId="34" borderId="0" xfId="0" applyFill="1" applyAlignment="1">
      <alignment horizontal="center"/>
    </xf>
    <xf numFmtId="0" fontId="17" fillId="34" borderId="0" xfId="0" applyFont="1" applyFill="1"/>
    <xf numFmtId="0" fontId="18" fillId="34" borderId="0" xfId="0" applyFont="1" applyFill="1"/>
    <xf numFmtId="0" fontId="28" fillId="34" borderId="0" xfId="0" applyFont="1" applyFill="1"/>
    <xf numFmtId="0" fontId="13" fillId="34" borderId="0" xfId="0" applyFont="1" applyFill="1" applyAlignment="1">
      <alignment horizontal="center" wrapText="1"/>
    </xf>
    <xf numFmtId="0" fontId="0" fillId="34" borderId="0" xfId="0" applyFill="1" applyAlignment="1">
      <alignment vertical="top"/>
    </xf>
    <xf numFmtId="0" fontId="0" fillId="34" borderId="0" xfId="0" applyFill="1" applyAlignment="1">
      <alignment vertical="top" wrapText="1"/>
    </xf>
    <xf numFmtId="0" fontId="16" fillId="34" borderId="0" xfId="0" applyFont="1" applyFill="1" applyAlignment="1">
      <alignment vertical="top"/>
    </xf>
    <xf numFmtId="0" fontId="16" fillId="34" borderId="0" xfId="0" applyFont="1" applyFill="1"/>
    <xf numFmtId="2" fontId="0" fillId="35" borderId="10" xfId="0" applyNumberFormat="1" applyFill="1" applyBorder="1" applyAlignment="1">
      <alignment horizontal="left" vertical="center" indent="1"/>
    </xf>
    <xf numFmtId="0" fontId="16" fillId="34" borderId="32" xfId="0" applyFont="1" applyFill="1" applyBorder="1" applyAlignment="1">
      <alignment horizontal="center" vertical="center"/>
    </xf>
    <xf numFmtId="0" fontId="16" fillId="34" borderId="11" xfId="0" applyFont="1" applyFill="1" applyBorder="1" applyAlignment="1">
      <alignment horizontal="center" vertical="center"/>
    </xf>
    <xf numFmtId="0" fontId="16" fillId="34" borderId="11" xfId="0" applyFont="1" applyFill="1" applyBorder="1" applyAlignment="1">
      <alignment horizontal="center" vertical="center" wrapText="1"/>
    </xf>
    <xf numFmtId="0" fontId="16" fillId="34" borderId="33" xfId="0" applyFont="1" applyFill="1" applyBorder="1" applyAlignment="1">
      <alignment horizontal="center" vertical="center"/>
    </xf>
    <xf numFmtId="165" fontId="0" fillId="34" borderId="18" xfId="0" applyNumberFormat="1" applyFill="1" applyBorder="1" applyAlignment="1">
      <alignment horizontal="center" vertical="center"/>
    </xf>
    <xf numFmtId="14" fontId="0" fillId="34" borderId="10" xfId="0" applyNumberFormat="1" applyFill="1" applyBorder="1" applyAlignment="1">
      <alignment horizontal="left" vertical="center" indent="1"/>
    </xf>
    <xf numFmtId="0" fontId="0" fillId="34" borderId="10" xfId="0" applyFill="1" applyBorder="1" applyAlignment="1">
      <alignment horizontal="left" vertical="center" wrapText="1" indent="1"/>
    </xf>
    <xf numFmtId="0" fontId="0" fillId="34" borderId="16" xfId="0" applyFill="1" applyBorder="1" applyAlignment="1">
      <alignment horizontal="left" vertical="center" indent="1"/>
    </xf>
    <xf numFmtId="0" fontId="0" fillId="34" borderId="10" xfId="0" applyFill="1" applyBorder="1" applyAlignment="1">
      <alignment horizontal="left" vertical="center" indent="1"/>
    </xf>
    <xf numFmtId="0" fontId="16" fillId="34" borderId="0" xfId="0" applyFont="1" applyFill="1" applyAlignment="1">
      <alignment horizontal="left" vertical="top"/>
    </xf>
    <xf numFmtId="0" fontId="0" fillId="34" borderId="22" xfId="0" applyFill="1" applyBorder="1" applyAlignment="1">
      <alignment vertical="top"/>
    </xf>
    <xf numFmtId="0" fontId="16" fillId="34" borderId="0" xfId="0" applyFont="1" applyFill="1" applyAlignment="1">
      <alignment horizontal="left" vertical="top" indent="18"/>
    </xf>
    <xf numFmtId="0" fontId="0" fillId="34" borderId="34" xfId="0" applyFill="1" applyBorder="1" applyAlignment="1">
      <alignment vertical="top"/>
    </xf>
    <xf numFmtId="0" fontId="16" fillId="34" borderId="0" xfId="0" applyFont="1" applyFill="1" applyAlignment="1">
      <alignment horizontal="left" vertical="top" wrapText="1" indent="18"/>
    </xf>
    <xf numFmtId="0" fontId="0" fillId="34" borderId="0" xfId="0" applyFill="1" applyAlignment="1">
      <alignment horizontal="left" vertical="center" indent="1"/>
    </xf>
    <xf numFmtId="0" fontId="16" fillId="34" borderId="0" xfId="0" applyFont="1" applyFill="1" applyAlignment="1">
      <alignment horizontal="center" vertical="center" wrapText="1"/>
    </xf>
    <xf numFmtId="43" fontId="16" fillId="34" borderId="0" xfId="1" applyFont="1" applyFill="1" applyBorder="1" applyAlignment="1">
      <alignment horizontal="center" vertical="center" wrapText="1"/>
    </xf>
    <xf numFmtId="2" fontId="0" fillId="34" borderId="0" xfId="0" applyNumberFormat="1" applyFill="1" applyAlignment="1">
      <alignment horizontal="left" vertical="center" indent="1"/>
    </xf>
    <xf numFmtId="0" fontId="0" fillId="34" borderId="37" xfId="0" applyFill="1" applyBorder="1" applyAlignment="1">
      <alignment vertical="center"/>
    </xf>
    <xf numFmtId="0" fontId="0" fillId="34" borderId="37" xfId="0" applyFill="1" applyBorder="1"/>
    <xf numFmtId="0" fontId="18" fillId="36" borderId="35" xfId="0" applyFont="1" applyFill="1" applyBorder="1"/>
    <xf numFmtId="0" fontId="49" fillId="34" borderId="37" xfId="0" applyFont="1" applyFill="1" applyBorder="1" applyAlignment="1">
      <alignment vertical="center"/>
    </xf>
    <xf numFmtId="0" fontId="0" fillId="34" borderId="37" xfId="0" applyFill="1" applyBorder="1" applyAlignment="1">
      <alignment horizontal="left" vertical="center"/>
    </xf>
    <xf numFmtId="0" fontId="0" fillId="34" borderId="37" xfId="0" applyFill="1" applyBorder="1" applyAlignment="1">
      <alignment horizontal="left"/>
    </xf>
    <xf numFmtId="0" fontId="0" fillId="34" borderId="38" xfId="0" applyFill="1" applyBorder="1" applyAlignment="1">
      <alignment horizontal="left"/>
    </xf>
    <xf numFmtId="0" fontId="0" fillId="34" borderId="10" xfId="0" applyFill="1" applyBorder="1"/>
    <xf numFmtId="0" fontId="0" fillId="34" borderId="38" xfId="0" applyFill="1" applyBorder="1"/>
    <xf numFmtId="0" fontId="0" fillId="34" borderId="39" xfId="0" applyFill="1" applyBorder="1"/>
    <xf numFmtId="0" fontId="0" fillId="34" borderId="10" xfId="0" applyFill="1" applyBorder="1" applyAlignment="1">
      <alignment horizontal="left"/>
    </xf>
    <xf numFmtId="0" fontId="0" fillId="34" borderId="39" xfId="0" applyFill="1" applyBorder="1" applyAlignment="1">
      <alignment horizontal="left"/>
    </xf>
    <xf numFmtId="0" fontId="18" fillId="36" borderId="35" xfId="0" applyFont="1" applyFill="1" applyBorder="1" applyAlignment="1">
      <alignment horizontal="left"/>
    </xf>
    <xf numFmtId="0" fontId="0" fillId="34" borderId="0" xfId="0" applyFill="1" applyAlignment="1">
      <alignment horizontal="left"/>
    </xf>
    <xf numFmtId="10" fontId="0" fillId="34" borderId="10" xfId="1998" applyNumberFormat="1" applyFont="1" applyFill="1" applyBorder="1" applyAlignment="1">
      <alignment horizontal="left" vertical="center"/>
    </xf>
    <xf numFmtId="10" fontId="0" fillId="34" borderId="10" xfId="1998" applyNumberFormat="1" applyFont="1" applyFill="1" applyBorder="1" applyAlignment="1">
      <alignment horizontal="left"/>
    </xf>
    <xf numFmtId="0" fontId="0" fillId="35" borderId="10" xfId="0" applyFill="1" applyBorder="1"/>
    <xf numFmtId="0" fontId="0" fillId="35" borderId="15" xfId="0" applyFill="1" applyBorder="1" applyAlignment="1">
      <alignment horizontal="left" vertical="center"/>
    </xf>
    <xf numFmtId="0" fontId="0" fillId="35" borderId="17" xfId="0" applyFill="1" applyBorder="1"/>
    <xf numFmtId="0" fontId="0" fillId="35" borderId="15" xfId="0" applyFill="1" applyBorder="1" applyAlignment="1">
      <alignment horizontal="left"/>
    </xf>
    <xf numFmtId="0" fontId="29" fillId="35" borderId="15" xfId="0" applyFont="1" applyFill="1" applyBorder="1" applyAlignment="1">
      <alignment horizontal="left"/>
    </xf>
    <xf numFmtId="0" fontId="0" fillId="35" borderId="15" xfId="0" applyFill="1" applyBorder="1" applyAlignment="1">
      <alignment horizontal="left" vertical="center" wrapText="1"/>
    </xf>
    <xf numFmtId="0" fontId="0" fillId="35" borderId="19" xfId="0" applyFill="1" applyBorder="1" applyAlignment="1">
      <alignment horizontal="left" vertical="center"/>
    </xf>
    <xf numFmtId="2" fontId="0" fillId="35" borderId="20" xfId="0" applyNumberFormat="1" applyFill="1" applyBorder="1" applyAlignment="1">
      <alignment horizontal="left" vertical="center" indent="1"/>
    </xf>
    <xf numFmtId="0" fontId="0" fillId="35" borderId="20" xfId="0" applyFill="1" applyBorder="1"/>
    <xf numFmtId="0" fontId="0" fillId="35" borderId="21" xfId="0" applyFill="1" applyBorder="1"/>
    <xf numFmtId="0" fontId="0" fillId="35" borderId="43" xfId="0" applyFill="1" applyBorder="1" applyAlignment="1">
      <alignment horizontal="left" vertical="center"/>
    </xf>
    <xf numFmtId="2" fontId="0" fillId="35" borderId="11" xfId="0" applyNumberFormat="1" applyFill="1" applyBorder="1" applyAlignment="1">
      <alignment horizontal="left" vertical="center" indent="1"/>
    </xf>
    <xf numFmtId="0" fontId="0" fillId="35" borderId="11" xfId="0" applyFill="1" applyBorder="1"/>
    <xf numFmtId="0" fontId="0" fillId="35" borderId="44" xfId="0" applyFill="1" applyBorder="1"/>
    <xf numFmtId="0" fontId="29" fillId="36" borderId="45" xfId="0" applyFont="1" applyFill="1" applyBorder="1" applyAlignment="1">
      <alignment vertical="center"/>
    </xf>
    <xf numFmtId="2" fontId="29" fillId="36" borderId="46" xfId="0" applyNumberFormat="1" applyFont="1" applyFill="1" applyBorder="1" applyAlignment="1">
      <alignment horizontal="left" vertical="center" indent="1"/>
    </xf>
    <xf numFmtId="0" fontId="29" fillId="36" borderId="46" xfId="0" applyFont="1" applyFill="1" applyBorder="1"/>
    <xf numFmtId="0" fontId="29" fillId="36" borderId="46" xfId="0" applyFont="1" applyFill="1" applyBorder="1" applyAlignment="1">
      <alignment horizontal="left" vertical="center" indent="1"/>
    </xf>
    <xf numFmtId="0" fontId="29" fillId="36" borderId="47" xfId="0" applyFont="1" applyFill="1" applyBorder="1"/>
    <xf numFmtId="0" fontId="29" fillId="36" borderId="12" xfId="0" applyFont="1" applyFill="1" applyBorder="1" applyAlignment="1">
      <alignment horizontal="left" vertical="center" indent="1"/>
    </xf>
    <xf numFmtId="2" fontId="29" fillId="36" borderId="13" xfId="0" applyNumberFormat="1" applyFont="1" applyFill="1" applyBorder="1" applyAlignment="1">
      <alignment horizontal="left" vertical="center" indent="1"/>
    </xf>
    <xf numFmtId="2" fontId="29" fillId="36" borderId="14" xfId="0" applyNumberFormat="1" applyFont="1" applyFill="1" applyBorder="1" applyAlignment="1">
      <alignment horizontal="left" vertical="center" indent="1"/>
    </xf>
    <xf numFmtId="0" fontId="29" fillId="36" borderId="19" xfId="0" applyFont="1" applyFill="1" applyBorder="1" applyAlignment="1">
      <alignment horizontal="left" vertical="center" indent="1"/>
    </xf>
    <xf numFmtId="2" fontId="29" fillId="36" borderId="20" xfId="0" applyNumberFormat="1" applyFont="1" applyFill="1" applyBorder="1" applyAlignment="1">
      <alignment horizontal="left" vertical="center" indent="1"/>
    </xf>
    <xf numFmtId="2" fontId="29" fillId="36" borderId="21" xfId="0" applyNumberFormat="1" applyFont="1" applyFill="1" applyBorder="1" applyAlignment="1">
      <alignment horizontal="left" vertical="center" indent="1"/>
    </xf>
    <xf numFmtId="0" fontId="0" fillId="34" borderId="11" xfId="0" applyFill="1" applyBorder="1" applyAlignment="1">
      <alignment horizontal="left"/>
    </xf>
    <xf numFmtId="0" fontId="29" fillId="36" borderId="12" xfId="0" applyFont="1" applyFill="1" applyBorder="1"/>
    <xf numFmtId="0" fontId="29" fillId="36" borderId="13" xfId="0" applyFont="1" applyFill="1" applyBorder="1"/>
    <xf numFmtId="0" fontId="29" fillId="36" borderId="14" xfId="0" applyFont="1" applyFill="1" applyBorder="1"/>
    <xf numFmtId="0" fontId="29" fillId="36" borderId="19" xfId="0" applyFont="1" applyFill="1" applyBorder="1"/>
    <xf numFmtId="0" fontId="29" fillId="36" borderId="20" xfId="0" applyFont="1" applyFill="1" applyBorder="1"/>
    <xf numFmtId="0" fontId="29" fillId="36" borderId="21" xfId="0" applyFont="1" applyFill="1" applyBorder="1"/>
    <xf numFmtId="0" fontId="0" fillId="34" borderId="12" xfId="0" applyFill="1" applyBorder="1" applyAlignment="1">
      <alignment horizontal="left" vertical="center"/>
    </xf>
    <xf numFmtId="10" fontId="0" fillId="34" borderId="13" xfId="1998" applyNumberFormat="1" applyFont="1" applyFill="1" applyBorder="1" applyAlignment="1">
      <alignment horizontal="left" vertical="center"/>
    </xf>
    <xf numFmtId="10" fontId="0" fillId="34" borderId="14" xfId="1998" applyNumberFormat="1" applyFont="1" applyFill="1" applyBorder="1" applyAlignment="1">
      <alignment horizontal="left" vertical="center"/>
    </xf>
    <xf numFmtId="0" fontId="0" fillId="34" borderId="15" xfId="0" applyFill="1" applyBorder="1" applyAlignment="1">
      <alignment horizontal="left" vertical="center"/>
    </xf>
    <xf numFmtId="10" fontId="0" fillId="34" borderId="17" xfId="1998" applyNumberFormat="1" applyFont="1" applyFill="1" applyBorder="1" applyAlignment="1">
      <alignment horizontal="left" vertical="center"/>
    </xf>
    <xf numFmtId="0" fontId="0" fillId="34" borderId="15" xfId="0" applyFill="1" applyBorder="1" applyAlignment="1">
      <alignment horizontal="left"/>
    </xf>
    <xf numFmtId="10" fontId="0" fillId="34" borderId="17" xfId="1998" applyNumberFormat="1" applyFont="1" applyFill="1" applyBorder="1" applyAlignment="1">
      <alignment horizontal="left"/>
    </xf>
    <xf numFmtId="0" fontId="0" fillId="34" borderId="19" xfId="0" applyFill="1" applyBorder="1" applyAlignment="1">
      <alignment horizontal="left"/>
    </xf>
    <xf numFmtId="10" fontId="0" fillId="34" borderId="20" xfId="1998" applyNumberFormat="1" applyFont="1" applyFill="1" applyBorder="1" applyAlignment="1">
      <alignment horizontal="left"/>
    </xf>
    <xf numFmtId="10" fontId="0" fillId="34" borderId="21" xfId="1998" applyNumberFormat="1" applyFont="1" applyFill="1" applyBorder="1" applyAlignment="1">
      <alignment horizontal="left"/>
    </xf>
    <xf numFmtId="0" fontId="0" fillId="34" borderId="12" xfId="0" applyFill="1" applyBorder="1" applyAlignment="1">
      <alignment horizontal="left"/>
    </xf>
    <xf numFmtId="0" fontId="0" fillId="34" borderId="13" xfId="0" applyFill="1" applyBorder="1" applyAlignment="1">
      <alignment horizontal="left"/>
    </xf>
    <xf numFmtId="0" fontId="0" fillId="34" borderId="13" xfId="0" applyFill="1" applyBorder="1"/>
    <xf numFmtId="0" fontId="0" fillId="34" borderId="14" xfId="0" applyFill="1" applyBorder="1"/>
    <xf numFmtId="0" fontId="0" fillId="34" borderId="17" xfId="0" applyFill="1" applyBorder="1"/>
    <xf numFmtId="0" fontId="0" fillId="34" borderId="20" xfId="0" applyFill="1" applyBorder="1" applyAlignment="1">
      <alignment horizontal="left"/>
    </xf>
    <xf numFmtId="0" fontId="0" fillId="34" borderId="20" xfId="0" applyFill="1" applyBorder="1"/>
    <xf numFmtId="0" fontId="0" fillId="34" borderId="21" xfId="0" applyFill="1" applyBorder="1"/>
    <xf numFmtId="0" fontId="0" fillId="33" borderId="10" xfId="0" applyFill="1" applyBorder="1" applyAlignment="1" applyProtection="1">
      <alignment horizontal="left" vertical="center"/>
      <protection locked="0"/>
    </xf>
    <xf numFmtId="0" fontId="0" fillId="34" borderId="43" xfId="0" applyFill="1" applyBorder="1" applyAlignment="1">
      <alignment horizontal="left"/>
    </xf>
    <xf numFmtId="0" fontId="0" fillId="34" borderId="44" xfId="0" applyFill="1" applyBorder="1" applyAlignment="1">
      <alignment horizontal="left"/>
    </xf>
    <xf numFmtId="0" fontId="0" fillId="34" borderId="17" xfId="0" applyFill="1" applyBorder="1" applyAlignment="1">
      <alignment horizontal="left"/>
    </xf>
    <xf numFmtId="0" fontId="0" fillId="34" borderId="21" xfId="0" applyFill="1" applyBorder="1" applyAlignment="1">
      <alignment horizontal="left"/>
    </xf>
    <xf numFmtId="0" fontId="29" fillId="36" borderId="46" xfId="0" applyFont="1" applyFill="1" applyBorder="1" applyAlignment="1">
      <alignment wrapText="1"/>
    </xf>
    <xf numFmtId="0" fontId="29" fillId="36" borderId="47" xfId="0" applyFont="1" applyFill="1" applyBorder="1" applyAlignment="1">
      <alignment wrapText="1"/>
    </xf>
    <xf numFmtId="0" fontId="0" fillId="34" borderId="14" xfId="0" applyFill="1" applyBorder="1" applyAlignment="1">
      <alignment horizontal="left"/>
    </xf>
    <xf numFmtId="0" fontId="0" fillId="33" borderId="11" xfId="0" applyFill="1" applyBorder="1" applyAlignment="1" applyProtection="1">
      <alignment horizontal="left" vertical="center"/>
      <protection locked="0"/>
    </xf>
    <xf numFmtId="0" fontId="0" fillId="34" borderId="15" xfId="0" applyFill="1" applyBorder="1"/>
    <xf numFmtId="0" fontId="0" fillId="34" borderId="19" xfId="0" applyFill="1" applyBorder="1"/>
    <xf numFmtId="0" fontId="0" fillId="34" borderId="43" xfId="0" applyFill="1" applyBorder="1"/>
    <xf numFmtId="0" fontId="0" fillId="34" borderId="11" xfId="0" applyFill="1" applyBorder="1"/>
    <xf numFmtId="0" fontId="0" fillId="34" borderId="44" xfId="0" applyFill="1" applyBorder="1"/>
    <xf numFmtId="0" fontId="29" fillId="36" borderId="61" xfId="0" applyFont="1" applyFill="1" applyBorder="1"/>
    <xf numFmtId="0" fontId="29" fillId="36" borderId="62" xfId="0" applyFont="1" applyFill="1" applyBorder="1"/>
    <xf numFmtId="0" fontId="29" fillId="36" borderId="63" xfId="0" applyFont="1" applyFill="1" applyBorder="1"/>
    <xf numFmtId="0" fontId="51" fillId="34" borderId="15" xfId="0" applyFont="1" applyFill="1" applyBorder="1" applyAlignment="1">
      <alignment horizontal="left" vertical="center" wrapText="1"/>
    </xf>
    <xf numFmtId="0" fontId="51" fillId="34" borderId="19" xfId="0" applyFont="1" applyFill="1" applyBorder="1" applyAlignment="1">
      <alignment horizontal="left" vertical="center" wrapText="1"/>
    </xf>
    <xf numFmtId="0" fontId="51" fillId="34" borderId="43" xfId="0" applyFont="1" applyFill="1" applyBorder="1" applyAlignment="1">
      <alignment horizontal="left" vertical="center" wrapText="1"/>
    </xf>
    <xf numFmtId="0" fontId="29" fillId="59" borderId="61" xfId="0" applyFont="1" applyFill="1" applyBorder="1"/>
    <xf numFmtId="0" fontId="29" fillId="59" borderId="63" xfId="0" applyFont="1" applyFill="1" applyBorder="1"/>
    <xf numFmtId="0" fontId="29" fillId="36" borderId="45" xfId="0" applyFont="1" applyFill="1" applyBorder="1"/>
    <xf numFmtId="0" fontId="0" fillId="33" borderId="10" xfId="0" applyFill="1" applyBorder="1" applyAlignment="1" applyProtection="1">
      <alignment vertical="center"/>
      <protection locked="0"/>
    </xf>
    <xf numFmtId="0" fontId="0" fillId="33" borderId="20" xfId="0" applyFill="1" applyBorder="1" applyAlignment="1" applyProtection="1">
      <alignment vertical="center"/>
      <protection locked="0"/>
    </xf>
    <xf numFmtId="0" fontId="0" fillId="33" borderId="11" xfId="0" applyFill="1" applyBorder="1" applyAlignment="1" applyProtection="1">
      <alignment vertical="center"/>
      <protection locked="0"/>
    </xf>
    <xf numFmtId="0" fontId="0" fillId="33" borderId="43" xfId="0" applyFill="1" applyBorder="1" applyAlignment="1" applyProtection="1">
      <alignment vertical="center"/>
      <protection locked="0"/>
    </xf>
    <xf numFmtId="0" fontId="0" fillId="33" borderId="44" xfId="0" applyFill="1" applyBorder="1" applyAlignment="1" applyProtection="1">
      <alignment vertical="center"/>
      <protection locked="0"/>
    </xf>
    <xf numFmtId="0" fontId="0" fillId="33" borderId="15" xfId="0" applyFill="1" applyBorder="1" applyAlignment="1" applyProtection="1">
      <alignment vertical="center"/>
      <protection locked="0"/>
    </xf>
    <xf numFmtId="0" fontId="0" fillId="33" borderId="17" xfId="0" applyFill="1" applyBorder="1" applyAlignment="1" applyProtection="1">
      <alignment vertical="center"/>
      <protection locked="0"/>
    </xf>
    <xf numFmtId="0" fontId="0" fillId="33" borderId="19" xfId="0" applyFill="1" applyBorder="1" applyAlignment="1" applyProtection="1">
      <alignment vertical="center"/>
      <protection locked="0"/>
    </xf>
    <xf numFmtId="0" fontId="0" fillId="33" borderId="21" xfId="0" applyFill="1" applyBorder="1" applyAlignment="1" applyProtection="1">
      <alignment vertical="center"/>
      <protection locked="0"/>
    </xf>
    <xf numFmtId="0" fontId="27" fillId="34" borderId="0" xfId="43" applyFont="1" applyFill="1" applyAlignment="1" applyProtection="1">
      <alignment vertical="center"/>
      <protection hidden="1"/>
    </xf>
    <xf numFmtId="0" fontId="24" fillId="34" borderId="0" xfId="43" applyFont="1" applyFill="1" applyAlignment="1" applyProtection="1">
      <alignment vertical="center" wrapText="1"/>
      <protection hidden="1"/>
    </xf>
    <xf numFmtId="0" fontId="27" fillId="34" borderId="0" xfId="43" applyFont="1" applyFill="1" applyAlignment="1" applyProtection="1">
      <alignment vertical="center" wrapText="1"/>
      <protection hidden="1"/>
    </xf>
    <xf numFmtId="0" fontId="51" fillId="34" borderId="0" xfId="0" applyFont="1" applyFill="1"/>
    <xf numFmtId="0" fontId="52" fillId="34" borderId="0" xfId="0" applyFont="1" applyFill="1"/>
    <xf numFmtId="0" fontId="52" fillId="34" borderId="0" xfId="0" applyFont="1" applyFill="1" applyAlignment="1">
      <alignment horizontal="left"/>
    </xf>
    <xf numFmtId="0" fontId="18" fillId="36" borderId="68" xfId="0" applyFont="1" applyFill="1" applyBorder="1"/>
    <xf numFmtId="0" fontId="0" fillId="34" borderId="36" xfId="0" applyFill="1" applyBorder="1" applyAlignment="1">
      <alignment vertical="center"/>
    </xf>
    <xf numFmtId="0" fontId="0" fillId="34" borderId="38" xfId="0" applyFill="1" applyBorder="1" applyAlignment="1">
      <alignment vertical="center"/>
    </xf>
    <xf numFmtId="0" fontId="0" fillId="34" borderId="36" xfId="0" applyFill="1" applyBorder="1" applyAlignment="1">
      <alignment horizontal="left" vertical="center"/>
    </xf>
    <xf numFmtId="0" fontId="59" fillId="60" borderId="35" xfId="0" applyFont="1" applyFill="1" applyBorder="1" applyAlignment="1">
      <alignment horizontal="left" vertical="center"/>
    </xf>
    <xf numFmtId="0" fontId="60" fillId="60" borderId="42" xfId="0" applyFont="1" applyFill="1" applyBorder="1" applyAlignment="1">
      <alignment horizontal="center" vertical="center" textRotation="90" wrapText="1"/>
    </xf>
    <xf numFmtId="0" fontId="62" fillId="61" borderId="70" xfId="0" applyFont="1" applyFill="1" applyBorder="1" applyAlignment="1">
      <alignment horizontal="center" vertical="center" wrapText="1"/>
    </xf>
    <xf numFmtId="0" fontId="58" fillId="0" borderId="70" xfId="0" applyFont="1" applyBorder="1" applyAlignment="1">
      <alignment horizontal="center" vertical="center" wrapText="1"/>
    </xf>
    <xf numFmtId="3" fontId="58" fillId="0" borderId="70" xfId="0" applyNumberFormat="1" applyFont="1" applyBorder="1" applyAlignment="1">
      <alignment horizontal="center" vertical="center" wrapText="1"/>
    </xf>
    <xf numFmtId="0" fontId="61" fillId="60" borderId="68" xfId="0" applyFont="1" applyFill="1" applyBorder="1" applyAlignment="1">
      <alignment vertical="center"/>
    </xf>
    <xf numFmtId="49" fontId="0" fillId="33" borderId="15" xfId="0" applyNumberFormat="1" applyFill="1" applyBorder="1" applyAlignment="1" applyProtection="1">
      <alignment horizontal="center" vertical="center"/>
      <protection locked="0"/>
    </xf>
    <xf numFmtId="49" fontId="1" fillId="33" borderId="15" xfId="1" applyNumberFormat="1" applyFont="1" applyFill="1" applyBorder="1" applyAlignment="1" applyProtection="1">
      <alignment horizontal="center" vertical="center"/>
      <protection locked="0"/>
    </xf>
    <xf numFmtId="49" fontId="1" fillId="33" borderId="19" xfId="1" applyNumberFormat="1" applyFont="1" applyFill="1" applyBorder="1" applyAlignment="1" applyProtection="1">
      <alignment horizontal="center" vertical="center"/>
      <protection locked="0"/>
    </xf>
    <xf numFmtId="0" fontId="60" fillId="60" borderId="70" xfId="0" applyFont="1" applyFill="1" applyBorder="1" applyAlignment="1">
      <alignment horizontal="center" vertical="center" wrapText="1"/>
    </xf>
    <xf numFmtId="0" fontId="58" fillId="0" borderId="69" xfId="0" applyFont="1" applyBorder="1" applyAlignment="1">
      <alignment horizontal="left" vertical="center" wrapText="1"/>
    </xf>
    <xf numFmtId="2" fontId="0" fillId="34" borderId="10" xfId="0" applyNumberFormat="1" applyFill="1" applyBorder="1"/>
    <xf numFmtId="2" fontId="0" fillId="34" borderId="17" xfId="0" applyNumberFormat="1" applyFill="1" applyBorder="1"/>
    <xf numFmtId="2" fontId="0" fillId="34" borderId="20" xfId="0" applyNumberFormat="1" applyFill="1" applyBorder="1"/>
    <xf numFmtId="2" fontId="0" fillId="34" borderId="21" xfId="0" applyNumberFormat="1" applyFill="1" applyBorder="1"/>
    <xf numFmtId="0" fontId="29" fillId="0" borderId="0" xfId="0" applyFont="1"/>
    <xf numFmtId="0" fontId="59" fillId="60" borderId="35" xfId="0" applyFont="1" applyFill="1" applyBorder="1" applyAlignment="1">
      <alignment horizontal="left" vertical="center" wrapText="1"/>
    </xf>
    <xf numFmtId="0" fontId="60" fillId="60" borderId="42" xfId="0" applyFont="1" applyFill="1" applyBorder="1" applyAlignment="1">
      <alignment horizontal="center" vertical="center" wrapText="1"/>
    </xf>
    <xf numFmtId="3" fontId="0" fillId="34" borderId="11" xfId="0" applyNumberFormat="1" applyFill="1" applyBorder="1"/>
    <xf numFmtId="3" fontId="0" fillId="34" borderId="10" xfId="0" applyNumberFormat="1" applyFill="1" applyBorder="1"/>
    <xf numFmtId="0" fontId="18" fillId="36" borderId="68" xfId="0" applyFont="1" applyFill="1" applyBorder="1" applyAlignment="1">
      <alignment vertical="center"/>
    </xf>
    <xf numFmtId="0" fontId="51" fillId="34" borderId="37" xfId="0" applyFont="1" applyFill="1" applyBorder="1"/>
    <xf numFmtId="0" fontId="0" fillId="33" borderId="32" xfId="0" applyFill="1" applyBorder="1" applyAlignment="1" applyProtection="1">
      <alignment vertical="center"/>
      <protection locked="0"/>
    </xf>
    <xf numFmtId="0" fontId="0" fillId="33" borderId="18" xfId="0" applyFill="1" applyBorder="1" applyAlignment="1" applyProtection="1">
      <alignment vertical="center"/>
      <protection locked="0"/>
    </xf>
    <xf numFmtId="0" fontId="0" fillId="33" borderId="48" xfId="0" applyFill="1" applyBorder="1" applyAlignment="1" applyProtection="1">
      <alignment vertical="center"/>
      <protection locked="0"/>
    </xf>
    <xf numFmtId="0" fontId="0" fillId="0" borderId="71" xfId="0" applyBorder="1"/>
    <xf numFmtId="0" fontId="0" fillId="0" borderId="53" xfId="0" applyBorder="1"/>
    <xf numFmtId="0" fontId="22" fillId="34" borderId="0" xfId="43" applyFont="1" applyFill="1" applyAlignment="1" applyProtection="1">
      <alignment horizontal="left" vertical="center" wrapText="1"/>
      <protection hidden="1"/>
    </xf>
    <xf numFmtId="0" fontId="22" fillId="34" borderId="0" xfId="43" applyFont="1" applyFill="1" applyAlignment="1" applyProtection="1">
      <alignment vertical="center" wrapText="1"/>
      <protection hidden="1"/>
    </xf>
    <xf numFmtId="0" fontId="48" fillId="34" borderId="0" xfId="0" applyFont="1" applyFill="1" applyAlignment="1" applyProtection="1">
      <alignment vertical="center"/>
      <protection hidden="1"/>
    </xf>
    <xf numFmtId="0" fontId="0" fillId="34" borderId="0" xfId="0" applyFill="1" applyProtection="1">
      <protection hidden="1"/>
    </xf>
    <xf numFmtId="0" fontId="29" fillId="34" borderId="0" xfId="0" applyFont="1" applyFill="1" applyAlignment="1" applyProtection="1">
      <alignment horizontal="center" vertical="center" wrapText="1"/>
      <protection hidden="1"/>
    </xf>
    <xf numFmtId="0" fontId="16" fillId="34" borderId="0" xfId="0" applyFont="1" applyFill="1" applyAlignment="1" applyProtection="1">
      <alignment horizontal="center"/>
      <protection hidden="1"/>
    </xf>
    <xf numFmtId="0" fontId="0" fillId="34" borderId="0" xfId="0" applyFill="1" applyAlignment="1" applyProtection="1">
      <alignment vertical="center"/>
      <protection hidden="1"/>
    </xf>
    <xf numFmtId="0" fontId="50" fillId="36" borderId="57" xfId="0" applyFont="1" applyFill="1" applyBorder="1" applyAlignment="1" applyProtection="1">
      <alignment vertical="center"/>
      <protection hidden="1"/>
    </xf>
    <xf numFmtId="0" fontId="50" fillId="36" borderId="0" xfId="0" applyFont="1" applyFill="1" applyAlignment="1" applyProtection="1">
      <alignment horizontal="left" vertical="center"/>
      <protection hidden="1"/>
    </xf>
    <xf numFmtId="0" fontId="50" fillId="36" borderId="45" xfId="0" applyFont="1" applyFill="1" applyBorder="1" applyAlignment="1" applyProtection="1">
      <alignment vertical="center" wrapText="1"/>
      <protection hidden="1"/>
    </xf>
    <xf numFmtId="0" fontId="50" fillId="36" borderId="46" xfId="0" applyFont="1" applyFill="1" applyBorder="1" applyAlignment="1" applyProtection="1">
      <alignment vertical="center" wrapText="1"/>
      <protection hidden="1"/>
    </xf>
    <xf numFmtId="0" fontId="50" fillId="36" borderId="47" xfId="0" applyFont="1" applyFill="1" applyBorder="1" applyAlignment="1" applyProtection="1">
      <alignment vertical="center" wrapText="1"/>
      <protection hidden="1"/>
    </xf>
    <xf numFmtId="0" fontId="50" fillId="36" borderId="0" xfId="0" applyFont="1" applyFill="1" applyAlignment="1" applyProtection="1">
      <alignment vertical="center" wrapText="1"/>
      <protection hidden="1"/>
    </xf>
    <xf numFmtId="0" fontId="0" fillId="35" borderId="55" xfId="0" applyFill="1" applyBorder="1" applyAlignment="1" applyProtection="1">
      <alignment horizontal="left" vertical="center"/>
      <protection hidden="1"/>
    </xf>
    <xf numFmtId="3" fontId="0" fillId="35" borderId="11" xfId="0" applyNumberFormat="1" applyFill="1" applyBorder="1" applyAlignment="1" applyProtection="1">
      <alignment horizontal="left" vertical="center"/>
      <protection hidden="1"/>
    </xf>
    <xf numFmtId="3" fontId="0" fillId="35" borderId="43" xfId="0" applyNumberFormat="1" applyFill="1" applyBorder="1" applyAlignment="1" applyProtection="1">
      <alignment horizontal="left" vertical="center"/>
      <protection hidden="1"/>
    </xf>
    <xf numFmtId="166" fontId="0" fillId="35" borderId="36" xfId="0" applyNumberFormat="1" applyFill="1" applyBorder="1" applyAlignment="1" applyProtection="1">
      <alignment horizontal="center" vertical="center"/>
      <protection hidden="1"/>
    </xf>
    <xf numFmtId="0" fontId="0" fillId="35" borderId="51" xfId="0" applyFill="1" applyBorder="1" applyAlignment="1" applyProtection="1">
      <alignment horizontal="left" vertical="center"/>
      <protection hidden="1"/>
    </xf>
    <xf numFmtId="0" fontId="0" fillId="35" borderId="10" xfId="0" applyFill="1" applyBorder="1" applyAlignment="1" applyProtection="1">
      <alignment horizontal="left" vertical="center"/>
      <protection hidden="1"/>
    </xf>
    <xf numFmtId="3" fontId="0" fillId="35" borderId="10" xfId="0" applyNumberFormat="1" applyFill="1" applyBorder="1" applyAlignment="1" applyProtection="1">
      <alignment horizontal="left" vertical="center"/>
      <protection hidden="1"/>
    </xf>
    <xf numFmtId="3" fontId="0" fillId="35" borderId="15" xfId="0" applyNumberFormat="1" applyFill="1" applyBorder="1" applyAlignment="1" applyProtection="1">
      <alignment horizontal="left" vertical="center"/>
      <protection hidden="1"/>
    </xf>
    <xf numFmtId="2" fontId="0" fillId="35" borderId="10" xfId="0" applyNumberFormat="1" applyFill="1" applyBorder="1" applyAlignment="1" applyProtection="1">
      <alignment horizontal="left" vertical="center"/>
      <protection hidden="1"/>
    </xf>
    <xf numFmtId="166" fontId="0" fillId="35" borderId="37" xfId="0" applyNumberFormat="1" applyFill="1" applyBorder="1" applyAlignment="1" applyProtection="1">
      <alignment horizontal="center" vertical="center"/>
      <protection hidden="1"/>
    </xf>
    <xf numFmtId="0" fontId="0" fillId="35" borderId="56" xfId="0" applyFill="1" applyBorder="1" applyAlignment="1" applyProtection="1">
      <alignment horizontal="left" vertical="center"/>
      <protection hidden="1"/>
    </xf>
    <xf numFmtId="3" fontId="0" fillId="35" borderId="20" xfId="0" applyNumberFormat="1" applyFill="1" applyBorder="1" applyAlignment="1" applyProtection="1">
      <alignment horizontal="left" vertical="center"/>
      <protection hidden="1"/>
    </xf>
    <xf numFmtId="3" fontId="0" fillId="35" borderId="19" xfId="0" applyNumberFormat="1" applyFill="1" applyBorder="1" applyAlignment="1" applyProtection="1">
      <alignment horizontal="left" vertical="center"/>
      <protection hidden="1"/>
    </xf>
    <xf numFmtId="2" fontId="0" fillId="35" borderId="20" xfId="0" applyNumberFormat="1" applyFill="1" applyBorder="1" applyAlignment="1" applyProtection="1">
      <alignment horizontal="left" vertical="center"/>
      <protection hidden="1"/>
    </xf>
    <xf numFmtId="166" fontId="0" fillId="35" borderId="38" xfId="0" applyNumberFormat="1" applyFill="1" applyBorder="1" applyAlignment="1" applyProtection="1">
      <alignment horizontal="center" vertical="center"/>
      <protection hidden="1"/>
    </xf>
    <xf numFmtId="0" fontId="0" fillId="34" borderId="0" xfId="0" applyFill="1" applyAlignment="1" applyProtection="1">
      <alignment horizontal="left" vertical="center" indent="1"/>
      <protection hidden="1"/>
    </xf>
    <xf numFmtId="164" fontId="1" fillId="34" borderId="0" xfId="1" applyNumberFormat="1" applyFont="1" applyFill="1" applyBorder="1" applyAlignment="1" applyProtection="1">
      <alignment horizontal="left" vertical="center" indent="1"/>
      <protection hidden="1"/>
    </xf>
    <xf numFmtId="0" fontId="47" fillId="34" borderId="0" xfId="0" applyFont="1" applyFill="1" applyAlignment="1" applyProtection="1">
      <alignment horizontal="left"/>
      <protection hidden="1"/>
    </xf>
    <xf numFmtId="0" fontId="0" fillId="33" borderId="11" xfId="0" applyFill="1" applyBorder="1" applyAlignment="1" applyProtection="1">
      <alignment horizontal="center" vertical="center"/>
      <protection locked="0"/>
    </xf>
    <xf numFmtId="0" fontId="0" fillId="33" borderId="10" xfId="0" applyFill="1" applyBorder="1" applyAlignment="1" applyProtection="1">
      <alignment horizontal="center" vertical="center"/>
      <protection locked="0"/>
    </xf>
    <xf numFmtId="0" fontId="0" fillId="33" borderId="20" xfId="0" applyFill="1" applyBorder="1" applyAlignment="1" applyProtection="1">
      <alignment horizontal="left" vertical="center"/>
      <protection locked="0"/>
    </xf>
    <xf numFmtId="0" fontId="0" fillId="33" borderId="20" xfId="0" applyFill="1" applyBorder="1" applyAlignment="1" applyProtection="1">
      <alignment horizontal="center" vertical="center"/>
      <protection locked="0"/>
    </xf>
    <xf numFmtId="0" fontId="0" fillId="33" borderId="43" xfId="0" applyFill="1" applyBorder="1" applyAlignment="1" applyProtection="1">
      <alignment horizontal="left" vertical="center"/>
      <protection locked="0"/>
    </xf>
    <xf numFmtId="0" fontId="0" fillId="33" borderId="17" xfId="0" applyFill="1" applyBorder="1" applyAlignment="1" applyProtection="1">
      <alignment horizontal="left" vertical="center"/>
      <protection locked="0"/>
    </xf>
    <xf numFmtId="0" fontId="0" fillId="33" borderId="15" xfId="0" applyFill="1" applyBorder="1" applyAlignment="1" applyProtection="1">
      <alignment horizontal="left" vertical="center"/>
      <protection locked="0"/>
    </xf>
    <xf numFmtId="0" fontId="0" fillId="33" borderId="19" xfId="0" applyFill="1" applyBorder="1" applyAlignment="1" applyProtection="1">
      <alignment horizontal="left" vertical="center"/>
      <protection locked="0"/>
    </xf>
    <xf numFmtId="0" fontId="0" fillId="34" borderId="0" xfId="0" applyFill="1" applyAlignment="1" applyProtection="1">
      <alignment vertical="center" wrapText="1"/>
      <protection hidden="1"/>
    </xf>
    <xf numFmtId="0" fontId="50" fillId="36" borderId="65" xfId="0" applyFont="1" applyFill="1" applyBorder="1" applyAlignment="1" applyProtection="1">
      <alignment vertical="center" wrapText="1"/>
      <protection hidden="1"/>
    </xf>
    <xf numFmtId="0" fontId="0" fillId="35" borderId="11" xfId="0" applyFill="1" applyBorder="1" applyAlignment="1" applyProtection="1">
      <alignment vertical="center"/>
      <protection hidden="1"/>
    </xf>
    <xf numFmtId="0" fontId="0" fillId="35" borderId="10" xfId="0" applyFill="1" applyBorder="1" applyAlignment="1" applyProtection="1">
      <alignment vertical="center"/>
      <protection hidden="1"/>
    </xf>
    <xf numFmtId="3" fontId="0" fillId="35" borderId="43" xfId="0" applyNumberFormat="1" applyFill="1" applyBorder="1" applyAlignment="1" applyProtection="1">
      <alignment vertical="center"/>
      <protection hidden="1"/>
    </xf>
    <xf numFmtId="4" fontId="0" fillId="35" borderId="44" xfId="0" applyNumberFormat="1" applyFill="1" applyBorder="1" applyAlignment="1" applyProtection="1">
      <alignment vertical="center"/>
      <protection hidden="1"/>
    </xf>
    <xf numFmtId="166" fontId="0" fillId="35" borderId="37" xfId="0" applyNumberFormat="1" applyFill="1" applyBorder="1" applyAlignment="1" applyProtection="1">
      <alignment vertical="center"/>
      <protection hidden="1"/>
    </xf>
    <xf numFmtId="0" fontId="0" fillId="35" borderId="20" xfId="0" applyFill="1" applyBorder="1" applyAlignment="1" applyProtection="1">
      <alignment vertical="center"/>
      <protection hidden="1"/>
    </xf>
    <xf numFmtId="166" fontId="0" fillId="35" borderId="38" xfId="0" applyNumberFormat="1" applyFill="1" applyBorder="1" applyAlignment="1" applyProtection="1">
      <alignment vertical="center"/>
      <protection hidden="1"/>
    </xf>
    <xf numFmtId="0" fontId="0" fillId="34" borderId="0" xfId="0" applyFill="1" applyAlignment="1" applyProtection="1">
      <alignment horizontal="left" vertical="center"/>
      <protection hidden="1"/>
    </xf>
    <xf numFmtId="0" fontId="52" fillId="36" borderId="57" xfId="0" applyFont="1" applyFill="1" applyBorder="1" applyAlignment="1" applyProtection="1">
      <alignment vertical="center"/>
      <protection hidden="1"/>
    </xf>
    <xf numFmtId="0" fontId="52" fillId="36" borderId="53" xfId="0" applyFont="1" applyFill="1" applyBorder="1" applyAlignment="1" applyProtection="1">
      <alignment vertical="center"/>
      <protection hidden="1"/>
    </xf>
    <xf numFmtId="0" fontId="50" fillId="36" borderId="40" xfId="0" applyFont="1" applyFill="1" applyBorder="1" applyAlignment="1" applyProtection="1">
      <alignment vertical="center" wrapText="1"/>
      <protection hidden="1"/>
    </xf>
    <xf numFmtId="0" fontId="50" fillId="36" borderId="54" xfId="0" applyFont="1" applyFill="1" applyBorder="1" applyAlignment="1" applyProtection="1">
      <alignment vertical="center" wrapText="1"/>
      <protection hidden="1"/>
    </xf>
    <xf numFmtId="0" fontId="50" fillId="36" borderId="49" xfId="0" applyFont="1" applyFill="1" applyBorder="1" applyAlignment="1" applyProtection="1">
      <alignment vertical="center" wrapText="1"/>
      <protection hidden="1"/>
    </xf>
    <xf numFmtId="0" fontId="50" fillId="36" borderId="58" xfId="0" applyFont="1" applyFill="1" applyBorder="1" applyAlignment="1" applyProtection="1">
      <alignment vertical="center" wrapText="1"/>
      <protection hidden="1"/>
    </xf>
    <xf numFmtId="0" fontId="50" fillId="36" borderId="59" xfId="0" applyFont="1" applyFill="1" applyBorder="1" applyAlignment="1" applyProtection="1">
      <alignment vertical="center" wrapText="1"/>
      <protection hidden="1"/>
    </xf>
    <xf numFmtId="0" fontId="0" fillId="35" borderId="55" xfId="0" applyFill="1" applyBorder="1" applyAlignment="1" applyProtection="1">
      <alignment vertical="center"/>
      <protection hidden="1"/>
    </xf>
    <xf numFmtId="0" fontId="0" fillId="35" borderId="33" xfId="0" applyFill="1" applyBorder="1" applyAlignment="1" applyProtection="1">
      <alignment vertical="center"/>
      <protection hidden="1"/>
    </xf>
    <xf numFmtId="0" fontId="0" fillId="35" borderId="12" xfId="0" applyFill="1" applyBorder="1" applyAlignment="1" applyProtection="1">
      <alignment vertical="center"/>
      <protection hidden="1"/>
    </xf>
    <xf numFmtId="0" fontId="0" fillId="35" borderId="13" xfId="0" applyFill="1" applyBorder="1" applyAlignment="1" applyProtection="1">
      <alignment vertical="center"/>
      <protection hidden="1"/>
    </xf>
    <xf numFmtId="167" fontId="0" fillId="35" borderId="13" xfId="0" applyNumberFormat="1" applyFill="1" applyBorder="1" applyAlignment="1" applyProtection="1">
      <alignment vertical="center"/>
      <protection hidden="1"/>
    </xf>
    <xf numFmtId="2" fontId="0" fillId="35" borderId="13" xfId="0" applyNumberFormat="1" applyFill="1" applyBorder="1" applyAlignment="1" applyProtection="1">
      <alignment vertical="center"/>
      <protection hidden="1"/>
    </xf>
    <xf numFmtId="3" fontId="0" fillId="35" borderId="13" xfId="0" applyNumberFormat="1" applyFill="1" applyBorder="1" applyAlignment="1" applyProtection="1">
      <alignment vertical="center"/>
      <protection hidden="1"/>
    </xf>
    <xf numFmtId="0" fontId="0" fillId="35" borderId="51" xfId="0" applyFill="1" applyBorder="1" applyAlignment="1" applyProtection="1">
      <alignment vertical="center"/>
      <protection hidden="1"/>
    </xf>
    <xf numFmtId="0" fontId="0" fillId="35" borderId="16" xfId="0" applyFill="1" applyBorder="1" applyAlignment="1" applyProtection="1">
      <alignment vertical="center"/>
      <protection hidden="1"/>
    </xf>
    <xf numFmtId="0" fontId="0" fillId="35" borderId="17" xfId="0" applyFill="1" applyBorder="1" applyAlignment="1" applyProtection="1">
      <alignment vertical="center"/>
      <protection hidden="1"/>
    </xf>
    <xf numFmtId="0" fontId="0" fillId="35" borderId="15" xfId="0" applyFill="1" applyBorder="1" applyAlignment="1" applyProtection="1">
      <alignment vertical="center"/>
      <protection hidden="1"/>
    </xf>
    <xf numFmtId="167" fontId="0" fillId="35" borderId="10" xfId="0" applyNumberFormat="1" applyFill="1" applyBorder="1" applyAlignment="1" applyProtection="1">
      <alignment vertical="center"/>
      <protection hidden="1"/>
    </xf>
    <xf numFmtId="2" fontId="0" fillId="35" borderId="10" xfId="0" applyNumberFormat="1" applyFill="1" applyBorder="1" applyAlignment="1" applyProtection="1">
      <alignment vertical="center"/>
      <protection hidden="1"/>
    </xf>
    <xf numFmtId="3" fontId="0" fillId="35" borderId="10" xfId="0" applyNumberFormat="1" applyFill="1" applyBorder="1" applyAlignment="1" applyProtection="1">
      <alignment vertical="center"/>
      <protection hidden="1"/>
    </xf>
    <xf numFmtId="0" fontId="0" fillId="35" borderId="56" xfId="0" applyFill="1" applyBorder="1" applyAlignment="1" applyProtection="1">
      <alignment vertical="center"/>
      <protection hidden="1"/>
    </xf>
    <xf numFmtId="0" fontId="0" fillId="35" borderId="64" xfId="0" applyFill="1" applyBorder="1" applyAlignment="1" applyProtection="1">
      <alignment vertical="center"/>
      <protection hidden="1"/>
    </xf>
    <xf numFmtId="0" fontId="0" fillId="35" borderId="21" xfId="0" applyFill="1" applyBorder="1" applyAlignment="1" applyProtection="1">
      <alignment vertical="center"/>
      <protection hidden="1"/>
    </xf>
    <xf numFmtId="0" fontId="0" fillId="35" borderId="19" xfId="0" applyFill="1" applyBorder="1" applyAlignment="1" applyProtection="1">
      <alignment vertical="center"/>
      <protection hidden="1"/>
    </xf>
    <xf numFmtId="167" fontId="0" fillId="35" borderId="20" xfId="0" applyNumberFormat="1" applyFill="1" applyBorder="1" applyAlignment="1" applyProtection="1">
      <alignment vertical="center"/>
      <protection hidden="1"/>
    </xf>
    <xf numFmtId="2" fontId="0" fillId="35" borderId="20" xfId="0" applyNumberFormat="1" applyFill="1" applyBorder="1" applyAlignment="1" applyProtection="1">
      <alignment vertical="center"/>
      <protection hidden="1"/>
    </xf>
    <xf numFmtId="3" fontId="0" fillId="35" borderId="20" xfId="0" applyNumberFormat="1" applyFill="1" applyBorder="1" applyAlignment="1" applyProtection="1">
      <alignment vertical="center"/>
      <protection hidden="1"/>
    </xf>
    <xf numFmtId="2" fontId="0" fillId="35" borderId="21" xfId="0" applyNumberFormat="1" applyFill="1" applyBorder="1" applyAlignment="1" applyProtection="1">
      <alignment vertical="center"/>
      <protection hidden="1"/>
    </xf>
    <xf numFmtId="0" fontId="0" fillId="33" borderId="34" xfId="0" applyFill="1" applyBorder="1" applyAlignment="1" applyProtection="1">
      <alignment vertical="center"/>
      <protection locked="0"/>
    </xf>
    <xf numFmtId="0" fontId="0" fillId="33" borderId="77" xfId="0" applyFill="1" applyBorder="1" applyAlignment="1" applyProtection="1">
      <alignment vertical="center"/>
      <protection locked="0"/>
    </xf>
    <xf numFmtId="0" fontId="0" fillId="33" borderId="33" xfId="0" applyFill="1" applyBorder="1" applyAlignment="1" applyProtection="1">
      <alignment vertical="center"/>
      <protection locked="0"/>
    </xf>
    <xf numFmtId="0" fontId="0" fillId="33" borderId="16" xfId="0" applyFill="1" applyBorder="1" applyAlignment="1" applyProtection="1">
      <alignment vertical="center"/>
      <protection locked="0"/>
    </xf>
    <xf numFmtId="0" fontId="0" fillId="33" borderId="64" xfId="0" applyFill="1" applyBorder="1" applyAlignment="1" applyProtection="1">
      <alignment vertical="center"/>
      <protection locked="0"/>
    </xf>
    <xf numFmtId="14" fontId="0" fillId="34" borderId="0" xfId="0" applyNumberFormat="1" applyFill="1" applyAlignment="1" applyProtection="1">
      <alignment vertical="center"/>
      <protection hidden="1"/>
    </xf>
    <xf numFmtId="14" fontId="0" fillId="34" borderId="0" xfId="0" applyNumberFormat="1" applyFill="1" applyAlignment="1" applyProtection="1">
      <alignment vertical="center" wrapText="1"/>
      <protection hidden="1"/>
    </xf>
    <xf numFmtId="0" fontId="0" fillId="35" borderId="32" xfId="0" applyFill="1" applyBorder="1" applyAlignment="1" applyProtection="1">
      <alignment vertical="center"/>
      <protection hidden="1"/>
    </xf>
    <xf numFmtId="3" fontId="0" fillId="35" borderId="11" xfId="0" applyNumberFormat="1" applyFill="1" applyBorder="1" applyAlignment="1" applyProtection="1">
      <alignment vertical="center"/>
      <protection hidden="1"/>
    </xf>
    <xf numFmtId="2" fontId="0" fillId="34" borderId="0" xfId="0" applyNumberFormat="1" applyFill="1" applyAlignment="1" applyProtection="1">
      <alignment vertical="center"/>
      <protection hidden="1"/>
    </xf>
    <xf numFmtId="166" fontId="0" fillId="35" borderId="44" xfId="0" applyNumberFormat="1" applyFill="1" applyBorder="1" applyAlignment="1" applyProtection="1">
      <alignment vertical="center"/>
      <protection hidden="1"/>
    </xf>
    <xf numFmtId="0" fontId="0" fillId="35" borderId="18" xfId="0" applyFill="1" applyBorder="1" applyAlignment="1" applyProtection="1">
      <alignment vertical="center"/>
      <protection hidden="1"/>
    </xf>
    <xf numFmtId="166" fontId="0" fillId="35" borderId="17" xfId="0" applyNumberFormat="1" applyFill="1" applyBorder="1" applyAlignment="1" applyProtection="1">
      <alignment vertical="center"/>
      <protection hidden="1"/>
    </xf>
    <xf numFmtId="0" fontId="0" fillId="35" borderId="48" xfId="0" applyFill="1" applyBorder="1" applyAlignment="1" applyProtection="1">
      <alignment vertical="center"/>
      <protection hidden="1"/>
    </xf>
    <xf numFmtId="4" fontId="0" fillId="35" borderId="21" xfId="0" applyNumberFormat="1" applyFill="1" applyBorder="1" applyAlignment="1" applyProtection="1">
      <alignment vertical="center"/>
      <protection hidden="1"/>
    </xf>
    <xf numFmtId="166" fontId="0" fillId="35" borderId="21" xfId="0" applyNumberFormat="1" applyFill="1" applyBorder="1" applyAlignment="1" applyProtection="1">
      <alignment vertical="center"/>
      <protection hidden="1"/>
    </xf>
    <xf numFmtId="166" fontId="0" fillId="35" borderId="39" xfId="0" applyNumberFormat="1" applyFill="1" applyBorder="1" applyAlignment="1" applyProtection="1">
      <alignment vertical="center"/>
      <protection hidden="1"/>
    </xf>
    <xf numFmtId="166" fontId="0" fillId="35" borderId="36" xfId="0" applyNumberFormat="1" applyFill="1" applyBorder="1" applyAlignment="1" applyProtection="1">
      <alignment horizontal="right" vertical="center"/>
      <protection hidden="1"/>
    </xf>
    <xf numFmtId="166" fontId="0" fillId="35" borderId="37" xfId="0" applyNumberFormat="1" applyFill="1" applyBorder="1" applyAlignment="1" applyProtection="1">
      <alignment horizontal="right" vertical="center"/>
      <protection hidden="1"/>
    </xf>
    <xf numFmtId="166" fontId="0" fillId="35" borderId="38" xfId="0" applyNumberFormat="1" applyFill="1" applyBorder="1" applyAlignment="1" applyProtection="1">
      <alignment horizontal="right" vertical="center"/>
      <protection hidden="1"/>
    </xf>
    <xf numFmtId="0" fontId="0" fillId="34" borderId="22" xfId="0" applyFill="1" applyBorder="1" applyProtection="1">
      <protection hidden="1"/>
    </xf>
    <xf numFmtId="14" fontId="0" fillId="34" borderId="22" xfId="0" applyNumberFormat="1" applyFill="1" applyBorder="1" applyProtection="1">
      <protection hidden="1"/>
    </xf>
    <xf numFmtId="3" fontId="0" fillId="35" borderId="12" xfId="0" applyNumberFormat="1" applyFill="1" applyBorder="1" applyAlignment="1" applyProtection="1">
      <alignment horizontal="center" vertical="center"/>
      <protection hidden="1"/>
    </xf>
    <xf numFmtId="7" fontId="0" fillId="35" borderId="73" xfId="0" applyNumberFormat="1" applyFill="1" applyBorder="1" applyAlignment="1" applyProtection="1">
      <alignment horizontal="right" vertical="center"/>
      <protection hidden="1"/>
    </xf>
    <xf numFmtId="7" fontId="0" fillId="35" borderId="36" xfId="0" applyNumberFormat="1" applyFill="1" applyBorder="1" applyAlignment="1" applyProtection="1">
      <alignment horizontal="right" vertical="center"/>
      <protection hidden="1"/>
    </xf>
    <xf numFmtId="3" fontId="0" fillId="35" borderId="15" xfId="0" applyNumberFormat="1" applyFill="1" applyBorder="1" applyAlignment="1" applyProtection="1">
      <alignment horizontal="center" vertical="center"/>
      <protection hidden="1"/>
    </xf>
    <xf numFmtId="7" fontId="0" fillId="35" borderId="74" xfId="0" applyNumberFormat="1" applyFill="1" applyBorder="1" applyAlignment="1" applyProtection="1">
      <alignment horizontal="right" vertical="center"/>
      <protection hidden="1"/>
    </xf>
    <xf numFmtId="7" fontId="0" fillId="35" borderId="39" xfId="0" applyNumberFormat="1" applyFill="1" applyBorder="1" applyAlignment="1" applyProtection="1">
      <alignment horizontal="right" vertical="center"/>
      <protection hidden="1"/>
    </xf>
    <xf numFmtId="3" fontId="0" fillId="35" borderId="19" xfId="0" applyNumberFormat="1" applyFill="1" applyBorder="1" applyAlignment="1" applyProtection="1">
      <alignment horizontal="center" vertical="center"/>
      <protection hidden="1"/>
    </xf>
    <xf numFmtId="3" fontId="0" fillId="35" borderId="61" xfId="0" applyNumberFormat="1" applyFill="1" applyBorder="1" applyAlignment="1" applyProtection="1">
      <alignment horizontal="center" vertical="center"/>
      <protection hidden="1"/>
    </xf>
    <xf numFmtId="4" fontId="0" fillId="35" borderId="62" xfId="0" applyNumberFormat="1" applyFill="1" applyBorder="1" applyAlignment="1" applyProtection="1">
      <alignment horizontal="center" vertical="center"/>
      <protection hidden="1"/>
    </xf>
    <xf numFmtId="0" fontId="55" fillId="34" borderId="0" xfId="0" applyFont="1" applyFill="1" applyProtection="1">
      <protection hidden="1"/>
    </xf>
    <xf numFmtId="0" fontId="54" fillId="34" borderId="0" xfId="0" applyFont="1" applyFill="1" applyProtection="1">
      <protection hidden="1"/>
    </xf>
    <xf numFmtId="0" fontId="19" fillId="34" borderId="0" xfId="0" applyFont="1" applyFill="1" applyProtection="1">
      <protection hidden="1"/>
    </xf>
    <xf numFmtId="0" fontId="25" fillId="0" borderId="0" xfId="43" applyFont="1" applyAlignment="1" applyProtection="1">
      <alignment vertical="center"/>
      <protection hidden="1"/>
    </xf>
    <xf numFmtId="0" fontId="25" fillId="34" borderId="0" xfId="43" applyFont="1" applyFill="1" applyAlignment="1" applyProtection="1">
      <alignment vertical="center"/>
      <protection hidden="1"/>
    </xf>
    <xf numFmtId="0" fontId="16" fillId="34" borderId="0" xfId="0" applyFont="1" applyFill="1" applyAlignment="1" applyProtection="1">
      <alignment horizontal="left"/>
      <protection hidden="1"/>
    </xf>
    <xf numFmtId="0" fontId="0" fillId="33" borderId="10" xfId="0" applyFill="1" applyBorder="1" applyAlignment="1" applyProtection="1">
      <alignment horizontal="left" vertical="center" indent="1"/>
      <protection hidden="1"/>
    </xf>
    <xf numFmtId="0" fontId="50" fillId="34" borderId="0" xfId="0" applyFont="1" applyFill="1" applyAlignment="1" applyProtection="1">
      <alignment vertical="center" wrapText="1"/>
      <protection hidden="1"/>
    </xf>
    <xf numFmtId="0" fontId="0" fillId="34" borderId="16" xfId="0" applyFill="1" applyBorder="1" applyAlignment="1" applyProtection="1">
      <alignment vertical="center" wrapText="1"/>
      <protection hidden="1"/>
    </xf>
    <xf numFmtId="0" fontId="0" fillId="34" borderId="18" xfId="0" applyFill="1" applyBorder="1" applyAlignment="1" applyProtection="1">
      <alignment vertical="center" wrapText="1"/>
      <protection hidden="1"/>
    </xf>
    <xf numFmtId="0" fontId="0" fillId="34" borderId="16" xfId="0" applyFill="1" applyBorder="1" applyAlignment="1" applyProtection="1">
      <alignment horizontal="left" vertical="center" wrapText="1"/>
      <protection hidden="1"/>
    </xf>
    <xf numFmtId="0" fontId="0" fillId="34" borderId="18" xfId="0" applyFill="1" applyBorder="1" applyAlignment="1" applyProtection="1">
      <alignment horizontal="left" vertical="center" wrapText="1"/>
      <protection hidden="1"/>
    </xf>
    <xf numFmtId="0" fontId="0" fillId="35" borderId="10" xfId="0" applyFill="1" applyBorder="1" applyAlignment="1" applyProtection="1">
      <alignment horizontal="left" vertical="center" wrapText="1" indent="1"/>
      <protection hidden="1"/>
    </xf>
    <xf numFmtId="0" fontId="64" fillId="34" borderId="10" xfId="0" applyFont="1" applyFill="1" applyBorder="1" applyAlignment="1">
      <alignment horizontal="right"/>
    </xf>
    <xf numFmtId="168" fontId="64" fillId="34" borderId="10" xfId="0" applyNumberFormat="1" applyFont="1" applyFill="1" applyBorder="1" applyAlignment="1">
      <alignment horizontal="left" vertical="center" indent="1"/>
    </xf>
    <xf numFmtId="166" fontId="64" fillId="34" borderId="10" xfId="0" applyNumberFormat="1" applyFont="1" applyFill="1" applyBorder="1" applyAlignment="1">
      <alignment horizontal="left" vertical="center" indent="1"/>
    </xf>
    <xf numFmtId="0" fontId="0" fillId="33" borderId="12" xfId="0" applyFill="1" applyBorder="1" applyAlignment="1" applyProtection="1">
      <alignment horizontal="left" vertical="center"/>
      <protection locked="0"/>
    </xf>
    <xf numFmtId="0" fontId="0" fillId="33" borderId="13" xfId="0" applyFill="1" applyBorder="1" applyAlignment="1" applyProtection="1">
      <alignment horizontal="left" vertical="center"/>
      <protection locked="0"/>
    </xf>
    <xf numFmtId="0" fontId="0" fillId="33" borderId="12" xfId="0" applyFill="1" applyBorder="1" applyAlignment="1" applyProtection="1">
      <alignment vertical="center"/>
      <protection locked="0"/>
    </xf>
    <xf numFmtId="0" fontId="0" fillId="33" borderId="17" xfId="0" applyFill="1" applyBorder="1" applyAlignment="1" applyProtection="1">
      <alignment horizontal="center" vertical="center"/>
      <protection locked="0"/>
    </xf>
    <xf numFmtId="0" fontId="0" fillId="33" borderId="21" xfId="0" applyFill="1" applyBorder="1" applyAlignment="1" applyProtection="1">
      <alignment horizontal="center" vertical="center"/>
      <protection locked="0"/>
    </xf>
    <xf numFmtId="0" fontId="50" fillId="36" borderId="53" xfId="0" applyFont="1" applyFill="1" applyBorder="1" applyAlignment="1" applyProtection="1">
      <alignment vertical="center" wrapText="1"/>
      <protection hidden="1"/>
    </xf>
    <xf numFmtId="0" fontId="50" fillId="36" borderId="42" xfId="0" applyFont="1" applyFill="1" applyBorder="1" applyAlignment="1" applyProtection="1">
      <alignment vertical="center" wrapText="1"/>
      <protection hidden="1"/>
    </xf>
    <xf numFmtId="3" fontId="0" fillId="35" borderId="12" xfId="0" applyNumberFormat="1" applyFill="1" applyBorder="1" applyAlignment="1" applyProtection="1">
      <alignment horizontal="left" vertical="center"/>
      <protection hidden="1"/>
    </xf>
    <xf numFmtId="2" fontId="0" fillId="35" borderId="14" xfId="0" applyNumberFormat="1" applyFill="1" applyBorder="1" applyAlignment="1" applyProtection="1">
      <alignment horizontal="left" vertical="center"/>
      <protection hidden="1"/>
    </xf>
    <xf numFmtId="0" fontId="0" fillId="35" borderId="74" xfId="0" applyFill="1" applyBorder="1" applyAlignment="1" applyProtection="1">
      <alignment vertical="center"/>
      <protection hidden="1"/>
    </xf>
    <xf numFmtId="0" fontId="0" fillId="35" borderId="52" xfId="0" applyFill="1" applyBorder="1" applyAlignment="1" applyProtection="1">
      <alignment vertical="center"/>
      <protection hidden="1"/>
    </xf>
    <xf numFmtId="0" fontId="0" fillId="35" borderId="79" xfId="0" applyFill="1" applyBorder="1" applyAlignment="1" applyProtection="1">
      <alignment vertical="center"/>
      <protection hidden="1"/>
    </xf>
    <xf numFmtId="0" fontId="0" fillId="33" borderId="50" xfId="0" applyFill="1" applyBorder="1" applyAlignment="1" applyProtection="1">
      <alignment vertical="center"/>
      <protection locked="0"/>
    </xf>
    <xf numFmtId="0" fontId="0" fillId="33" borderId="13" xfId="0" applyFill="1" applyBorder="1" applyAlignment="1" applyProtection="1">
      <alignment vertical="center"/>
      <protection locked="0"/>
    </xf>
    <xf numFmtId="0" fontId="0" fillId="33" borderId="62" xfId="0" applyFill="1" applyBorder="1" applyAlignment="1" applyProtection="1">
      <alignment vertical="center"/>
      <protection locked="0"/>
    </xf>
    <xf numFmtId="0" fontId="0" fillId="33" borderId="15" xfId="0" applyFill="1" applyBorder="1" applyAlignment="1" applyProtection="1">
      <alignment horizontal="center" vertical="center"/>
      <protection locked="0"/>
    </xf>
    <xf numFmtId="0" fontId="0" fillId="33" borderId="19" xfId="0" applyFill="1" applyBorder="1" applyAlignment="1" applyProtection="1">
      <alignment horizontal="center" vertical="center"/>
      <protection locked="0"/>
    </xf>
    <xf numFmtId="0" fontId="0" fillId="35" borderId="20" xfId="0" applyFill="1" applyBorder="1" applyAlignment="1" applyProtection="1">
      <alignment horizontal="left" vertical="center"/>
      <protection hidden="1"/>
    </xf>
    <xf numFmtId="0" fontId="66" fillId="63" borderId="10" xfId="1999" applyFont="1" applyFill="1" applyBorder="1"/>
    <xf numFmtId="0" fontId="66" fillId="63" borderId="10" xfId="1999" applyFont="1" applyFill="1" applyBorder="1" applyAlignment="1">
      <alignment horizontal="center"/>
    </xf>
    <xf numFmtId="0" fontId="65" fillId="0" borderId="10" xfId="1999" applyBorder="1"/>
    <xf numFmtId="0" fontId="65" fillId="0" borderId="10" xfId="1999" applyBorder="1" applyAlignment="1">
      <alignment horizontal="center"/>
    </xf>
    <xf numFmtId="169" fontId="0" fillId="33" borderId="21" xfId="1998" applyNumberFormat="1" applyFont="1" applyFill="1" applyBorder="1" applyAlignment="1" applyProtection="1">
      <alignment horizontal="center" vertical="center"/>
      <protection locked="0"/>
    </xf>
    <xf numFmtId="0" fontId="50" fillId="36" borderId="75" xfId="0" applyFont="1" applyFill="1" applyBorder="1" applyAlignment="1" applyProtection="1">
      <alignment vertical="center" wrapText="1"/>
      <protection hidden="1"/>
    </xf>
    <xf numFmtId="0" fontId="50" fillId="36" borderId="80" xfId="0" applyFont="1" applyFill="1" applyBorder="1" applyAlignment="1" applyProtection="1">
      <alignment vertical="center" wrapText="1"/>
      <protection hidden="1"/>
    </xf>
    <xf numFmtId="0" fontId="0" fillId="33" borderId="81" xfId="0" applyFill="1" applyBorder="1" applyAlignment="1" applyProtection="1">
      <alignment vertical="center"/>
      <protection locked="0"/>
    </xf>
    <xf numFmtId="0" fontId="0" fillId="35" borderId="82" xfId="0" applyFill="1" applyBorder="1" applyAlignment="1" applyProtection="1">
      <alignment vertical="center"/>
      <protection hidden="1"/>
    </xf>
    <xf numFmtId="0" fontId="0" fillId="33" borderId="82" xfId="0" applyFill="1" applyBorder="1" applyAlignment="1" applyProtection="1">
      <alignment vertical="center"/>
      <protection locked="0"/>
    </xf>
    <xf numFmtId="0" fontId="0" fillId="35" borderId="14" xfId="0" applyFill="1" applyBorder="1" applyAlignment="1" applyProtection="1">
      <alignment vertical="center"/>
      <protection hidden="1"/>
    </xf>
    <xf numFmtId="0" fontId="0" fillId="34" borderId="18" xfId="0" applyFill="1" applyBorder="1"/>
    <xf numFmtId="0" fontId="51" fillId="34" borderId="10" xfId="0" applyFont="1" applyFill="1" applyBorder="1" applyAlignment="1">
      <alignment horizontal="left" vertical="center" wrapText="1"/>
    </xf>
    <xf numFmtId="0" fontId="51" fillId="34" borderId="0" xfId="0" applyFont="1" applyFill="1" applyAlignment="1">
      <alignment horizontal="left" vertical="center" wrapText="1"/>
    </xf>
    <xf numFmtId="0" fontId="0" fillId="35" borderId="11" xfId="0" applyFill="1" applyBorder="1" applyAlignment="1" applyProtection="1">
      <alignment horizontal="left" vertical="center"/>
      <protection hidden="1"/>
    </xf>
    <xf numFmtId="169" fontId="0" fillId="33" borderId="44" xfId="1998" applyNumberFormat="1" applyFont="1" applyFill="1" applyBorder="1" applyAlignment="1" applyProtection="1">
      <alignment horizontal="center" vertical="center"/>
      <protection locked="0"/>
    </xf>
    <xf numFmtId="0" fontId="0" fillId="33" borderId="44" xfId="0" applyFill="1" applyBorder="1" applyAlignment="1" applyProtection="1">
      <alignment horizontal="center" vertical="center"/>
      <protection locked="0"/>
    </xf>
    <xf numFmtId="1" fontId="0" fillId="35" borderId="11" xfId="0" applyNumberFormat="1" applyFill="1" applyBorder="1" applyAlignment="1" applyProtection="1">
      <alignment vertical="center"/>
      <protection hidden="1"/>
    </xf>
    <xf numFmtId="0" fontId="51" fillId="35" borderId="11" xfId="0" applyFont="1" applyFill="1" applyBorder="1" applyAlignment="1" applyProtection="1">
      <alignment vertical="center"/>
      <protection hidden="1"/>
    </xf>
    <xf numFmtId="0" fontId="51" fillId="34" borderId="39" xfId="0" applyFont="1" applyFill="1" applyBorder="1"/>
    <xf numFmtId="0" fontId="51" fillId="34" borderId="38" xfId="0" applyFont="1" applyFill="1" applyBorder="1"/>
    <xf numFmtId="0" fontId="18" fillId="0" borderId="0" xfId="0" applyFont="1"/>
    <xf numFmtId="0" fontId="0" fillId="34" borderId="34" xfId="0" applyFill="1" applyBorder="1"/>
    <xf numFmtId="0" fontId="51" fillId="34" borderId="11" xfId="0" applyFont="1" applyFill="1" applyBorder="1" applyAlignment="1">
      <alignment horizontal="left" vertical="center" wrapText="1"/>
    </xf>
    <xf numFmtId="0" fontId="29" fillId="36" borderId="69" xfId="0" applyFont="1" applyFill="1" applyBorder="1"/>
    <xf numFmtId="1" fontId="0" fillId="35" borderId="62" xfId="0" applyNumberFormat="1" applyFill="1" applyBorder="1" applyAlignment="1" applyProtection="1">
      <alignment vertical="center"/>
      <protection hidden="1"/>
    </xf>
    <xf numFmtId="0" fontId="0" fillId="35" borderId="16" xfId="0" applyFill="1" applyBorder="1" applyAlignment="1" applyProtection="1">
      <alignment horizontal="left" vertical="center"/>
      <protection hidden="1"/>
    </xf>
    <xf numFmtId="3" fontId="0" fillId="35" borderId="13" xfId="0" applyNumberFormat="1" applyFill="1" applyBorder="1" applyAlignment="1" applyProtection="1">
      <alignment horizontal="left" vertical="center"/>
      <protection hidden="1"/>
    </xf>
    <xf numFmtId="0" fontId="0" fillId="33" borderId="33" xfId="0" applyFill="1" applyBorder="1" applyAlignment="1" applyProtection="1">
      <alignment horizontal="center" vertical="center"/>
      <protection locked="0"/>
    </xf>
    <xf numFmtId="2" fontId="0" fillId="35" borderId="18" xfId="0" applyNumberFormat="1" applyFill="1" applyBorder="1" applyAlignment="1" applyProtection="1">
      <alignment horizontal="left" vertical="center"/>
      <protection hidden="1"/>
    </xf>
    <xf numFmtId="2" fontId="0" fillId="35" borderId="48" xfId="0" applyNumberFormat="1" applyFill="1" applyBorder="1" applyAlignment="1" applyProtection="1">
      <alignment horizontal="left" vertical="center"/>
      <protection hidden="1"/>
    </xf>
    <xf numFmtId="0" fontId="50" fillId="36" borderId="35" xfId="0" applyFont="1" applyFill="1" applyBorder="1" applyAlignment="1" applyProtection="1">
      <alignment vertical="center" wrapText="1"/>
      <protection hidden="1"/>
    </xf>
    <xf numFmtId="0" fontId="0" fillId="33" borderId="39" xfId="0" applyFill="1" applyBorder="1" applyAlignment="1" applyProtection="1">
      <alignment horizontal="center" vertical="center"/>
      <protection locked="0"/>
    </xf>
    <xf numFmtId="49" fontId="0" fillId="33" borderId="37" xfId="0" applyNumberFormat="1" applyFill="1" applyBorder="1" applyAlignment="1" applyProtection="1">
      <alignment horizontal="center" vertical="center"/>
      <protection locked="0"/>
    </xf>
    <xf numFmtId="49" fontId="1" fillId="33" borderId="37" xfId="1" applyNumberFormat="1" applyFont="1" applyFill="1" applyBorder="1" applyAlignment="1" applyProtection="1">
      <alignment horizontal="center" vertical="center"/>
      <protection locked="0"/>
    </xf>
    <xf numFmtId="49" fontId="1" fillId="33" borderId="38" xfId="1" applyNumberFormat="1" applyFont="1" applyFill="1" applyBorder="1" applyAlignment="1" applyProtection="1">
      <alignment horizontal="center" vertical="center"/>
      <protection locked="0"/>
    </xf>
    <xf numFmtId="0" fontId="0" fillId="33" borderId="16" xfId="0" applyFill="1" applyBorder="1" applyAlignment="1" applyProtection="1">
      <alignment horizontal="center" vertical="center"/>
      <protection locked="0"/>
    </xf>
    <xf numFmtId="0" fontId="0" fillId="33" borderId="64" xfId="0" applyFill="1" applyBorder="1" applyAlignment="1" applyProtection="1">
      <alignment horizontal="center" vertical="center"/>
      <protection locked="0"/>
    </xf>
    <xf numFmtId="0" fontId="0" fillId="35" borderId="33" xfId="0" applyFill="1" applyBorder="1" applyAlignment="1" applyProtection="1">
      <alignment horizontal="left" vertical="center"/>
      <protection hidden="1"/>
    </xf>
    <xf numFmtId="3" fontId="0" fillId="35" borderId="32" xfId="0" applyNumberFormat="1" applyFill="1" applyBorder="1" applyAlignment="1" applyProtection="1">
      <alignment horizontal="left" vertical="center"/>
      <protection hidden="1"/>
    </xf>
    <xf numFmtId="2" fontId="0" fillId="35" borderId="32" xfId="0" applyNumberFormat="1" applyFill="1" applyBorder="1" applyAlignment="1" applyProtection="1">
      <alignment horizontal="left" vertical="center"/>
      <protection hidden="1"/>
    </xf>
    <xf numFmtId="0" fontId="0" fillId="33" borderId="32" xfId="0" applyFill="1" applyBorder="1" applyAlignment="1" applyProtection="1">
      <alignment horizontal="center" vertical="center"/>
      <protection locked="0"/>
    </xf>
    <xf numFmtId="0" fontId="0" fillId="33" borderId="18" xfId="0" applyFill="1" applyBorder="1" applyAlignment="1" applyProtection="1">
      <alignment horizontal="center" vertical="center"/>
      <protection locked="0"/>
    </xf>
    <xf numFmtId="0" fontId="0" fillId="33" borderId="48" xfId="0" applyFill="1" applyBorder="1" applyAlignment="1" applyProtection="1">
      <alignment horizontal="center" vertical="center"/>
      <protection locked="0"/>
    </xf>
    <xf numFmtId="0" fontId="50" fillId="36" borderId="57" xfId="0" applyFont="1" applyFill="1" applyBorder="1" applyAlignment="1" applyProtection="1">
      <alignment horizontal="center" vertical="center" wrapText="1"/>
      <protection hidden="1"/>
    </xf>
    <xf numFmtId="0" fontId="0" fillId="35" borderId="72" xfId="0" applyFill="1" applyBorder="1" applyAlignment="1" applyProtection="1">
      <alignment horizontal="left" vertical="center"/>
      <protection hidden="1"/>
    </xf>
    <xf numFmtId="0" fontId="0" fillId="33" borderId="12" xfId="0" applyFill="1" applyBorder="1" applyAlignment="1" applyProtection="1">
      <alignment horizontal="center" vertical="center"/>
      <protection locked="0"/>
    </xf>
    <xf numFmtId="2" fontId="0" fillId="35" borderId="13" xfId="0" applyNumberFormat="1" applyFill="1" applyBorder="1" applyAlignment="1" applyProtection="1">
      <alignment horizontal="left" vertical="center"/>
      <protection hidden="1"/>
    </xf>
    <xf numFmtId="2" fontId="0" fillId="35" borderId="53" xfId="0" applyNumberFormat="1" applyFill="1" applyBorder="1" applyAlignment="1" applyProtection="1">
      <alignment horizontal="left" vertical="center"/>
      <protection hidden="1"/>
    </xf>
    <xf numFmtId="2" fontId="0" fillId="35" borderId="0" xfId="0" applyNumberFormat="1" applyFill="1" applyAlignment="1" applyProtection="1">
      <alignment horizontal="left" vertical="center"/>
      <protection hidden="1"/>
    </xf>
    <xf numFmtId="3" fontId="0" fillId="35" borderId="62" xfId="0" applyNumberFormat="1" applyFill="1" applyBorder="1" applyAlignment="1" applyProtection="1">
      <alignment horizontal="left" vertical="center"/>
      <protection hidden="1"/>
    </xf>
    <xf numFmtId="2" fontId="0" fillId="35" borderId="71" xfId="0" applyNumberFormat="1" applyFill="1" applyBorder="1" applyAlignment="1" applyProtection="1">
      <alignment horizontal="left" vertical="center"/>
      <protection hidden="1"/>
    </xf>
    <xf numFmtId="0" fontId="29" fillId="34" borderId="0" xfId="0" applyFont="1" applyFill="1" applyAlignment="1" applyProtection="1">
      <alignment horizontal="left" vertical="center" wrapText="1"/>
      <protection hidden="1"/>
    </xf>
    <xf numFmtId="0" fontId="67" fillId="0" borderId="69" xfId="0" applyFont="1" applyBorder="1"/>
    <xf numFmtId="0" fontId="67" fillId="0" borderId="36" xfId="0" applyFont="1" applyBorder="1"/>
    <xf numFmtId="0" fontId="68" fillId="36" borderId="35" xfId="0" applyFont="1" applyFill="1" applyBorder="1" applyAlignment="1">
      <alignment horizontal="center"/>
    </xf>
    <xf numFmtId="14" fontId="0" fillId="34" borderId="10" xfId="0" applyNumberFormat="1" applyFill="1" applyBorder="1" applyAlignment="1">
      <alignment horizontal="left"/>
    </xf>
    <xf numFmtId="0" fontId="16" fillId="34" borderId="10" xfId="0" applyFont="1" applyFill="1" applyBorder="1"/>
    <xf numFmtId="0" fontId="29" fillId="34" borderId="0" xfId="0" applyFont="1" applyFill="1" applyAlignment="1" applyProtection="1">
      <alignment vertical="center" wrapText="1"/>
      <protection hidden="1"/>
    </xf>
    <xf numFmtId="0" fontId="47" fillId="34" borderId="0" xfId="0" applyFont="1" applyFill="1" applyAlignment="1" applyProtection="1">
      <alignment vertical="top"/>
      <protection hidden="1"/>
    </xf>
    <xf numFmtId="2" fontId="0" fillId="33" borderId="43" xfId="0" applyNumberFormat="1" applyFill="1" applyBorder="1" applyAlignment="1" applyProtection="1">
      <alignment horizontal="center" vertical="center"/>
      <protection locked="0"/>
    </xf>
    <xf numFmtId="2" fontId="0" fillId="33" borderId="19" xfId="0" applyNumberFormat="1" applyFill="1" applyBorder="1" applyAlignment="1" applyProtection="1">
      <alignment horizontal="center" vertical="center"/>
      <protection locked="0"/>
    </xf>
    <xf numFmtId="3" fontId="0" fillId="35" borderId="15" xfId="0" applyNumberFormat="1" applyFill="1" applyBorder="1" applyAlignment="1" applyProtection="1">
      <alignment vertical="center"/>
      <protection hidden="1"/>
    </xf>
    <xf numFmtId="3" fontId="0" fillId="35" borderId="19" xfId="0" applyNumberFormat="1" applyFill="1" applyBorder="1" applyAlignment="1" applyProtection="1">
      <alignment vertical="center"/>
      <protection hidden="1"/>
    </xf>
    <xf numFmtId="2" fontId="0" fillId="35" borderId="44" xfId="0" applyNumberFormat="1" applyFill="1" applyBorder="1" applyAlignment="1" applyProtection="1">
      <alignment vertical="center"/>
      <protection hidden="1"/>
    </xf>
    <xf numFmtId="2" fontId="0" fillId="35" borderId="17" xfId="0" applyNumberFormat="1" applyFill="1" applyBorder="1" applyAlignment="1" applyProtection="1">
      <alignment horizontal="left" vertical="center"/>
      <protection hidden="1"/>
    </xf>
    <xf numFmtId="2" fontId="0" fillId="35" borderId="21" xfId="0" applyNumberFormat="1" applyFill="1" applyBorder="1" applyAlignment="1" applyProtection="1">
      <alignment horizontal="left" vertical="center"/>
      <protection hidden="1"/>
    </xf>
    <xf numFmtId="4" fontId="0" fillId="35" borderId="12" xfId="0" applyNumberFormat="1" applyFill="1" applyBorder="1" applyAlignment="1" applyProtection="1">
      <alignment vertical="center"/>
      <protection hidden="1"/>
    </xf>
    <xf numFmtId="4" fontId="0" fillId="35" borderId="43" xfId="0" applyNumberFormat="1" applyFill="1" applyBorder="1" applyAlignment="1" applyProtection="1">
      <alignment vertical="center"/>
      <protection hidden="1"/>
    </xf>
    <xf numFmtId="4" fontId="0" fillId="35" borderId="61" xfId="0" applyNumberFormat="1" applyFill="1" applyBorder="1" applyAlignment="1" applyProtection="1">
      <alignment vertical="center"/>
      <protection hidden="1"/>
    </xf>
    <xf numFmtId="1" fontId="0" fillId="33" borderId="44" xfId="0" applyNumberFormat="1" applyFill="1" applyBorder="1" applyAlignment="1" applyProtection="1">
      <alignment vertical="center"/>
      <protection locked="0"/>
    </xf>
    <xf numFmtId="1" fontId="0" fillId="33" borderId="17" xfId="0" applyNumberFormat="1" applyFill="1" applyBorder="1" applyAlignment="1" applyProtection="1">
      <alignment vertical="center"/>
      <protection locked="0"/>
    </xf>
    <xf numFmtId="1" fontId="0" fillId="33" borderId="21" xfId="0" applyNumberFormat="1" applyFill="1" applyBorder="1" applyAlignment="1" applyProtection="1">
      <alignment vertical="center"/>
      <protection locked="0"/>
    </xf>
    <xf numFmtId="165" fontId="0" fillId="33" borderId="11" xfId="0" applyNumberFormat="1" applyFill="1" applyBorder="1" applyAlignment="1" applyProtection="1">
      <alignment vertical="center"/>
      <protection locked="0"/>
    </xf>
    <xf numFmtId="165" fontId="0" fillId="33" borderId="10" xfId="0" applyNumberFormat="1" applyFill="1" applyBorder="1" applyAlignment="1" applyProtection="1">
      <alignment vertical="center"/>
      <protection locked="0"/>
    </xf>
    <xf numFmtId="165" fontId="0" fillId="33" borderId="20" xfId="0" applyNumberFormat="1" applyFill="1" applyBorder="1" applyAlignment="1" applyProtection="1">
      <alignment vertical="center"/>
      <protection locked="0"/>
    </xf>
    <xf numFmtId="1" fontId="0" fillId="33" borderId="13" xfId="0" applyNumberFormat="1" applyFill="1" applyBorder="1" applyAlignment="1" applyProtection="1">
      <alignment vertical="center"/>
      <protection locked="0"/>
    </xf>
    <xf numFmtId="1" fontId="0" fillId="33" borderId="10" xfId="0" applyNumberFormat="1" applyFill="1" applyBorder="1" applyAlignment="1" applyProtection="1">
      <alignment vertical="center"/>
      <protection locked="0"/>
    </xf>
    <xf numFmtId="1" fontId="0" fillId="33" borderId="20" xfId="0" applyNumberFormat="1" applyFill="1" applyBorder="1" applyAlignment="1" applyProtection="1">
      <alignment vertical="center"/>
      <protection locked="0"/>
    </xf>
    <xf numFmtId="2" fontId="0" fillId="34" borderId="22" xfId="0" applyNumberFormat="1" applyFill="1" applyBorder="1" applyProtection="1">
      <protection hidden="1"/>
    </xf>
    <xf numFmtId="0" fontId="18" fillId="36" borderId="41" xfId="0" applyFont="1" applyFill="1" applyBorder="1" applyAlignment="1">
      <alignment horizontal="left"/>
    </xf>
    <xf numFmtId="0" fontId="18" fillId="36" borderId="42" xfId="0" applyFont="1" applyFill="1" applyBorder="1" applyAlignment="1">
      <alignment horizontal="left"/>
    </xf>
    <xf numFmtId="0" fontId="18" fillId="36" borderId="0" xfId="0" applyFont="1" applyFill="1" applyAlignment="1">
      <alignment horizontal="left"/>
    </xf>
    <xf numFmtId="2" fontId="29" fillId="36" borderId="82" xfId="0" applyNumberFormat="1" applyFont="1" applyFill="1" applyBorder="1" applyAlignment="1">
      <alignment horizontal="left" vertical="center" indent="1"/>
    </xf>
    <xf numFmtId="2" fontId="29" fillId="36" borderId="64" xfId="0" applyNumberFormat="1" applyFont="1" applyFill="1" applyBorder="1" applyAlignment="1">
      <alignment horizontal="left" vertical="center" indent="1"/>
    </xf>
    <xf numFmtId="10" fontId="0" fillId="34" borderId="82" xfId="1998" applyNumberFormat="1" applyFont="1" applyFill="1" applyBorder="1" applyAlignment="1">
      <alignment horizontal="left" vertical="center"/>
    </xf>
    <xf numFmtId="10" fontId="0" fillId="34" borderId="16" xfId="1998" applyNumberFormat="1" applyFont="1" applyFill="1" applyBorder="1" applyAlignment="1">
      <alignment horizontal="left" vertical="center"/>
    </xf>
    <xf numFmtId="10" fontId="0" fillId="34" borderId="16" xfId="1998" applyNumberFormat="1" applyFont="1" applyFill="1" applyBorder="1" applyAlignment="1">
      <alignment horizontal="left"/>
    </xf>
    <xf numFmtId="10" fontId="0" fillId="34" borderId="64" xfId="1998" applyNumberFormat="1" applyFont="1" applyFill="1" applyBorder="1" applyAlignment="1">
      <alignment horizontal="left"/>
    </xf>
    <xf numFmtId="0" fontId="29" fillId="36" borderId="0" xfId="0" applyFont="1" applyFill="1" applyAlignment="1">
      <alignment horizontal="left" vertical="center" wrapText="1"/>
    </xf>
    <xf numFmtId="4" fontId="0" fillId="35" borderId="82" xfId="0" applyNumberFormat="1" applyFill="1" applyBorder="1" applyAlignment="1" applyProtection="1">
      <alignment horizontal="left" vertical="center"/>
      <protection hidden="1"/>
    </xf>
    <xf numFmtId="4" fontId="0" fillId="35" borderId="33" xfId="0" applyNumberFormat="1" applyFill="1" applyBorder="1" applyAlignment="1" applyProtection="1">
      <alignment horizontal="left" vertical="center"/>
      <protection hidden="1"/>
    </xf>
    <xf numFmtId="0" fontId="18" fillId="36" borderId="0" xfId="0" applyFont="1" applyFill="1" applyAlignment="1">
      <alignment vertical="center"/>
    </xf>
    <xf numFmtId="0" fontId="0" fillId="34" borderId="0" xfId="0" applyFill="1" applyAlignment="1">
      <alignment horizontal="left" vertical="center"/>
    </xf>
    <xf numFmtId="0" fontId="29" fillId="36" borderId="65" xfId="0" applyFont="1" applyFill="1" applyBorder="1" applyAlignment="1">
      <alignment wrapText="1"/>
    </xf>
    <xf numFmtId="0" fontId="29" fillId="36" borderId="59" xfId="0" applyFont="1" applyFill="1" applyBorder="1" applyAlignment="1">
      <alignment wrapText="1"/>
    </xf>
    <xf numFmtId="0" fontId="29" fillId="36" borderId="58" xfId="0" applyFont="1" applyFill="1" applyBorder="1" applyAlignment="1">
      <alignment wrapText="1"/>
    </xf>
    <xf numFmtId="0" fontId="29" fillId="36" borderId="40" xfId="0" applyFont="1" applyFill="1" applyBorder="1" applyAlignment="1">
      <alignment wrapText="1"/>
    </xf>
    <xf numFmtId="0" fontId="29" fillId="36" borderId="41" xfId="0" applyFont="1" applyFill="1" applyBorder="1" applyAlignment="1">
      <alignment wrapText="1"/>
    </xf>
    <xf numFmtId="0" fontId="0" fillId="34" borderId="61" xfId="0" applyFill="1" applyBorder="1" applyAlignment="1">
      <alignment horizontal="left"/>
    </xf>
    <xf numFmtId="170" fontId="0" fillId="34" borderId="10" xfId="0" applyNumberFormat="1" applyFill="1" applyBorder="1" applyAlignment="1">
      <alignment horizontal="left"/>
    </xf>
    <xf numFmtId="170" fontId="0" fillId="34" borderId="11" xfId="0" applyNumberFormat="1" applyFill="1" applyBorder="1" applyAlignment="1">
      <alignment horizontal="left"/>
    </xf>
    <xf numFmtId="170" fontId="0" fillId="34" borderId="20" xfId="0" applyNumberFormat="1" applyFill="1" applyBorder="1" applyAlignment="1">
      <alignment horizontal="left"/>
    </xf>
    <xf numFmtId="0" fontId="0" fillId="34" borderId="33" xfId="0" applyFill="1" applyBorder="1" applyAlignment="1">
      <alignment horizontal="left"/>
    </xf>
    <xf numFmtId="0" fontId="0" fillId="34" borderId="16" xfId="0" applyFill="1" applyBorder="1" applyAlignment="1">
      <alignment horizontal="left"/>
    </xf>
    <xf numFmtId="170" fontId="0" fillId="34" borderId="16" xfId="0" applyNumberFormat="1" applyFill="1" applyBorder="1" applyAlignment="1">
      <alignment horizontal="left"/>
    </xf>
    <xf numFmtId="170" fontId="0" fillId="34" borderId="33" xfId="0" applyNumberFormat="1" applyFill="1" applyBorder="1" applyAlignment="1">
      <alignment horizontal="left"/>
    </xf>
    <xf numFmtId="170" fontId="0" fillId="34" borderId="64" xfId="0" applyNumberFormat="1" applyFill="1" applyBorder="1" applyAlignment="1">
      <alignment horizontal="left"/>
    </xf>
    <xf numFmtId="171" fontId="0" fillId="35" borderId="11" xfId="0" applyNumberFormat="1" applyFill="1" applyBorder="1" applyAlignment="1" applyProtection="1">
      <alignment horizontal="left" vertical="center"/>
      <protection hidden="1"/>
    </xf>
    <xf numFmtId="171" fontId="0" fillId="35" borderId="20" xfId="0" applyNumberFormat="1" applyFill="1" applyBorder="1" applyAlignment="1" applyProtection="1">
      <alignment horizontal="left" vertical="center"/>
      <protection hidden="1"/>
    </xf>
    <xf numFmtId="171" fontId="0" fillId="35" borderId="32" xfId="0" applyNumberFormat="1" applyFill="1" applyBorder="1" applyAlignment="1" applyProtection="1">
      <alignment horizontal="left" vertical="center"/>
      <protection hidden="1"/>
    </xf>
    <xf numFmtId="171" fontId="0" fillId="35" borderId="48" xfId="0" applyNumberFormat="1" applyFill="1" applyBorder="1" applyAlignment="1" applyProtection="1">
      <alignment horizontal="left" vertical="center"/>
      <protection hidden="1"/>
    </xf>
    <xf numFmtId="0" fontId="50" fillId="36" borderId="84" xfId="0" applyFont="1" applyFill="1" applyBorder="1" applyAlignment="1" applyProtection="1">
      <alignment vertical="center" wrapText="1"/>
      <protection hidden="1"/>
    </xf>
    <xf numFmtId="0" fontId="50" fillId="36" borderId="85" xfId="0" applyFont="1" applyFill="1" applyBorder="1" applyAlignment="1" applyProtection="1">
      <alignment vertical="center" wrapText="1"/>
      <protection hidden="1"/>
    </xf>
    <xf numFmtId="0" fontId="50" fillId="36" borderId="78" xfId="0" applyFont="1" applyFill="1" applyBorder="1" applyAlignment="1" applyProtection="1">
      <alignment vertical="center" wrapText="1"/>
      <protection hidden="1"/>
    </xf>
    <xf numFmtId="0" fontId="50" fillId="36" borderId="62" xfId="0" applyFont="1" applyFill="1" applyBorder="1" applyAlignment="1" applyProtection="1">
      <alignment vertical="center" wrapText="1"/>
      <protection hidden="1"/>
    </xf>
    <xf numFmtId="0" fontId="50" fillId="36" borderId="83" xfId="0" applyFont="1" applyFill="1" applyBorder="1" applyAlignment="1" applyProtection="1">
      <alignment vertical="center" wrapText="1"/>
      <protection hidden="1"/>
    </xf>
    <xf numFmtId="0" fontId="50" fillId="36" borderId="86" xfId="0" applyFont="1" applyFill="1" applyBorder="1" applyAlignment="1" applyProtection="1">
      <alignment vertical="center" wrapText="1"/>
      <protection hidden="1"/>
    </xf>
    <xf numFmtId="4" fontId="0" fillId="35" borderId="64" xfId="0" applyNumberFormat="1" applyFill="1" applyBorder="1" applyAlignment="1" applyProtection="1">
      <alignment horizontal="left" vertical="center"/>
      <protection hidden="1"/>
    </xf>
    <xf numFmtId="0" fontId="29" fillId="36" borderId="49" xfId="0" applyFont="1" applyFill="1" applyBorder="1" applyAlignment="1">
      <alignment wrapText="1"/>
    </xf>
    <xf numFmtId="0" fontId="0" fillId="35" borderId="82" xfId="0" applyFill="1" applyBorder="1" applyAlignment="1" applyProtection="1">
      <alignment horizontal="left" vertical="center"/>
      <protection hidden="1"/>
    </xf>
    <xf numFmtId="0" fontId="0" fillId="35" borderId="64" xfId="0" applyFill="1" applyBorder="1" applyAlignment="1" applyProtection="1">
      <alignment horizontal="left" vertical="center"/>
      <protection hidden="1"/>
    </xf>
    <xf numFmtId="166" fontId="0" fillId="35" borderId="73" xfId="0" applyNumberFormat="1" applyFill="1" applyBorder="1" applyAlignment="1" applyProtection="1">
      <alignment vertical="center"/>
      <protection hidden="1"/>
    </xf>
    <xf numFmtId="166" fontId="0" fillId="35" borderId="52" xfId="0" applyNumberFormat="1" applyFill="1" applyBorder="1" applyAlignment="1" applyProtection="1">
      <alignment vertical="center"/>
      <protection hidden="1"/>
    </xf>
    <xf numFmtId="166" fontId="0" fillId="35" borderId="79" xfId="0" applyNumberFormat="1" applyFill="1" applyBorder="1" applyAlignment="1" applyProtection="1">
      <alignment vertical="center"/>
      <protection hidden="1"/>
    </xf>
    <xf numFmtId="4" fontId="0" fillId="35" borderId="11" xfId="0" applyNumberFormat="1" applyFill="1" applyBorder="1" applyAlignment="1" applyProtection="1">
      <alignment vertical="center"/>
      <protection hidden="1"/>
    </xf>
    <xf numFmtId="4" fontId="0" fillId="35" borderId="20" xfId="0" applyNumberFormat="1" applyFill="1" applyBorder="1" applyAlignment="1" applyProtection="1">
      <alignment vertical="center"/>
      <protection hidden="1"/>
    </xf>
    <xf numFmtId="165" fontId="0" fillId="34" borderId="10" xfId="0" applyNumberFormat="1" applyFill="1" applyBorder="1" applyAlignment="1">
      <alignment horizontal="center" vertical="center"/>
    </xf>
    <xf numFmtId="14" fontId="0" fillId="34" borderId="10" xfId="0" applyNumberFormat="1" applyFill="1" applyBorder="1" applyAlignment="1">
      <alignment horizontal="center" vertical="center"/>
    </xf>
    <xf numFmtId="0" fontId="0" fillId="34" borderId="10" xfId="0" applyFill="1" applyBorder="1" applyAlignment="1">
      <alignment horizontal="center" vertical="center"/>
    </xf>
    <xf numFmtId="0" fontId="0" fillId="34" borderId="10" xfId="0" applyFill="1" applyBorder="1" applyAlignment="1">
      <alignment horizontal="center" vertical="center" wrapText="1"/>
    </xf>
    <xf numFmtId="0" fontId="0" fillId="34" borderId="10" xfId="0" applyFill="1" applyBorder="1" applyAlignment="1">
      <alignment horizontal="center" vertical="top"/>
    </xf>
    <xf numFmtId="14" fontId="0" fillId="34" borderId="10" xfId="0" applyNumberFormat="1" applyFill="1" applyBorder="1" applyAlignment="1">
      <alignment horizontal="center" vertical="top"/>
    </xf>
    <xf numFmtId="0" fontId="0" fillId="34" borderId="10" xfId="0" applyFill="1" applyBorder="1" applyAlignment="1">
      <alignment horizontal="center" vertical="top" wrapText="1"/>
    </xf>
    <xf numFmtId="0" fontId="0" fillId="34" borderId="71" xfId="0" applyFill="1" applyBorder="1" applyProtection="1">
      <protection hidden="1"/>
    </xf>
    <xf numFmtId="2" fontId="0" fillId="35" borderId="11" xfId="0" applyNumberFormat="1" applyFill="1" applyBorder="1" applyAlignment="1" applyProtection="1">
      <alignment vertical="center"/>
      <protection hidden="1"/>
    </xf>
    <xf numFmtId="4" fontId="0" fillId="35" borderId="32" xfId="0" applyNumberFormat="1" applyFill="1" applyBorder="1" applyAlignment="1" applyProtection="1">
      <alignment vertical="center"/>
      <protection hidden="1"/>
    </xf>
    <xf numFmtId="4" fontId="0" fillId="35" borderId="38" xfId="0" applyNumberFormat="1" applyFill="1" applyBorder="1" applyAlignment="1" applyProtection="1">
      <alignment vertical="center"/>
      <protection hidden="1"/>
    </xf>
    <xf numFmtId="4" fontId="0" fillId="35" borderId="39" xfId="0" applyNumberFormat="1" applyFill="1" applyBorder="1" applyAlignment="1" applyProtection="1">
      <alignment vertical="center"/>
      <protection hidden="1"/>
    </xf>
    <xf numFmtId="3" fontId="0" fillId="34" borderId="17" xfId="0" applyNumberFormat="1" applyFill="1" applyBorder="1"/>
    <xf numFmtId="3" fontId="0" fillId="34" borderId="20" xfId="0" applyNumberFormat="1" applyFill="1" applyBorder="1"/>
    <xf numFmtId="3" fontId="0" fillId="34" borderId="21" xfId="0" applyNumberFormat="1" applyFill="1" applyBorder="1"/>
    <xf numFmtId="1" fontId="0" fillId="34" borderId="16" xfId="0" applyNumberFormat="1" applyFill="1" applyBorder="1" applyAlignment="1">
      <alignment horizontal="left"/>
    </xf>
    <xf numFmtId="0" fontId="29" fillId="36" borderId="35" xfId="0" applyFont="1" applyFill="1" applyBorder="1" applyAlignment="1">
      <alignment wrapText="1"/>
    </xf>
    <xf numFmtId="170" fontId="0" fillId="34" borderId="11" xfId="0" applyNumberFormat="1" applyFill="1" applyBorder="1"/>
    <xf numFmtId="170" fontId="0" fillId="34" borderId="44" xfId="0" applyNumberFormat="1" applyFill="1" applyBorder="1"/>
    <xf numFmtId="170" fontId="0" fillId="34" borderId="10" xfId="0" applyNumberFormat="1" applyFill="1" applyBorder="1"/>
    <xf numFmtId="170" fontId="0" fillId="34" borderId="17" xfId="0" applyNumberFormat="1" applyFill="1" applyBorder="1"/>
    <xf numFmtId="4" fontId="0" fillId="35" borderId="33" xfId="0" applyNumberFormat="1" applyFill="1" applyBorder="1" applyAlignment="1" applyProtection="1">
      <alignment vertical="center"/>
      <protection hidden="1"/>
    </xf>
    <xf numFmtId="0" fontId="50" fillId="36" borderId="61" xfId="0" applyFont="1" applyFill="1" applyBorder="1" applyAlignment="1" applyProtection="1">
      <alignment vertical="center" wrapText="1"/>
      <protection hidden="1"/>
    </xf>
    <xf numFmtId="172" fontId="0" fillId="35" borderId="11" xfId="0" applyNumberFormat="1" applyFill="1" applyBorder="1" applyAlignment="1" applyProtection="1">
      <alignment vertical="center"/>
      <protection hidden="1"/>
    </xf>
    <xf numFmtId="172" fontId="0" fillId="35" borderId="20" xfId="0" applyNumberFormat="1" applyFill="1" applyBorder="1" applyAlignment="1" applyProtection="1">
      <alignment vertical="center"/>
      <protection hidden="1"/>
    </xf>
    <xf numFmtId="0" fontId="57" fillId="34" borderId="0" xfId="0" applyFont="1" applyFill="1" applyAlignment="1" applyProtection="1">
      <alignment horizontal="left"/>
      <protection hidden="1"/>
    </xf>
    <xf numFmtId="4" fontId="0" fillId="35" borderId="83" xfId="0" applyNumberFormat="1" applyFill="1" applyBorder="1" applyAlignment="1" applyProtection="1">
      <alignment horizontal="center" vertical="center"/>
      <protection hidden="1"/>
    </xf>
    <xf numFmtId="4" fontId="0" fillId="35" borderId="81" xfId="0" applyNumberFormat="1" applyFill="1" applyBorder="1" applyAlignment="1" applyProtection="1">
      <alignment horizontal="center" vertical="center"/>
      <protection hidden="1"/>
    </xf>
    <xf numFmtId="4" fontId="0" fillId="35" borderId="22" xfId="0" applyNumberFormat="1" applyFill="1" applyBorder="1" applyAlignment="1" applyProtection="1">
      <alignment horizontal="center" vertical="center"/>
      <protection hidden="1"/>
    </xf>
    <xf numFmtId="4" fontId="0" fillId="35" borderId="10" xfId="0" applyNumberFormat="1" applyFill="1" applyBorder="1" applyAlignment="1" applyProtection="1">
      <alignment horizontal="center" vertical="center"/>
      <protection hidden="1"/>
    </xf>
    <xf numFmtId="4" fontId="0" fillId="35" borderId="11" xfId="0" applyNumberFormat="1" applyFill="1" applyBorder="1" applyAlignment="1" applyProtection="1">
      <alignment horizontal="center" vertical="center"/>
      <protection hidden="1"/>
    </xf>
    <xf numFmtId="4" fontId="0" fillId="35" borderId="20" xfId="0" applyNumberFormat="1" applyFill="1" applyBorder="1" applyAlignment="1" applyProtection="1">
      <alignment horizontal="center" vertical="center"/>
      <protection hidden="1"/>
    </xf>
    <xf numFmtId="4" fontId="0" fillId="35" borderId="13" xfId="0" applyNumberFormat="1" applyFill="1" applyBorder="1" applyAlignment="1" applyProtection="1">
      <alignment horizontal="center" vertical="center"/>
      <protection hidden="1"/>
    </xf>
    <xf numFmtId="172" fontId="0" fillId="35" borderId="13" xfId="0" applyNumberFormat="1" applyFill="1" applyBorder="1" applyAlignment="1" applyProtection="1">
      <alignment vertical="center"/>
      <protection hidden="1"/>
    </xf>
    <xf numFmtId="172" fontId="0" fillId="35" borderId="10" xfId="0" applyNumberFormat="1" applyFill="1" applyBorder="1" applyAlignment="1" applyProtection="1">
      <alignment vertical="center"/>
      <protection hidden="1"/>
    </xf>
    <xf numFmtId="3" fontId="0" fillId="35" borderId="50" xfId="0" applyNumberFormat="1" applyFill="1" applyBorder="1" applyAlignment="1" applyProtection="1">
      <alignment horizontal="left" vertical="center"/>
      <protection hidden="1"/>
    </xf>
    <xf numFmtId="3" fontId="0" fillId="35" borderId="18" xfId="0" applyNumberFormat="1" applyFill="1" applyBorder="1" applyAlignment="1" applyProtection="1">
      <alignment horizontal="left" vertical="center"/>
      <protection hidden="1"/>
    </xf>
    <xf numFmtId="3" fontId="0" fillId="35" borderId="48" xfId="0" applyNumberFormat="1" applyFill="1" applyBorder="1" applyAlignment="1" applyProtection="1">
      <alignment horizontal="left" vertical="center"/>
      <protection hidden="1"/>
    </xf>
    <xf numFmtId="0" fontId="0" fillId="35" borderId="81" xfId="0" applyFill="1" applyBorder="1" applyAlignment="1" applyProtection="1">
      <alignment horizontal="left" vertical="center"/>
      <protection hidden="1"/>
    </xf>
    <xf numFmtId="0" fontId="0" fillId="35" borderId="34" xfId="0" applyFill="1" applyBorder="1" applyAlignment="1" applyProtection="1">
      <alignment horizontal="left" vertical="center"/>
      <protection hidden="1"/>
    </xf>
    <xf numFmtId="0" fontId="0" fillId="35" borderId="77" xfId="0" applyFill="1" applyBorder="1" applyAlignment="1" applyProtection="1">
      <alignment horizontal="left" vertical="center"/>
      <protection hidden="1"/>
    </xf>
    <xf numFmtId="169" fontId="0" fillId="33" borderId="36" xfId="1998" applyNumberFormat="1" applyFont="1" applyFill="1" applyBorder="1" applyAlignment="1" applyProtection="1">
      <alignment horizontal="center" vertical="center"/>
      <protection locked="0"/>
    </xf>
    <xf numFmtId="169" fontId="0" fillId="33" borderId="37" xfId="1998" applyNumberFormat="1" applyFont="1" applyFill="1" applyBorder="1" applyAlignment="1" applyProtection="1">
      <alignment horizontal="center" vertical="center"/>
      <protection locked="0"/>
    </xf>
    <xf numFmtId="169" fontId="0" fillId="33" borderId="38" xfId="1998" applyNumberFormat="1" applyFont="1" applyFill="1" applyBorder="1" applyAlignment="1" applyProtection="1">
      <alignment horizontal="center" vertical="center"/>
      <protection locked="0"/>
    </xf>
    <xf numFmtId="2" fontId="0" fillId="35" borderId="82" xfId="0" applyNumberFormat="1" applyFill="1" applyBorder="1" applyAlignment="1" applyProtection="1">
      <alignment horizontal="left" vertical="center"/>
      <protection hidden="1"/>
    </xf>
    <xf numFmtId="2" fontId="0" fillId="35" borderId="33" xfId="0" applyNumberFormat="1" applyFill="1" applyBorder="1" applyAlignment="1" applyProtection="1">
      <alignment horizontal="left" vertical="center"/>
      <protection hidden="1"/>
    </xf>
    <xf numFmtId="2" fontId="0" fillId="35" borderId="64" xfId="0" applyNumberFormat="1" applyFill="1" applyBorder="1" applyAlignment="1" applyProtection="1">
      <alignment horizontal="left" vertical="center"/>
      <protection hidden="1"/>
    </xf>
    <xf numFmtId="0" fontId="50" fillId="36" borderId="60" xfId="0" applyFont="1" applyFill="1" applyBorder="1" applyAlignment="1" applyProtection="1">
      <alignment vertical="center" wrapText="1"/>
      <protection hidden="1"/>
    </xf>
    <xf numFmtId="2" fontId="0" fillId="35" borderId="36" xfId="0" applyNumberFormat="1" applyFill="1" applyBorder="1" applyAlignment="1" applyProtection="1">
      <alignment horizontal="left" vertical="center"/>
      <protection hidden="1"/>
    </xf>
    <xf numFmtId="2" fontId="0" fillId="35" borderId="37" xfId="0" applyNumberFormat="1" applyFill="1" applyBorder="1" applyAlignment="1" applyProtection="1">
      <alignment horizontal="left" vertical="center"/>
      <protection hidden="1"/>
    </xf>
    <xf numFmtId="2" fontId="0" fillId="35" borderId="38" xfId="0" applyNumberFormat="1" applyFill="1" applyBorder="1" applyAlignment="1" applyProtection="1">
      <alignment horizontal="left" vertical="center"/>
      <protection hidden="1"/>
    </xf>
    <xf numFmtId="4" fontId="0" fillId="35" borderId="13" xfId="0" applyNumberFormat="1" applyFill="1" applyBorder="1" applyAlignment="1" applyProtection="1">
      <alignment vertical="center"/>
      <protection hidden="1"/>
    </xf>
    <xf numFmtId="4" fontId="0" fillId="35" borderId="73" xfId="0" applyNumberFormat="1" applyFill="1" applyBorder="1" applyAlignment="1" applyProtection="1">
      <alignment vertical="center"/>
      <protection hidden="1"/>
    </xf>
    <xf numFmtId="4" fontId="0" fillId="35" borderId="74" xfId="0" applyNumberFormat="1" applyFill="1" applyBorder="1" applyAlignment="1" applyProtection="1">
      <alignment vertical="center"/>
      <protection hidden="1"/>
    </xf>
    <xf numFmtId="4" fontId="0" fillId="35" borderId="19" xfId="0" applyNumberFormat="1" applyFill="1" applyBorder="1" applyAlignment="1" applyProtection="1">
      <alignment vertical="center"/>
      <protection hidden="1"/>
    </xf>
    <xf numFmtId="4" fontId="0" fillId="35" borderId="70" xfId="0" applyNumberFormat="1" applyFill="1" applyBorder="1" applyAlignment="1" applyProtection="1">
      <alignment vertical="center"/>
      <protection hidden="1"/>
    </xf>
    <xf numFmtId="0" fontId="0" fillId="35" borderId="81" xfId="0" applyFill="1" applyBorder="1" applyAlignment="1" applyProtection="1">
      <alignment vertical="center"/>
      <protection hidden="1"/>
    </xf>
    <xf numFmtId="0" fontId="0" fillId="35" borderId="34" xfId="0" applyFill="1" applyBorder="1" applyAlignment="1" applyProtection="1">
      <alignment vertical="center"/>
      <protection hidden="1"/>
    </xf>
    <xf numFmtId="0" fontId="0" fillId="35" borderId="77" xfId="0" applyFill="1" applyBorder="1" applyAlignment="1" applyProtection="1">
      <alignment vertical="center"/>
      <protection hidden="1"/>
    </xf>
    <xf numFmtId="0" fontId="0" fillId="33" borderId="14" xfId="0" applyFill="1" applyBorder="1" applyAlignment="1" applyProtection="1">
      <alignment vertical="center"/>
      <protection locked="0"/>
    </xf>
    <xf numFmtId="0" fontId="50" fillId="36" borderId="88" xfId="0" applyFont="1" applyFill="1" applyBorder="1" applyAlignment="1" applyProtection="1">
      <alignment vertical="center" wrapText="1"/>
      <protection hidden="1"/>
    </xf>
    <xf numFmtId="4" fontId="0" fillId="35" borderId="10" xfId="0" applyNumberFormat="1" applyFill="1" applyBorder="1" applyAlignment="1" applyProtection="1">
      <alignment horizontal="left" vertical="center"/>
      <protection hidden="1"/>
    </xf>
    <xf numFmtId="4" fontId="0" fillId="35" borderId="13" xfId="0" applyNumberFormat="1" applyFill="1" applyBorder="1" applyAlignment="1" applyProtection="1">
      <alignment horizontal="left" vertical="center"/>
      <protection hidden="1"/>
    </xf>
    <xf numFmtId="4" fontId="0" fillId="35" borderId="20" xfId="0" applyNumberFormat="1" applyFill="1" applyBorder="1" applyAlignment="1" applyProtection="1">
      <alignment horizontal="left" vertical="center"/>
      <protection hidden="1"/>
    </xf>
    <xf numFmtId="0" fontId="0" fillId="0" borderId="0" xfId="0" applyAlignment="1">
      <alignment vertical="center" wrapText="1"/>
    </xf>
    <xf numFmtId="0" fontId="0" fillId="64" borderId="0" xfId="0" applyFill="1"/>
    <xf numFmtId="0" fontId="0" fillId="64" borderId="71" xfId="0" applyFill="1" applyBorder="1"/>
    <xf numFmtId="0" fontId="0" fillId="33" borderId="21" xfId="0" applyFill="1" applyBorder="1" applyAlignment="1" applyProtection="1">
      <alignment horizontal="left" vertical="center"/>
      <protection locked="0"/>
    </xf>
    <xf numFmtId="0" fontId="0" fillId="62" borderId="0" xfId="0" applyFill="1" applyAlignment="1">
      <alignment vertical="center" wrapText="1"/>
    </xf>
    <xf numFmtId="0" fontId="0" fillId="0" borderId="10" xfId="0" applyBorder="1" applyAlignment="1">
      <alignment vertical="center" wrapText="1"/>
    </xf>
    <xf numFmtId="0" fontId="51" fillId="0" borderId="10" xfId="0" applyFont="1" applyBorder="1" applyAlignment="1">
      <alignment horizontal="left" vertical="center" wrapText="1"/>
    </xf>
    <xf numFmtId="0" fontId="0" fillId="62" borderId="10" xfId="0" applyFill="1" applyBorder="1" applyAlignment="1">
      <alignment vertical="center" wrapText="1"/>
    </xf>
    <xf numFmtId="0" fontId="0" fillId="0" borderId="89" xfId="0" applyBorder="1" applyAlignment="1">
      <alignment vertical="center" wrapText="1"/>
    </xf>
    <xf numFmtId="0" fontId="0" fillId="65" borderId="10" xfId="0" applyFill="1" applyBorder="1"/>
    <xf numFmtId="0" fontId="0" fillId="65" borderId="11" xfId="0" applyFill="1" applyBorder="1"/>
    <xf numFmtId="0" fontId="0" fillId="65" borderId="20" xfId="0" applyFill="1" applyBorder="1"/>
    <xf numFmtId="0" fontId="0" fillId="64" borderId="10" xfId="0" applyFill="1" applyBorder="1" applyAlignment="1">
      <alignment vertical="center" wrapText="1"/>
    </xf>
    <xf numFmtId="14" fontId="0" fillId="64" borderId="0" xfId="0" applyNumberFormat="1" applyFill="1"/>
    <xf numFmtId="14" fontId="0" fillId="64" borderId="71" xfId="0" applyNumberFormat="1" applyFill="1" applyBorder="1"/>
    <xf numFmtId="0" fontId="0" fillId="64" borderId="53" xfId="0" applyFill="1" applyBorder="1"/>
    <xf numFmtId="174" fontId="0" fillId="64" borderId="0" xfId="0" applyNumberFormat="1" applyFill="1"/>
    <xf numFmtId="174" fontId="0" fillId="64" borderId="71" xfId="0" applyNumberFormat="1" applyFill="1" applyBorder="1"/>
    <xf numFmtId="167" fontId="0" fillId="64" borderId="0" xfId="0" applyNumberFormat="1" applyFill="1"/>
    <xf numFmtId="167" fontId="0" fillId="64" borderId="71" xfId="0" applyNumberFormat="1" applyFill="1" applyBorder="1"/>
    <xf numFmtId="2" fontId="0" fillId="64" borderId="0" xfId="0" applyNumberFormat="1" applyFill="1"/>
    <xf numFmtId="2" fontId="0" fillId="64" borderId="71" xfId="0" applyNumberFormat="1" applyFill="1" applyBorder="1"/>
    <xf numFmtId="2" fontId="0" fillId="64" borderId="53" xfId="0" applyNumberFormat="1" applyFill="1" applyBorder="1"/>
    <xf numFmtId="173" fontId="0" fillId="64" borderId="0" xfId="0" applyNumberFormat="1" applyFill="1"/>
    <xf numFmtId="173" fontId="0" fillId="64" borderId="71" xfId="0" applyNumberFormat="1" applyFill="1" applyBorder="1"/>
    <xf numFmtId="175" fontId="0" fillId="64" borderId="53" xfId="0" applyNumberFormat="1" applyFill="1" applyBorder="1"/>
    <xf numFmtId="175" fontId="0" fillId="64" borderId="0" xfId="0" applyNumberFormat="1" applyFill="1"/>
    <xf numFmtId="175" fontId="0" fillId="64" borderId="71" xfId="0" applyNumberFormat="1" applyFill="1" applyBorder="1"/>
    <xf numFmtId="165" fontId="0" fillId="64" borderId="53" xfId="0" applyNumberFormat="1" applyFill="1" applyBorder="1"/>
    <xf numFmtId="165" fontId="0" fillId="64" borderId="0" xfId="0" applyNumberFormat="1" applyFill="1"/>
    <xf numFmtId="165" fontId="0" fillId="64" borderId="71" xfId="0" applyNumberFormat="1" applyFill="1" applyBorder="1"/>
    <xf numFmtId="167" fontId="0" fillId="64" borderId="53" xfId="0" applyNumberFormat="1" applyFill="1" applyBorder="1"/>
    <xf numFmtId="174" fontId="0" fillId="66" borderId="0" xfId="0" applyNumberFormat="1" applyFill="1"/>
    <xf numFmtId="0" fontId="0" fillId="66" borderId="53" xfId="0" applyFill="1" applyBorder="1"/>
    <xf numFmtId="0" fontId="0" fillId="66" borderId="0" xfId="0" applyFill="1"/>
    <xf numFmtId="0" fontId="0" fillId="66" borderId="71" xfId="0" applyFill="1" applyBorder="1"/>
    <xf numFmtId="175" fontId="0" fillId="66" borderId="53" xfId="0" applyNumberFormat="1" applyFill="1" applyBorder="1"/>
    <xf numFmtId="175" fontId="0" fillId="66" borderId="0" xfId="0" applyNumberFormat="1" applyFill="1"/>
    <xf numFmtId="175" fontId="0" fillId="66" borderId="71" xfId="0" applyNumberFormat="1" applyFill="1" applyBorder="1"/>
    <xf numFmtId="0" fontId="0" fillId="66" borderId="90" xfId="0" applyFill="1" applyBorder="1"/>
    <xf numFmtId="0" fontId="16" fillId="0" borderId="0" xfId="0" applyFont="1"/>
    <xf numFmtId="0" fontId="66" fillId="68" borderId="35" xfId="0" applyFont="1" applyFill="1" applyBorder="1" applyAlignment="1">
      <alignment horizontal="center" vertical="center"/>
    </xf>
    <xf numFmtId="0" fontId="0" fillId="0" borderId="91" xfId="0" applyBorder="1"/>
    <xf numFmtId="0" fontId="16" fillId="0" borderId="92" xfId="0" applyFont="1" applyBorder="1"/>
    <xf numFmtId="0" fontId="0" fillId="0" borderId="92" xfId="0" applyBorder="1"/>
    <xf numFmtId="0" fontId="0" fillId="0" borderId="93" xfId="0" applyBorder="1"/>
    <xf numFmtId="0" fontId="0" fillId="0" borderId="94" xfId="0" applyBorder="1"/>
    <xf numFmtId="0" fontId="0" fillId="0" borderId="95" xfId="0" applyBorder="1"/>
    <xf numFmtId="0" fontId="16" fillId="0" borderId="96" xfId="0" applyFont="1" applyBorder="1" applyAlignment="1">
      <alignment horizontal="center"/>
    </xf>
    <xf numFmtId="0" fontId="16" fillId="0" borderId="97" xfId="0" applyFont="1" applyBorder="1" applyAlignment="1">
      <alignment horizontal="center"/>
    </xf>
    <xf numFmtId="0" fontId="16" fillId="0" borderId="98" xfId="0" applyFont="1" applyBorder="1" applyAlignment="1">
      <alignment horizontal="center"/>
    </xf>
    <xf numFmtId="0" fontId="16" fillId="0" borderId="94" xfId="0" applyFont="1" applyBorder="1"/>
    <xf numFmtId="0" fontId="0" fillId="0" borderId="76" xfId="0" applyBorder="1" applyAlignment="1">
      <alignment horizontal="center"/>
    </xf>
    <xf numFmtId="0" fontId="0" fillId="0" borderId="32" xfId="0" applyBorder="1" applyAlignment="1">
      <alignment horizontal="center"/>
    </xf>
    <xf numFmtId="0" fontId="0" fillId="0" borderId="44" xfId="0" applyBorder="1" applyAlignment="1">
      <alignment horizontal="center"/>
    </xf>
    <xf numFmtId="0" fontId="0" fillId="70" borderId="0" xfId="0" applyFill="1"/>
    <xf numFmtId="0" fontId="0" fillId="0" borderId="18" xfId="0" applyBorder="1" applyAlignment="1">
      <alignment horizontal="center"/>
    </xf>
    <xf numFmtId="0" fontId="0" fillId="0" borderId="17" xfId="0" applyBorder="1" applyAlignment="1">
      <alignment horizontal="center"/>
    </xf>
    <xf numFmtId="0" fontId="0" fillId="0" borderId="69" xfId="0" applyBorder="1" applyAlignment="1">
      <alignment horizontal="center"/>
    </xf>
    <xf numFmtId="0" fontId="0" fillId="0" borderId="48" xfId="0" applyBorder="1" applyAlignment="1">
      <alignment horizontal="center"/>
    </xf>
    <xf numFmtId="0" fontId="0" fillId="0" borderId="21" xfId="0" applyBorder="1" applyAlignment="1">
      <alignment horizontal="center"/>
    </xf>
    <xf numFmtId="0" fontId="0" fillId="71" borderId="0" xfId="0" applyFill="1"/>
    <xf numFmtId="0" fontId="0" fillId="67" borderId="0" xfId="0" applyFill="1"/>
    <xf numFmtId="0" fontId="0" fillId="0" borderId="99" xfId="0" applyBorder="1"/>
    <xf numFmtId="0" fontId="0" fillId="0" borderId="100" xfId="0" applyBorder="1"/>
    <xf numFmtId="0" fontId="0" fillId="0" borderId="101" xfId="0" applyBorder="1"/>
    <xf numFmtId="0" fontId="0" fillId="33" borderId="44" xfId="0" applyFill="1" applyBorder="1" applyAlignment="1" applyProtection="1">
      <alignment horizontal="left" vertical="center"/>
      <protection locked="0"/>
    </xf>
    <xf numFmtId="0" fontId="0" fillId="33" borderId="43" xfId="0" applyFill="1" applyBorder="1" applyAlignment="1" applyProtection="1">
      <alignment horizontal="center" vertical="center"/>
      <protection locked="0"/>
    </xf>
    <xf numFmtId="0" fontId="51" fillId="35" borderId="20" xfId="0" applyFont="1" applyFill="1" applyBorder="1" applyAlignment="1" applyProtection="1">
      <alignment vertical="center"/>
      <protection hidden="1"/>
    </xf>
    <xf numFmtId="0" fontId="0" fillId="34" borderId="89" xfId="0" applyFill="1" applyBorder="1" applyAlignment="1">
      <alignment horizontal="center" vertical="top"/>
    </xf>
    <xf numFmtId="14" fontId="0" fillId="34" borderId="89" xfId="0" applyNumberFormat="1" applyFill="1" applyBorder="1" applyAlignment="1">
      <alignment horizontal="center" vertical="top"/>
    </xf>
    <xf numFmtId="0" fontId="0" fillId="34" borderId="89" xfId="0" applyFill="1" applyBorder="1" applyAlignment="1">
      <alignment horizontal="center" vertical="top" wrapText="1"/>
    </xf>
    <xf numFmtId="4" fontId="0" fillId="35" borderId="77" xfId="0" applyNumberFormat="1" applyFill="1" applyBorder="1" applyAlignment="1" applyProtection="1">
      <alignment horizontal="center" vertical="center"/>
      <protection hidden="1"/>
    </xf>
    <xf numFmtId="7" fontId="0" fillId="35" borderId="79" xfId="0" applyNumberFormat="1" applyFill="1" applyBorder="1" applyAlignment="1" applyProtection="1">
      <alignment horizontal="right" vertical="center"/>
      <protection hidden="1"/>
    </xf>
    <xf numFmtId="7" fontId="0" fillId="35" borderId="38" xfId="0" applyNumberFormat="1" applyFill="1" applyBorder="1" applyAlignment="1" applyProtection="1">
      <alignment horizontal="right" vertical="center"/>
      <protection hidden="1"/>
    </xf>
    <xf numFmtId="0" fontId="17" fillId="70" borderId="12" xfId="0" applyFont="1" applyFill="1" applyBorder="1" applyAlignment="1" applyProtection="1">
      <alignment horizontal="left" vertical="center" indent="1"/>
      <protection hidden="1"/>
    </xf>
    <xf numFmtId="0" fontId="17" fillId="70" borderId="15" xfId="0" applyFont="1" applyFill="1" applyBorder="1" applyAlignment="1" applyProtection="1">
      <alignment horizontal="left" vertical="center" indent="1"/>
      <protection hidden="1"/>
    </xf>
    <xf numFmtId="0" fontId="17" fillId="70" borderId="19" xfId="0" applyFont="1" applyFill="1" applyBorder="1" applyAlignment="1" applyProtection="1">
      <alignment horizontal="left" vertical="center" indent="1"/>
      <protection hidden="1"/>
    </xf>
    <xf numFmtId="0" fontId="17" fillId="70" borderId="35" xfId="0" applyFont="1" applyFill="1" applyBorder="1" applyAlignment="1" applyProtection="1">
      <alignment horizontal="left" vertical="center" indent="1"/>
      <protection hidden="1"/>
    </xf>
    <xf numFmtId="0" fontId="17" fillId="70" borderId="72" xfId="0" applyFont="1" applyFill="1" applyBorder="1" applyAlignment="1" applyProtection="1">
      <alignment horizontal="left" vertical="center" indent="1"/>
      <protection hidden="1"/>
    </xf>
    <xf numFmtId="0" fontId="17" fillId="70" borderId="51" xfId="0" applyFont="1" applyFill="1" applyBorder="1" applyAlignment="1" applyProtection="1">
      <alignment horizontal="left" vertical="center" indent="1"/>
      <protection hidden="1"/>
    </xf>
    <xf numFmtId="0" fontId="17" fillId="70" borderId="56" xfId="0" applyFont="1" applyFill="1" applyBorder="1" applyAlignment="1" applyProtection="1">
      <alignment horizontal="left" vertical="center" indent="1"/>
      <protection hidden="1"/>
    </xf>
    <xf numFmtId="0" fontId="17" fillId="70" borderId="66" xfId="0" applyFont="1" applyFill="1" applyBorder="1" applyAlignment="1" applyProtection="1">
      <alignment horizontal="left" vertical="center" indent="1"/>
      <protection hidden="1"/>
    </xf>
    <xf numFmtId="0" fontId="17" fillId="70" borderId="0" xfId="0" applyFont="1" applyFill="1" applyAlignment="1" applyProtection="1">
      <alignment vertical="center"/>
      <protection hidden="1"/>
    </xf>
    <xf numFmtId="164" fontId="17" fillId="70" borderId="45" xfId="1" applyNumberFormat="1" applyFont="1" applyFill="1" applyBorder="1" applyAlignment="1" applyProtection="1">
      <alignment horizontal="center" vertical="center"/>
      <protection hidden="1"/>
    </xf>
    <xf numFmtId="0" fontId="17" fillId="70" borderId="65" xfId="0" applyFont="1" applyFill="1" applyBorder="1" applyAlignment="1" applyProtection="1">
      <alignment horizontal="center" vertical="center"/>
      <protection hidden="1"/>
    </xf>
    <xf numFmtId="0" fontId="17" fillId="70" borderId="46" xfId="0" applyFont="1" applyFill="1" applyBorder="1" applyAlignment="1" applyProtection="1">
      <alignment horizontal="center" vertical="center"/>
      <protection hidden="1"/>
    </xf>
    <xf numFmtId="0" fontId="17" fillId="70" borderId="47" xfId="0" applyFont="1" applyFill="1" applyBorder="1" applyAlignment="1" applyProtection="1">
      <alignment vertical="center"/>
      <protection hidden="1"/>
    </xf>
    <xf numFmtId="0" fontId="17" fillId="70" borderId="35" xfId="0" applyFont="1" applyFill="1" applyBorder="1" applyAlignment="1" applyProtection="1">
      <alignment horizontal="center" vertical="center"/>
      <protection hidden="1"/>
    </xf>
    <xf numFmtId="0" fontId="13" fillId="70" borderId="40" xfId="0" applyFont="1" applyFill="1" applyBorder="1" applyAlignment="1" applyProtection="1">
      <alignment vertical="center"/>
      <protection hidden="1"/>
    </xf>
    <xf numFmtId="0" fontId="13" fillId="70" borderId="40" xfId="0" applyFont="1" applyFill="1" applyBorder="1" applyAlignment="1" applyProtection="1">
      <alignment horizontal="left" vertical="center" wrapText="1"/>
      <protection hidden="1"/>
    </xf>
    <xf numFmtId="0" fontId="13" fillId="70" borderId="45" xfId="0" applyFont="1" applyFill="1" applyBorder="1" applyAlignment="1" applyProtection="1">
      <alignment horizontal="left" vertical="center" wrapText="1"/>
      <protection hidden="1"/>
    </xf>
    <xf numFmtId="0" fontId="13" fillId="70" borderId="54" xfId="0" applyFont="1" applyFill="1" applyBorder="1" applyAlignment="1" applyProtection="1">
      <alignment horizontal="left" vertical="center" wrapText="1"/>
      <protection hidden="1"/>
    </xf>
    <xf numFmtId="0" fontId="13" fillId="70" borderId="46" xfId="0" applyFont="1" applyFill="1" applyBorder="1" applyAlignment="1" applyProtection="1">
      <alignment horizontal="left" vertical="center" wrapText="1"/>
      <protection hidden="1"/>
    </xf>
    <xf numFmtId="0" fontId="13" fillId="70" borderId="46" xfId="0" applyFont="1" applyFill="1" applyBorder="1" applyAlignment="1" applyProtection="1">
      <alignment vertical="center" wrapText="1"/>
      <protection hidden="1"/>
    </xf>
    <xf numFmtId="0" fontId="13" fillId="70" borderId="47" xfId="0" applyFont="1" applyFill="1" applyBorder="1" applyAlignment="1" applyProtection="1">
      <alignment vertical="center" wrapText="1"/>
      <protection hidden="1"/>
    </xf>
    <xf numFmtId="0" fontId="13" fillId="70" borderId="54" xfId="0" applyFont="1" applyFill="1" applyBorder="1" applyAlignment="1" applyProtection="1">
      <alignment vertical="center" wrapText="1"/>
      <protection hidden="1"/>
    </xf>
    <xf numFmtId="0" fontId="13" fillId="70" borderId="65" xfId="0" applyFont="1" applyFill="1" applyBorder="1" applyAlignment="1" applyProtection="1">
      <alignment vertical="center" wrapText="1"/>
      <protection hidden="1"/>
    </xf>
    <xf numFmtId="0" fontId="13" fillId="70" borderId="45" xfId="0" applyFont="1" applyFill="1" applyBorder="1" applyAlignment="1" applyProtection="1">
      <alignment vertical="center" wrapText="1"/>
      <protection hidden="1"/>
    </xf>
    <xf numFmtId="14" fontId="17" fillId="70" borderId="0" xfId="0" applyNumberFormat="1" applyFont="1" applyFill="1" applyAlignment="1" applyProtection="1">
      <alignment vertical="center"/>
      <protection hidden="1"/>
    </xf>
    <xf numFmtId="14" fontId="13" fillId="70" borderId="61" xfId="0" applyNumberFormat="1" applyFont="1" applyFill="1" applyBorder="1" applyAlignment="1" applyProtection="1">
      <alignment vertical="center" wrapText="1"/>
      <protection hidden="1"/>
    </xf>
    <xf numFmtId="14" fontId="13" fillId="70" borderId="67" xfId="0" applyNumberFormat="1" applyFont="1" applyFill="1" applyBorder="1" applyAlignment="1" applyProtection="1">
      <alignment vertical="center" wrapText="1"/>
      <protection hidden="1"/>
    </xf>
    <xf numFmtId="14" fontId="13" fillId="70" borderId="62" xfId="0" applyNumberFormat="1" applyFont="1" applyFill="1" applyBorder="1" applyAlignment="1" applyProtection="1">
      <alignment vertical="center" wrapText="1"/>
      <protection hidden="1"/>
    </xf>
    <xf numFmtId="14" fontId="13" fillId="70" borderId="63" xfId="0" applyNumberFormat="1" applyFont="1" applyFill="1" applyBorder="1" applyAlignment="1" applyProtection="1">
      <alignment vertical="center" wrapText="1"/>
      <protection hidden="1"/>
    </xf>
    <xf numFmtId="14" fontId="13" fillId="70" borderId="83" xfId="0" applyNumberFormat="1" applyFont="1" applyFill="1" applyBorder="1" applyAlignment="1" applyProtection="1">
      <alignment vertical="center" wrapText="1"/>
      <protection hidden="1"/>
    </xf>
    <xf numFmtId="14" fontId="17" fillId="70" borderId="0" xfId="0" applyNumberFormat="1" applyFont="1" applyFill="1" applyAlignment="1" applyProtection="1">
      <alignment vertical="center" wrapText="1"/>
      <protection hidden="1"/>
    </xf>
    <xf numFmtId="0" fontId="72" fillId="70" borderId="57" xfId="0" applyFont="1" applyFill="1" applyBorder="1" applyAlignment="1" applyProtection="1">
      <alignment vertical="center"/>
      <protection hidden="1"/>
    </xf>
    <xf numFmtId="0" fontId="72" fillId="70" borderId="53" xfId="0" applyFont="1" applyFill="1" applyBorder="1" applyAlignment="1" applyProtection="1">
      <alignment vertical="center"/>
      <protection hidden="1"/>
    </xf>
    <xf numFmtId="0" fontId="72" fillId="70" borderId="60" xfId="0" applyFont="1" applyFill="1" applyBorder="1" applyAlignment="1" applyProtection="1">
      <alignment vertical="center"/>
      <protection hidden="1"/>
    </xf>
    <xf numFmtId="0" fontId="13" fillId="70" borderId="84" xfId="0" applyFont="1" applyFill="1" applyBorder="1" applyAlignment="1" applyProtection="1">
      <alignment vertical="center" wrapText="1"/>
      <protection hidden="1"/>
    </xf>
    <xf numFmtId="0" fontId="13" fillId="70" borderId="85" xfId="0" applyFont="1" applyFill="1" applyBorder="1" applyAlignment="1" applyProtection="1">
      <alignment vertical="center" wrapText="1"/>
      <protection hidden="1"/>
    </xf>
    <xf numFmtId="0" fontId="13" fillId="70" borderId="61" xfId="0" applyFont="1" applyFill="1" applyBorder="1" applyAlignment="1" applyProtection="1">
      <alignment vertical="center" wrapText="1"/>
      <protection hidden="1"/>
    </xf>
    <xf numFmtId="0" fontId="17" fillId="70" borderId="0" xfId="0" applyFont="1" applyFill="1" applyAlignment="1" applyProtection="1">
      <alignment vertical="center" wrapText="1"/>
      <protection hidden="1"/>
    </xf>
    <xf numFmtId="0" fontId="74" fillId="34" borderId="0" xfId="0" applyFont="1" applyFill="1" applyAlignment="1" applyProtection="1">
      <alignment horizontal="center" vertical="center" wrapText="1"/>
      <protection hidden="1"/>
    </xf>
    <xf numFmtId="0" fontId="74" fillId="34" borderId="0" xfId="0" applyFont="1" applyFill="1" applyProtection="1">
      <protection hidden="1"/>
    </xf>
    <xf numFmtId="0" fontId="74" fillId="34" borderId="0" xfId="0" applyFont="1" applyFill="1" applyAlignment="1" applyProtection="1">
      <alignment horizontal="left" vertical="center" wrapText="1"/>
      <protection hidden="1"/>
    </xf>
    <xf numFmtId="3" fontId="17" fillId="70" borderId="61" xfId="0" applyNumberFormat="1" applyFont="1" applyFill="1" applyBorder="1" applyAlignment="1" applyProtection="1">
      <alignment horizontal="center" vertical="center"/>
      <protection hidden="1"/>
    </xf>
    <xf numFmtId="4" fontId="17" fillId="70" borderId="83" xfId="0" applyNumberFormat="1" applyFont="1" applyFill="1" applyBorder="1" applyAlignment="1" applyProtection="1">
      <alignment horizontal="center" vertical="center"/>
      <protection hidden="1"/>
    </xf>
    <xf numFmtId="4" fontId="17" fillId="70" borderId="62" xfId="0" applyNumberFormat="1" applyFont="1" applyFill="1" applyBorder="1" applyAlignment="1" applyProtection="1">
      <alignment horizontal="center" vertical="center"/>
      <protection hidden="1"/>
    </xf>
    <xf numFmtId="7" fontId="17" fillId="70" borderId="47" xfId="0" applyNumberFormat="1" applyFont="1" applyFill="1" applyBorder="1" applyAlignment="1" applyProtection="1">
      <alignment horizontal="right" vertical="center"/>
      <protection hidden="1"/>
    </xf>
    <xf numFmtId="7" fontId="17" fillId="70" borderId="35" xfId="0" applyNumberFormat="1" applyFont="1" applyFill="1" applyBorder="1" applyAlignment="1" applyProtection="1">
      <alignment horizontal="right" vertical="center"/>
      <protection hidden="1"/>
    </xf>
    <xf numFmtId="0" fontId="0" fillId="33" borderId="10" xfId="0" applyFill="1" applyBorder="1" applyAlignment="1" applyProtection="1">
      <alignment horizontal="left" vertical="center"/>
      <protection locked="0"/>
    </xf>
    <xf numFmtId="0" fontId="0" fillId="33" borderId="17" xfId="0" applyFill="1" applyBorder="1" applyAlignment="1" applyProtection="1">
      <alignment horizontal="left" vertical="center"/>
      <protection locked="0"/>
    </xf>
    <xf numFmtId="0" fontId="0" fillId="33" borderId="20" xfId="0" applyFill="1" applyBorder="1" applyAlignment="1" applyProtection="1">
      <alignment horizontal="left" vertical="center"/>
      <protection locked="0"/>
    </xf>
    <xf numFmtId="0" fontId="0" fillId="33" borderId="21" xfId="0" applyFill="1" applyBorder="1" applyAlignment="1" applyProtection="1">
      <alignment horizontal="left" vertical="center"/>
      <protection locked="0"/>
    </xf>
    <xf numFmtId="14" fontId="0" fillId="33" borderId="10" xfId="0" applyNumberFormat="1" applyFill="1" applyBorder="1" applyAlignment="1" applyProtection="1">
      <alignment horizontal="left" vertical="center"/>
      <protection locked="0"/>
    </xf>
    <xf numFmtId="0" fontId="57" fillId="34" borderId="0" xfId="0" applyFont="1" applyFill="1" applyAlignment="1" applyProtection="1">
      <alignment horizontal="left"/>
      <protection hidden="1"/>
    </xf>
    <xf numFmtId="0" fontId="29" fillId="34" borderId="0" xfId="0" applyFont="1" applyFill="1" applyAlignment="1" applyProtection="1">
      <alignment horizontal="left" vertical="center" wrapText="1"/>
      <protection hidden="1"/>
    </xf>
    <xf numFmtId="14" fontId="0" fillId="33" borderId="13" xfId="0" applyNumberFormat="1" applyFill="1" applyBorder="1" applyAlignment="1" applyProtection="1">
      <alignment horizontal="left" vertical="center"/>
      <protection locked="0"/>
    </xf>
    <xf numFmtId="14" fontId="0" fillId="33" borderId="14" xfId="0" applyNumberFormat="1" applyFill="1" applyBorder="1" applyAlignment="1" applyProtection="1">
      <alignment horizontal="left" vertical="center"/>
      <protection locked="0"/>
    </xf>
    <xf numFmtId="166" fontId="0" fillId="33" borderId="10" xfId="0" applyNumberFormat="1" applyFill="1" applyBorder="1" applyAlignment="1" applyProtection="1">
      <alignment horizontal="left" vertical="center"/>
      <protection locked="0"/>
    </xf>
    <xf numFmtId="166" fontId="0" fillId="33" borderId="17" xfId="0" applyNumberFormat="1" applyFill="1" applyBorder="1" applyAlignment="1" applyProtection="1">
      <alignment horizontal="left" vertical="center"/>
      <protection locked="0"/>
    </xf>
    <xf numFmtId="0" fontId="0" fillId="35" borderId="10" xfId="0" applyFill="1" applyBorder="1" applyAlignment="1">
      <alignment horizontal="left" vertical="center"/>
    </xf>
    <xf numFmtId="0" fontId="0" fillId="35" borderId="17" xfId="0" applyFill="1" applyBorder="1" applyAlignment="1">
      <alignment horizontal="left" vertical="center"/>
    </xf>
    <xf numFmtId="0" fontId="0" fillId="67" borderId="0" xfId="0" applyFill="1" applyAlignment="1">
      <alignment horizontal="center" vertical="top"/>
    </xf>
    <xf numFmtId="0" fontId="0" fillId="34" borderId="16" xfId="0" applyFill="1" applyBorder="1" applyAlignment="1" applyProtection="1">
      <alignment vertical="center" wrapText="1"/>
      <protection hidden="1"/>
    </xf>
    <xf numFmtId="0" fontId="0" fillId="34" borderId="18" xfId="0" applyFill="1" applyBorder="1" applyAlignment="1" applyProtection="1">
      <alignment vertical="center" wrapText="1"/>
      <protection hidden="1"/>
    </xf>
    <xf numFmtId="0" fontId="56" fillId="34" borderId="0" xfId="43" applyFont="1" applyFill="1" applyAlignment="1" applyProtection="1">
      <alignment horizontal="left" vertical="center"/>
      <protection hidden="1"/>
    </xf>
    <xf numFmtId="0" fontId="0" fillId="34" borderId="10" xfId="0" applyFill="1" applyBorder="1" applyAlignment="1" applyProtection="1">
      <alignment vertical="center" wrapText="1"/>
      <protection hidden="1"/>
    </xf>
    <xf numFmtId="0" fontId="0" fillId="34" borderId="16" xfId="0" applyFill="1" applyBorder="1" applyAlignment="1" applyProtection="1">
      <alignment horizontal="left" vertical="center" wrapText="1"/>
      <protection hidden="1"/>
    </xf>
    <xf numFmtId="0" fontId="0" fillId="34" borderId="18" xfId="0" applyFill="1" applyBorder="1" applyAlignment="1" applyProtection="1">
      <alignment horizontal="left" vertical="center" wrapText="1"/>
      <protection hidden="1"/>
    </xf>
    <xf numFmtId="0" fontId="22" fillId="34" borderId="0" xfId="43" applyFont="1" applyFill="1" applyAlignment="1" applyProtection="1">
      <alignment horizontal="left" vertical="center" wrapText="1"/>
      <protection hidden="1"/>
    </xf>
    <xf numFmtId="0" fontId="22" fillId="34" borderId="0" xfId="43" applyFont="1" applyFill="1" applyAlignment="1" applyProtection="1">
      <alignment vertical="center" wrapText="1"/>
      <protection hidden="1"/>
    </xf>
    <xf numFmtId="0" fontId="56" fillId="34" borderId="22" xfId="43" applyFont="1" applyFill="1" applyBorder="1" applyAlignment="1" applyProtection="1">
      <alignment horizontal="left" vertical="center"/>
      <protection hidden="1"/>
    </xf>
    <xf numFmtId="0" fontId="0" fillId="33" borderId="10" xfId="0" applyFill="1" applyBorder="1" applyAlignment="1" applyProtection="1">
      <alignment horizontal="left" vertical="center" indent="1"/>
      <protection hidden="1"/>
    </xf>
    <xf numFmtId="0" fontId="0" fillId="35" borderId="10" xfId="0" applyFill="1" applyBorder="1" applyAlignment="1" applyProtection="1">
      <alignment horizontal="left" vertical="center" indent="1"/>
      <protection hidden="1"/>
    </xf>
    <xf numFmtId="0" fontId="50" fillId="36" borderId="68" xfId="0" applyFont="1" applyFill="1" applyBorder="1" applyAlignment="1" applyProtection="1">
      <alignment horizontal="center" vertical="center" wrapText="1"/>
      <protection hidden="1"/>
    </xf>
    <xf numFmtId="0" fontId="50" fillId="36" borderId="76" xfId="0" applyFont="1" applyFill="1" applyBorder="1" applyAlignment="1" applyProtection="1">
      <alignment horizontal="center" vertical="center" wrapText="1"/>
      <protection hidden="1"/>
    </xf>
    <xf numFmtId="14" fontId="50" fillId="36" borderId="40" xfId="0" applyNumberFormat="1" applyFont="1" applyFill="1" applyBorder="1" applyAlignment="1" applyProtection="1">
      <alignment horizontal="center" vertical="center"/>
      <protection hidden="1"/>
    </xf>
    <xf numFmtId="14" fontId="50" fillId="36" borderId="41" xfId="0" applyNumberFormat="1" applyFont="1" applyFill="1" applyBorder="1" applyAlignment="1" applyProtection="1">
      <alignment horizontal="center" vertical="center"/>
      <protection hidden="1"/>
    </xf>
    <xf numFmtId="14" fontId="50" fillId="36" borderId="42" xfId="0" applyNumberFormat="1" applyFont="1" applyFill="1" applyBorder="1" applyAlignment="1" applyProtection="1">
      <alignment horizontal="center" vertical="center"/>
      <protection hidden="1"/>
    </xf>
    <xf numFmtId="0" fontId="50" fillId="36" borderId="40" xfId="0" applyFont="1" applyFill="1" applyBorder="1" applyAlignment="1" applyProtection="1">
      <alignment horizontal="center" vertical="center"/>
      <protection hidden="1"/>
    </xf>
    <xf numFmtId="0" fontId="50" fillId="36" borderId="41" xfId="0" applyFont="1" applyFill="1" applyBorder="1" applyAlignment="1" applyProtection="1">
      <alignment horizontal="center" vertical="center"/>
      <protection hidden="1"/>
    </xf>
    <xf numFmtId="0" fontId="50" fillId="36" borderId="42" xfId="0" applyFont="1" applyFill="1" applyBorder="1" applyAlignment="1" applyProtection="1">
      <alignment horizontal="center" vertical="center"/>
      <protection hidden="1"/>
    </xf>
    <xf numFmtId="0" fontId="13" fillId="70" borderId="68" xfId="0" applyFont="1" applyFill="1" applyBorder="1" applyAlignment="1" applyProtection="1">
      <alignment horizontal="center" vertical="center" wrapText="1"/>
      <protection hidden="1"/>
    </xf>
    <xf numFmtId="0" fontId="13" fillId="70" borderId="87" xfId="0" applyFont="1" applyFill="1" applyBorder="1" applyAlignment="1" applyProtection="1">
      <alignment horizontal="center" vertical="center" wrapText="1"/>
      <protection hidden="1"/>
    </xf>
    <xf numFmtId="0" fontId="13" fillId="70" borderId="40" xfId="0" applyFont="1" applyFill="1" applyBorder="1" applyAlignment="1" applyProtection="1">
      <alignment horizontal="left" vertical="center"/>
      <protection hidden="1"/>
    </xf>
    <xf numFmtId="0" fontId="13" fillId="70" borderId="42" xfId="0" applyFont="1" applyFill="1" applyBorder="1" applyAlignment="1" applyProtection="1">
      <alignment horizontal="left" vertical="center"/>
      <protection hidden="1"/>
    </xf>
    <xf numFmtId="0" fontId="73" fillId="34" borderId="0" xfId="0" applyFont="1" applyFill="1" applyAlignment="1" applyProtection="1">
      <alignment horizontal="left"/>
      <protection hidden="1"/>
    </xf>
    <xf numFmtId="0" fontId="74" fillId="34" borderId="0" xfId="0" applyFont="1" applyFill="1" applyAlignment="1" applyProtection="1">
      <alignment horizontal="left" vertical="center" wrapText="1"/>
      <protection hidden="1"/>
    </xf>
    <xf numFmtId="0" fontId="13" fillId="70" borderId="41" xfId="0" applyFont="1" applyFill="1" applyBorder="1" applyAlignment="1" applyProtection="1">
      <alignment horizontal="left" vertical="center"/>
      <protection hidden="1"/>
    </xf>
    <xf numFmtId="0" fontId="13" fillId="70" borderId="40" xfId="0" applyFont="1" applyFill="1" applyBorder="1" applyAlignment="1" applyProtection="1">
      <alignment horizontal="center" vertical="center"/>
      <protection hidden="1"/>
    </xf>
    <xf numFmtId="0" fontId="13" fillId="70" borderId="41" xfId="0" applyFont="1" applyFill="1" applyBorder="1" applyAlignment="1" applyProtection="1">
      <alignment horizontal="center" vertical="center"/>
      <protection hidden="1"/>
    </xf>
    <xf numFmtId="0" fontId="13" fillId="70" borderId="42" xfId="0" applyFont="1" applyFill="1" applyBorder="1" applyAlignment="1" applyProtection="1">
      <alignment horizontal="center" vertical="center"/>
      <protection hidden="1"/>
    </xf>
    <xf numFmtId="0" fontId="50" fillId="36" borderId="69" xfId="0" applyFont="1" applyFill="1" applyBorder="1" applyAlignment="1" applyProtection="1">
      <alignment horizontal="center" vertical="center" wrapText="1"/>
      <protection hidden="1"/>
    </xf>
    <xf numFmtId="0" fontId="52" fillId="36" borderId="57" xfId="0" applyFont="1" applyFill="1" applyBorder="1" applyAlignment="1" applyProtection="1">
      <alignment horizontal="left" vertical="center"/>
      <protection hidden="1"/>
    </xf>
    <xf numFmtId="0" fontId="52" fillId="36" borderId="60" xfId="0" applyFont="1" applyFill="1" applyBorder="1" applyAlignment="1" applyProtection="1">
      <alignment horizontal="left" vertical="center"/>
      <protection hidden="1"/>
    </xf>
    <xf numFmtId="0" fontId="29" fillId="34" borderId="0" xfId="0" applyFont="1" applyFill="1" applyAlignment="1" applyProtection="1">
      <alignment horizontal="center" vertical="center" wrapText="1"/>
      <protection hidden="1"/>
    </xf>
    <xf numFmtId="0" fontId="52" fillId="36" borderId="40" xfId="0" applyFont="1" applyFill="1" applyBorder="1" applyAlignment="1" applyProtection="1">
      <alignment horizontal="left" vertical="center"/>
      <protection hidden="1"/>
    </xf>
    <xf numFmtId="0" fontId="52" fillId="36" borderId="41" xfId="0" applyFont="1" applyFill="1" applyBorder="1" applyAlignment="1" applyProtection="1">
      <alignment horizontal="left" vertical="center"/>
      <protection hidden="1"/>
    </xf>
    <xf numFmtId="0" fontId="52" fillId="36" borderId="42" xfId="0" applyFont="1" applyFill="1" applyBorder="1" applyAlignment="1" applyProtection="1">
      <alignment horizontal="left" vertical="center"/>
      <protection hidden="1"/>
    </xf>
    <xf numFmtId="0" fontId="52" fillId="36" borderId="40" xfId="0" applyFont="1" applyFill="1" applyBorder="1" applyAlignment="1" applyProtection="1">
      <alignment horizontal="center" vertical="center"/>
      <protection hidden="1"/>
    </xf>
    <xf numFmtId="0" fontId="52" fillId="36" borderId="41" xfId="0" applyFont="1" applyFill="1" applyBorder="1" applyAlignment="1" applyProtection="1">
      <alignment horizontal="center" vertical="center"/>
      <protection hidden="1"/>
    </xf>
    <xf numFmtId="0" fontId="52" fillId="36" borderId="42" xfId="0" applyFont="1" applyFill="1" applyBorder="1" applyAlignment="1" applyProtection="1">
      <alignment horizontal="center" vertical="center"/>
      <protection hidden="1"/>
    </xf>
    <xf numFmtId="14" fontId="13" fillId="70" borderId="40" xfId="0" applyNumberFormat="1" applyFont="1" applyFill="1" applyBorder="1" applyAlignment="1" applyProtection="1">
      <alignment horizontal="left" vertical="center"/>
      <protection hidden="1"/>
    </xf>
    <xf numFmtId="14" fontId="13" fillId="70" borderId="41" xfId="0" applyNumberFormat="1" applyFont="1" applyFill="1" applyBorder="1" applyAlignment="1" applyProtection="1">
      <alignment horizontal="left" vertical="center"/>
      <protection hidden="1"/>
    </xf>
    <xf numFmtId="14" fontId="13" fillId="70" borderId="42" xfId="0" applyNumberFormat="1" applyFont="1" applyFill="1" applyBorder="1" applyAlignment="1" applyProtection="1">
      <alignment horizontal="left" vertical="center"/>
      <protection hidden="1"/>
    </xf>
    <xf numFmtId="14" fontId="13" fillId="70" borderId="68" xfId="0" applyNumberFormat="1" applyFont="1" applyFill="1" applyBorder="1" applyAlignment="1" applyProtection="1">
      <alignment horizontal="center" vertical="center" wrapText="1"/>
      <protection hidden="1"/>
    </xf>
    <xf numFmtId="14" fontId="13" fillId="70" borderId="69" xfId="0" applyNumberFormat="1" applyFont="1" applyFill="1" applyBorder="1" applyAlignment="1" applyProtection="1">
      <alignment horizontal="center" vertical="center" wrapText="1"/>
      <protection hidden="1"/>
    </xf>
    <xf numFmtId="0" fontId="74" fillId="34" borderId="0" xfId="0" applyFont="1" applyFill="1" applyAlignment="1" applyProtection="1">
      <alignment horizontal="center" vertical="center" wrapText="1"/>
      <protection hidden="1"/>
    </xf>
    <xf numFmtId="0" fontId="13" fillId="70" borderId="69" xfId="0" applyFont="1" applyFill="1" applyBorder="1" applyAlignment="1" applyProtection="1">
      <alignment horizontal="center" vertical="center" wrapText="1"/>
      <protection hidden="1"/>
    </xf>
    <xf numFmtId="0" fontId="72" fillId="70" borderId="40" xfId="0" applyFont="1" applyFill="1" applyBorder="1" applyAlignment="1" applyProtection="1">
      <alignment horizontal="left" vertical="center"/>
      <protection hidden="1"/>
    </xf>
    <xf numFmtId="0" fontId="72" fillId="70" borderId="41" xfId="0" applyFont="1" applyFill="1" applyBorder="1" applyAlignment="1" applyProtection="1">
      <alignment horizontal="left" vertical="center"/>
      <protection hidden="1"/>
    </xf>
    <xf numFmtId="0" fontId="72" fillId="70" borderId="53" xfId="0" applyFont="1" applyFill="1" applyBorder="1" applyAlignment="1" applyProtection="1">
      <alignment horizontal="left" vertical="center"/>
      <protection hidden="1"/>
    </xf>
    <xf numFmtId="0" fontId="72" fillId="70" borderId="60" xfId="0" applyFont="1" applyFill="1" applyBorder="1" applyAlignment="1" applyProtection="1">
      <alignment horizontal="left" vertical="center"/>
      <protection hidden="1"/>
    </xf>
    <xf numFmtId="14" fontId="50" fillId="36" borderId="57" xfId="0" applyNumberFormat="1" applyFont="1" applyFill="1" applyBorder="1" applyAlignment="1" applyProtection="1">
      <alignment horizontal="left" vertical="center"/>
      <protection hidden="1"/>
    </xf>
    <xf numFmtId="14" fontId="50" fillId="36" borderId="53" xfId="0" applyNumberFormat="1" applyFont="1" applyFill="1" applyBorder="1" applyAlignment="1" applyProtection="1">
      <alignment horizontal="left" vertical="center"/>
      <protection hidden="1"/>
    </xf>
    <xf numFmtId="14" fontId="50" fillId="36" borderId="60" xfId="0" applyNumberFormat="1" applyFont="1" applyFill="1" applyBorder="1" applyAlignment="1" applyProtection="1">
      <alignment horizontal="left" vertical="center"/>
      <protection hidden="1"/>
    </xf>
    <xf numFmtId="0" fontId="50" fillId="36" borderId="40" xfId="0" applyFont="1" applyFill="1" applyBorder="1" applyAlignment="1" applyProtection="1">
      <alignment horizontal="left" vertical="center"/>
      <protection hidden="1"/>
    </xf>
    <xf numFmtId="0" fontId="50" fillId="36" borderId="41" xfId="0" applyFont="1" applyFill="1" applyBorder="1" applyAlignment="1" applyProtection="1">
      <alignment horizontal="left" vertical="center"/>
      <protection hidden="1"/>
    </xf>
    <xf numFmtId="0" fontId="50" fillId="36" borderId="42" xfId="0" applyFont="1" applyFill="1" applyBorder="1" applyAlignment="1" applyProtection="1">
      <alignment horizontal="left" vertical="center"/>
      <protection hidden="1"/>
    </xf>
    <xf numFmtId="0" fontId="53" fillId="34" borderId="0" xfId="0" applyFont="1" applyFill="1" applyAlignment="1">
      <alignment horizontal="left" vertical="center" wrapText="1"/>
    </xf>
    <xf numFmtId="0" fontId="52" fillId="34" borderId="0" xfId="0" applyFont="1" applyFill="1" applyAlignment="1">
      <alignment horizontal="left"/>
    </xf>
    <xf numFmtId="0" fontId="18" fillId="36" borderId="40" xfId="0" applyFont="1" applyFill="1" applyBorder="1" applyAlignment="1">
      <alignment horizontal="left"/>
    </xf>
    <xf numFmtId="0" fontId="18" fillId="36" borderId="41" xfId="0" applyFont="1" applyFill="1" applyBorder="1" applyAlignment="1">
      <alignment horizontal="left"/>
    </xf>
    <xf numFmtId="0" fontId="18" fillId="36" borderId="42" xfId="0" applyFont="1" applyFill="1" applyBorder="1" applyAlignment="1">
      <alignment horizontal="left"/>
    </xf>
    <xf numFmtId="0" fontId="18" fillId="36" borderId="45" xfId="0" applyFont="1" applyFill="1" applyBorder="1" applyAlignment="1">
      <alignment horizontal="left"/>
    </xf>
    <xf numFmtId="0" fontId="18" fillId="36" borderId="46" xfId="0" applyFont="1" applyFill="1" applyBorder="1" applyAlignment="1">
      <alignment horizontal="left"/>
    </xf>
    <xf numFmtId="0" fontId="18" fillId="36" borderId="47" xfId="0" applyFont="1" applyFill="1" applyBorder="1" applyAlignment="1">
      <alignment horizontal="left"/>
    </xf>
    <xf numFmtId="0" fontId="18" fillId="36" borderId="40" xfId="0" applyFont="1" applyFill="1" applyBorder="1" applyAlignment="1">
      <alignment horizontal="left" vertical="center"/>
    </xf>
    <xf numFmtId="0" fontId="18" fillId="36" borderId="41" xfId="0" applyFont="1" applyFill="1" applyBorder="1" applyAlignment="1">
      <alignment horizontal="left" vertical="center"/>
    </xf>
    <xf numFmtId="0" fontId="18" fillId="36" borderId="42" xfId="0" applyFont="1" applyFill="1" applyBorder="1" applyAlignment="1">
      <alignment horizontal="left" vertical="center"/>
    </xf>
    <xf numFmtId="0" fontId="18" fillId="36" borderId="40" xfId="0" applyFont="1" applyFill="1" applyBorder="1" applyAlignment="1">
      <alignment horizontal="center"/>
    </xf>
    <xf numFmtId="0" fontId="18" fillId="36" borderId="41" xfId="0" applyFont="1" applyFill="1" applyBorder="1" applyAlignment="1">
      <alignment horizontal="center"/>
    </xf>
    <xf numFmtId="0" fontId="18" fillId="36" borderId="54" xfId="0" applyFont="1" applyFill="1" applyBorder="1" applyAlignment="1">
      <alignment horizontal="center"/>
    </xf>
    <xf numFmtId="0" fontId="18" fillId="59" borderId="40" xfId="0" applyFont="1" applyFill="1" applyBorder="1" applyAlignment="1">
      <alignment horizontal="left"/>
    </xf>
    <xf numFmtId="0" fontId="18" fillId="59" borderId="42" xfId="0" applyFont="1" applyFill="1" applyBorder="1" applyAlignment="1">
      <alignment horizontal="left"/>
    </xf>
    <xf numFmtId="0" fontId="59" fillId="60" borderId="68" xfId="0" applyFont="1" applyFill="1" applyBorder="1" applyAlignment="1">
      <alignment horizontal="left" vertical="center" wrapText="1"/>
    </xf>
    <xf numFmtId="0" fontId="59" fillId="60" borderId="69" xfId="0" applyFont="1" applyFill="1" applyBorder="1" applyAlignment="1">
      <alignment horizontal="left" vertical="center" wrapText="1"/>
    </xf>
    <xf numFmtId="0" fontId="60" fillId="60" borderId="40" xfId="0" applyFont="1" applyFill="1" applyBorder="1" applyAlignment="1">
      <alignment horizontal="center" vertical="center" wrapText="1"/>
    </xf>
    <xf numFmtId="0" fontId="60" fillId="60" borderId="42" xfId="0" applyFont="1" applyFill="1" applyBorder="1" applyAlignment="1">
      <alignment horizontal="center" vertical="center" wrapText="1"/>
    </xf>
    <xf numFmtId="0" fontId="18" fillId="36" borderId="42" xfId="0" applyFont="1" applyFill="1" applyBorder="1" applyAlignment="1">
      <alignment horizontal="center"/>
    </xf>
    <xf numFmtId="0" fontId="18" fillId="0" borderId="0" xfId="0" applyFont="1" applyAlignment="1">
      <alignment horizontal="left"/>
    </xf>
    <xf numFmtId="0" fontId="26" fillId="34" borderId="0" xfId="43" applyFont="1" applyFill="1" applyAlignment="1" applyProtection="1">
      <alignment horizontal="left" vertical="center"/>
      <protection hidden="1"/>
    </xf>
    <xf numFmtId="0" fontId="16" fillId="0" borderId="40" xfId="0" applyFont="1" applyBorder="1" applyAlignment="1">
      <alignment horizontal="center" vertical="center"/>
    </xf>
    <xf numFmtId="0" fontId="16" fillId="0" borderId="41" xfId="0" applyFont="1" applyBorder="1" applyAlignment="1">
      <alignment horizontal="center" vertical="center"/>
    </xf>
    <xf numFmtId="0" fontId="16" fillId="0" borderId="42" xfId="0" applyFont="1" applyBorder="1" applyAlignment="1">
      <alignment horizontal="center" vertical="center"/>
    </xf>
    <xf numFmtId="0" fontId="16" fillId="69" borderId="57" xfId="0" applyFont="1" applyFill="1" applyBorder="1" applyAlignment="1">
      <alignment horizontal="center"/>
    </xf>
    <xf numFmtId="0" fontId="16" fillId="69" borderId="53" xfId="0" applyFont="1" applyFill="1" applyBorder="1" applyAlignment="1">
      <alignment horizontal="center"/>
    </xf>
    <xf numFmtId="0" fontId="16" fillId="69" borderId="60" xfId="0" applyFont="1" applyFill="1" applyBorder="1" applyAlignment="1">
      <alignment horizontal="center"/>
    </xf>
    <xf numFmtId="0" fontId="16" fillId="68" borderId="0" xfId="0" applyFont="1" applyFill="1" applyAlignment="1">
      <alignment horizontal="center"/>
    </xf>
  </cellXfs>
  <cellStyles count="2000">
    <cellStyle name="20% - Accent1" xfId="20" builtinId="30" customBuiltin="1"/>
    <cellStyle name="20% - Accent1 2" xfId="56" xr:uid="{00000000-0005-0000-0000-000001000000}"/>
    <cellStyle name="20% - Accent2" xfId="24" builtinId="34" customBuiltin="1"/>
    <cellStyle name="20% - Accent2 2" xfId="57" xr:uid="{00000000-0005-0000-0000-000003000000}"/>
    <cellStyle name="20% - Accent3" xfId="28" builtinId="38" customBuiltin="1"/>
    <cellStyle name="20% - Accent3 2" xfId="58" xr:uid="{00000000-0005-0000-0000-000005000000}"/>
    <cellStyle name="20% - Accent4" xfId="32" builtinId="42" customBuiltin="1"/>
    <cellStyle name="20% - Accent4 2" xfId="59" xr:uid="{00000000-0005-0000-0000-000007000000}"/>
    <cellStyle name="20% - Accent5" xfId="36" builtinId="46" customBuiltin="1"/>
    <cellStyle name="20% - Accent5 2" xfId="60" xr:uid="{00000000-0005-0000-0000-000009000000}"/>
    <cellStyle name="20% - Accent6" xfId="40" builtinId="50" customBuiltin="1"/>
    <cellStyle name="20% - Accent6 2" xfId="61" xr:uid="{00000000-0005-0000-0000-00000B000000}"/>
    <cellStyle name="40% - Accent1" xfId="21" builtinId="31" customBuiltin="1"/>
    <cellStyle name="40% - Accent1 2" xfId="62" xr:uid="{00000000-0005-0000-0000-00000D000000}"/>
    <cellStyle name="40% - Accent2" xfId="25" builtinId="35" customBuiltin="1"/>
    <cellStyle name="40% - Accent2 2" xfId="63" xr:uid="{00000000-0005-0000-0000-00000F000000}"/>
    <cellStyle name="40% - Accent3" xfId="29" builtinId="39" customBuiltin="1"/>
    <cellStyle name="40% - Accent3 2" xfId="64" xr:uid="{00000000-0005-0000-0000-000011000000}"/>
    <cellStyle name="40% - Accent4" xfId="33" builtinId="43" customBuiltin="1"/>
    <cellStyle name="40% - Accent4 2" xfId="65" xr:uid="{00000000-0005-0000-0000-000013000000}"/>
    <cellStyle name="40% - Accent5" xfId="37" builtinId="47" customBuiltin="1"/>
    <cellStyle name="40% - Accent5 2" xfId="66" xr:uid="{00000000-0005-0000-0000-000015000000}"/>
    <cellStyle name="40% - Accent6" xfId="41" builtinId="51" customBuiltin="1"/>
    <cellStyle name="40% - Accent6 2" xfId="67" xr:uid="{00000000-0005-0000-0000-000017000000}"/>
    <cellStyle name="60% - Accent1" xfId="22" builtinId="32" customBuiltin="1"/>
    <cellStyle name="60% - Accent1 2" xfId="68" xr:uid="{00000000-0005-0000-0000-000019000000}"/>
    <cellStyle name="60% - Accent2" xfId="26" builtinId="36" customBuiltin="1"/>
    <cellStyle name="60% - Accent2 2" xfId="69" xr:uid="{00000000-0005-0000-0000-00001B000000}"/>
    <cellStyle name="60% - Accent3" xfId="30" builtinId="40" customBuiltin="1"/>
    <cellStyle name="60% - Accent3 2" xfId="70" xr:uid="{00000000-0005-0000-0000-00001D000000}"/>
    <cellStyle name="60% - Accent4" xfId="34" builtinId="44" customBuiltin="1"/>
    <cellStyle name="60% - Accent4 2" xfId="71" xr:uid="{00000000-0005-0000-0000-00001F000000}"/>
    <cellStyle name="60% - Accent5" xfId="38" builtinId="48" customBuiltin="1"/>
    <cellStyle name="60% - Accent5 2" xfId="72" xr:uid="{00000000-0005-0000-0000-000021000000}"/>
    <cellStyle name="60% - Accent6" xfId="42" builtinId="52" customBuiltin="1"/>
    <cellStyle name="60% - Accent6 2" xfId="73" xr:uid="{00000000-0005-0000-0000-000023000000}"/>
    <cellStyle name="Accent1" xfId="19" builtinId="29" customBuiltin="1"/>
    <cellStyle name="Accent1 2" xfId="74" xr:uid="{00000000-0005-0000-0000-000025000000}"/>
    <cellStyle name="Accent2" xfId="23" builtinId="33" customBuiltin="1"/>
    <cellStyle name="Accent2 2" xfId="75" xr:uid="{00000000-0005-0000-0000-000027000000}"/>
    <cellStyle name="Accent3" xfId="27" builtinId="37" customBuiltin="1"/>
    <cellStyle name="Accent3 2" xfId="76" xr:uid="{00000000-0005-0000-0000-000029000000}"/>
    <cellStyle name="Accent4" xfId="31" builtinId="41" customBuiltin="1"/>
    <cellStyle name="Accent4 2" xfId="77" xr:uid="{00000000-0005-0000-0000-00002B000000}"/>
    <cellStyle name="Accent5" xfId="35" builtinId="45" customBuiltin="1"/>
    <cellStyle name="Accent5 2" xfId="78" xr:uid="{00000000-0005-0000-0000-00002D000000}"/>
    <cellStyle name="Accent6" xfId="39" builtinId="49" customBuiltin="1"/>
    <cellStyle name="Accent6 2" xfId="79" xr:uid="{00000000-0005-0000-0000-00002F000000}"/>
    <cellStyle name="Bad" xfId="8" builtinId="27" customBuiltin="1"/>
    <cellStyle name="Bad 2" xfId="80" xr:uid="{00000000-0005-0000-0000-000031000000}"/>
    <cellStyle name="Calculation" xfId="12" builtinId="22" customBuiltin="1"/>
    <cellStyle name="Calculation 2" xfId="81" xr:uid="{00000000-0005-0000-0000-000033000000}"/>
    <cellStyle name="Check Cell" xfId="14" builtinId="23" customBuiltin="1"/>
    <cellStyle name="Check Cell 2" xfId="82" xr:uid="{00000000-0005-0000-0000-000035000000}"/>
    <cellStyle name="Comma" xfId="1" builtinId="3"/>
    <cellStyle name="Comma 2" xfId="45" xr:uid="{00000000-0005-0000-0000-000037000000}"/>
    <cellStyle name="Comma 2 2" xfId="46" xr:uid="{00000000-0005-0000-0000-000038000000}"/>
    <cellStyle name="Comma 3" xfId="47" xr:uid="{00000000-0005-0000-0000-000039000000}"/>
    <cellStyle name="Comma 4" xfId="48" xr:uid="{00000000-0005-0000-0000-00003A000000}"/>
    <cellStyle name="Comma 5" xfId="44" xr:uid="{00000000-0005-0000-0000-00003B000000}"/>
    <cellStyle name="Currency 2" xfId="83" xr:uid="{00000000-0005-0000-0000-00003C000000}"/>
    <cellStyle name="Currency 3" xfId="84" xr:uid="{00000000-0005-0000-0000-00003D000000}"/>
    <cellStyle name="Explanatory Text" xfId="17" builtinId="53" customBuiltin="1"/>
    <cellStyle name="Explanatory Text 2" xfId="85" xr:uid="{00000000-0005-0000-0000-00003F000000}"/>
    <cellStyle name="Good" xfId="7" builtinId="26" customBuiltin="1"/>
    <cellStyle name="Good 2" xfId="86" xr:uid="{00000000-0005-0000-0000-000041000000}"/>
    <cellStyle name="Heading 1" xfId="3" builtinId="16" customBuiltin="1"/>
    <cellStyle name="Heading 1 2" xfId="87" xr:uid="{00000000-0005-0000-0000-000043000000}"/>
    <cellStyle name="Heading 2" xfId="4" builtinId="17" customBuiltin="1"/>
    <cellStyle name="Heading 2 2" xfId="88" xr:uid="{00000000-0005-0000-0000-000045000000}"/>
    <cellStyle name="Heading 3" xfId="5" builtinId="18" customBuiltin="1"/>
    <cellStyle name="Heading 3 2" xfId="89" xr:uid="{00000000-0005-0000-0000-000047000000}"/>
    <cellStyle name="Heading 4" xfId="6" builtinId="19" customBuiltin="1"/>
    <cellStyle name="Heading 4 2" xfId="90" xr:uid="{00000000-0005-0000-0000-000049000000}"/>
    <cellStyle name="Input" xfId="10" builtinId="20" customBuiltin="1"/>
    <cellStyle name="Input 2" xfId="91" xr:uid="{00000000-0005-0000-0000-00004B000000}"/>
    <cellStyle name="Linked Cell" xfId="13" builtinId="24" customBuiltin="1"/>
    <cellStyle name="Linked Cell 2" xfId="92" xr:uid="{00000000-0005-0000-0000-00004D000000}"/>
    <cellStyle name="Neutral" xfId="9" builtinId="28" customBuiltin="1"/>
    <cellStyle name="Neutral 2" xfId="93" xr:uid="{00000000-0005-0000-0000-00004F000000}"/>
    <cellStyle name="Normal" xfId="0" builtinId="0"/>
    <cellStyle name="Normal 2" xfId="49" xr:uid="{00000000-0005-0000-0000-000051000000}"/>
    <cellStyle name="Normal 2 10" xfId="94" xr:uid="{00000000-0005-0000-0000-000052000000}"/>
    <cellStyle name="Normal 2 10 10" xfId="95" xr:uid="{00000000-0005-0000-0000-000053000000}"/>
    <cellStyle name="Normal 2 10 11" xfId="96" xr:uid="{00000000-0005-0000-0000-000054000000}"/>
    <cellStyle name="Normal 2 10 12" xfId="97" xr:uid="{00000000-0005-0000-0000-000055000000}"/>
    <cellStyle name="Normal 2 10 13" xfId="98" xr:uid="{00000000-0005-0000-0000-000056000000}"/>
    <cellStyle name="Normal 2 10 14" xfId="99" xr:uid="{00000000-0005-0000-0000-000057000000}"/>
    <cellStyle name="Normal 2 10 15" xfId="100" xr:uid="{00000000-0005-0000-0000-000058000000}"/>
    <cellStyle name="Normal 2 10 16" xfId="101" xr:uid="{00000000-0005-0000-0000-000059000000}"/>
    <cellStyle name="Normal 2 10 17" xfId="102" xr:uid="{00000000-0005-0000-0000-00005A000000}"/>
    <cellStyle name="Normal 2 10 18" xfId="103" xr:uid="{00000000-0005-0000-0000-00005B000000}"/>
    <cellStyle name="Normal 2 10 19" xfId="104" xr:uid="{00000000-0005-0000-0000-00005C000000}"/>
    <cellStyle name="Normal 2 10 2" xfId="105" xr:uid="{00000000-0005-0000-0000-00005D000000}"/>
    <cellStyle name="Normal 2 10 20" xfId="106" xr:uid="{00000000-0005-0000-0000-00005E000000}"/>
    <cellStyle name="Normal 2 10 21" xfId="107" xr:uid="{00000000-0005-0000-0000-00005F000000}"/>
    <cellStyle name="Normal 2 10 22" xfId="108" xr:uid="{00000000-0005-0000-0000-000060000000}"/>
    <cellStyle name="Normal 2 10 23" xfId="109" xr:uid="{00000000-0005-0000-0000-000061000000}"/>
    <cellStyle name="Normal 2 10 3" xfId="110" xr:uid="{00000000-0005-0000-0000-000062000000}"/>
    <cellStyle name="Normal 2 10 4" xfId="111" xr:uid="{00000000-0005-0000-0000-000063000000}"/>
    <cellStyle name="Normal 2 10 5" xfId="112" xr:uid="{00000000-0005-0000-0000-000064000000}"/>
    <cellStyle name="Normal 2 10 6" xfId="113" xr:uid="{00000000-0005-0000-0000-000065000000}"/>
    <cellStyle name="Normal 2 10 7" xfId="114" xr:uid="{00000000-0005-0000-0000-000066000000}"/>
    <cellStyle name="Normal 2 10 8" xfId="115" xr:uid="{00000000-0005-0000-0000-000067000000}"/>
    <cellStyle name="Normal 2 10 9" xfId="116" xr:uid="{00000000-0005-0000-0000-000068000000}"/>
    <cellStyle name="Normal 2 11" xfId="117" xr:uid="{00000000-0005-0000-0000-000069000000}"/>
    <cellStyle name="Normal 2 11 10" xfId="118" xr:uid="{00000000-0005-0000-0000-00006A000000}"/>
    <cellStyle name="Normal 2 11 11" xfId="119" xr:uid="{00000000-0005-0000-0000-00006B000000}"/>
    <cellStyle name="Normal 2 11 12" xfId="120" xr:uid="{00000000-0005-0000-0000-00006C000000}"/>
    <cellStyle name="Normal 2 11 13" xfId="121" xr:uid="{00000000-0005-0000-0000-00006D000000}"/>
    <cellStyle name="Normal 2 11 14" xfId="122" xr:uid="{00000000-0005-0000-0000-00006E000000}"/>
    <cellStyle name="Normal 2 11 15" xfId="123" xr:uid="{00000000-0005-0000-0000-00006F000000}"/>
    <cellStyle name="Normal 2 11 16" xfId="124" xr:uid="{00000000-0005-0000-0000-000070000000}"/>
    <cellStyle name="Normal 2 11 17" xfId="125" xr:uid="{00000000-0005-0000-0000-000071000000}"/>
    <cellStyle name="Normal 2 11 18" xfId="126" xr:uid="{00000000-0005-0000-0000-000072000000}"/>
    <cellStyle name="Normal 2 11 19" xfId="127" xr:uid="{00000000-0005-0000-0000-000073000000}"/>
    <cellStyle name="Normal 2 11 2" xfId="128" xr:uid="{00000000-0005-0000-0000-000074000000}"/>
    <cellStyle name="Normal 2 11 20" xfId="129" xr:uid="{00000000-0005-0000-0000-000075000000}"/>
    <cellStyle name="Normal 2 11 21" xfId="130" xr:uid="{00000000-0005-0000-0000-000076000000}"/>
    <cellStyle name="Normal 2 11 22" xfId="131" xr:uid="{00000000-0005-0000-0000-000077000000}"/>
    <cellStyle name="Normal 2 11 23" xfId="132" xr:uid="{00000000-0005-0000-0000-000078000000}"/>
    <cellStyle name="Normal 2 11 3" xfId="133" xr:uid="{00000000-0005-0000-0000-000079000000}"/>
    <cellStyle name="Normal 2 11 4" xfId="134" xr:uid="{00000000-0005-0000-0000-00007A000000}"/>
    <cellStyle name="Normal 2 11 5" xfId="135" xr:uid="{00000000-0005-0000-0000-00007B000000}"/>
    <cellStyle name="Normal 2 11 6" xfId="136" xr:uid="{00000000-0005-0000-0000-00007C000000}"/>
    <cellStyle name="Normal 2 11 7" xfId="137" xr:uid="{00000000-0005-0000-0000-00007D000000}"/>
    <cellStyle name="Normal 2 11 8" xfId="138" xr:uid="{00000000-0005-0000-0000-00007E000000}"/>
    <cellStyle name="Normal 2 11 9" xfId="139" xr:uid="{00000000-0005-0000-0000-00007F000000}"/>
    <cellStyle name="Normal 2 12" xfId="140" xr:uid="{00000000-0005-0000-0000-000080000000}"/>
    <cellStyle name="Normal 2 12 10" xfId="141" xr:uid="{00000000-0005-0000-0000-000081000000}"/>
    <cellStyle name="Normal 2 12 11" xfId="142" xr:uid="{00000000-0005-0000-0000-000082000000}"/>
    <cellStyle name="Normal 2 12 12" xfId="143" xr:uid="{00000000-0005-0000-0000-000083000000}"/>
    <cellStyle name="Normal 2 12 13" xfId="144" xr:uid="{00000000-0005-0000-0000-000084000000}"/>
    <cellStyle name="Normal 2 12 14" xfId="145" xr:uid="{00000000-0005-0000-0000-000085000000}"/>
    <cellStyle name="Normal 2 12 15" xfId="146" xr:uid="{00000000-0005-0000-0000-000086000000}"/>
    <cellStyle name="Normal 2 12 16" xfId="147" xr:uid="{00000000-0005-0000-0000-000087000000}"/>
    <cellStyle name="Normal 2 12 17" xfId="148" xr:uid="{00000000-0005-0000-0000-000088000000}"/>
    <cellStyle name="Normal 2 12 18" xfId="149" xr:uid="{00000000-0005-0000-0000-000089000000}"/>
    <cellStyle name="Normal 2 12 19" xfId="150" xr:uid="{00000000-0005-0000-0000-00008A000000}"/>
    <cellStyle name="Normal 2 12 2" xfId="151" xr:uid="{00000000-0005-0000-0000-00008B000000}"/>
    <cellStyle name="Normal 2 12 20" xfId="152" xr:uid="{00000000-0005-0000-0000-00008C000000}"/>
    <cellStyle name="Normal 2 12 21" xfId="153" xr:uid="{00000000-0005-0000-0000-00008D000000}"/>
    <cellStyle name="Normal 2 12 22" xfId="154" xr:uid="{00000000-0005-0000-0000-00008E000000}"/>
    <cellStyle name="Normal 2 12 23" xfId="155" xr:uid="{00000000-0005-0000-0000-00008F000000}"/>
    <cellStyle name="Normal 2 12 3" xfId="156" xr:uid="{00000000-0005-0000-0000-000090000000}"/>
    <cellStyle name="Normal 2 12 4" xfId="157" xr:uid="{00000000-0005-0000-0000-000091000000}"/>
    <cellStyle name="Normal 2 12 5" xfId="158" xr:uid="{00000000-0005-0000-0000-000092000000}"/>
    <cellStyle name="Normal 2 12 6" xfId="159" xr:uid="{00000000-0005-0000-0000-000093000000}"/>
    <cellStyle name="Normal 2 12 7" xfId="160" xr:uid="{00000000-0005-0000-0000-000094000000}"/>
    <cellStyle name="Normal 2 12 8" xfId="161" xr:uid="{00000000-0005-0000-0000-000095000000}"/>
    <cellStyle name="Normal 2 12 9" xfId="162" xr:uid="{00000000-0005-0000-0000-000096000000}"/>
    <cellStyle name="Normal 2 13" xfId="163" xr:uid="{00000000-0005-0000-0000-000097000000}"/>
    <cellStyle name="Normal 2 13 10" xfId="164" xr:uid="{00000000-0005-0000-0000-000098000000}"/>
    <cellStyle name="Normal 2 13 11" xfId="165" xr:uid="{00000000-0005-0000-0000-000099000000}"/>
    <cellStyle name="Normal 2 13 12" xfId="166" xr:uid="{00000000-0005-0000-0000-00009A000000}"/>
    <cellStyle name="Normal 2 13 13" xfId="167" xr:uid="{00000000-0005-0000-0000-00009B000000}"/>
    <cellStyle name="Normal 2 13 14" xfId="168" xr:uid="{00000000-0005-0000-0000-00009C000000}"/>
    <cellStyle name="Normal 2 13 15" xfId="169" xr:uid="{00000000-0005-0000-0000-00009D000000}"/>
    <cellStyle name="Normal 2 13 16" xfId="170" xr:uid="{00000000-0005-0000-0000-00009E000000}"/>
    <cellStyle name="Normal 2 13 17" xfId="171" xr:uid="{00000000-0005-0000-0000-00009F000000}"/>
    <cellStyle name="Normal 2 13 18" xfId="172" xr:uid="{00000000-0005-0000-0000-0000A0000000}"/>
    <cellStyle name="Normal 2 13 19" xfId="173" xr:uid="{00000000-0005-0000-0000-0000A1000000}"/>
    <cellStyle name="Normal 2 13 2" xfId="174" xr:uid="{00000000-0005-0000-0000-0000A2000000}"/>
    <cellStyle name="Normal 2 13 20" xfId="175" xr:uid="{00000000-0005-0000-0000-0000A3000000}"/>
    <cellStyle name="Normal 2 13 21" xfId="176" xr:uid="{00000000-0005-0000-0000-0000A4000000}"/>
    <cellStyle name="Normal 2 13 22" xfId="177" xr:uid="{00000000-0005-0000-0000-0000A5000000}"/>
    <cellStyle name="Normal 2 13 23" xfId="178" xr:uid="{00000000-0005-0000-0000-0000A6000000}"/>
    <cellStyle name="Normal 2 13 3" xfId="179" xr:uid="{00000000-0005-0000-0000-0000A7000000}"/>
    <cellStyle name="Normal 2 13 4" xfId="180" xr:uid="{00000000-0005-0000-0000-0000A8000000}"/>
    <cellStyle name="Normal 2 13 5" xfId="181" xr:uid="{00000000-0005-0000-0000-0000A9000000}"/>
    <cellStyle name="Normal 2 13 6" xfId="182" xr:uid="{00000000-0005-0000-0000-0000AA000000}"/>
    <cellStyle name="Normal 2 13 7" xfId="183" xr:uid="{00000000-0005-0000-0000-0000AB000000}"/>
    <cellStyle name="Normal 2 13 8" xfId="184" xr:uid="{00000000-0005-0000-0000-0000AC000000}"/>
    <cellStyle name="Normal 2 13 9" xfId="185" xr:uid="{00000000-0005-0000-0000-0000AD000000}"/>
    <cellStyle name="Normal 2 14" xfId="186" xr:uid="{00000000-0005-0000-0000-0000AE000000}"/>
    <cellStyle name="Normal 2 14 10" xfId="187" xr:uid="{00000000-0005-0000-0000-0000AF000000}"/>
    <cellStyle name="Normal 2 14 11" xfId="188" xr:uid="{00000000-0005-0000-0000-0000B0000000}"/>
    <cellStyle name="Normal 2 14 12" xfId="189" xr:uid="{00000000-0005-0000-0000-0000B1000000}"/>
    <cellStyle name="Normal 2 14 13" xfId="190" xr:uid="{00000000-0005-0000-0000-0000B2000000}"/>
    <cellStyle name="Normal 2 14 14" xfId="191" xr:uid="{00000000-0005-0000-0000-0000B3000000}"/>
    <cellStyle name="Normal 2 14 15" xfId="192" xr:uid="{00000000-0005-0000-0000-0000B4000000}"/>
    <cellStyle name="Normal 2 14 16" xfId="193" xr:uid="{00000000-0005-0000-0000-0000B5000000}"/>
    <cellStyle name="Normal 2 14 17" xfId="194" xr:uid="{00000000-0005-0000-0000-0000B6000000}"/>
    <cellStyle name="Normal 2 14 18" xfId="195" xr:uid="{00000000-0005-0000-0000-0000B7000000}"/>
    <cellStyle name="Normal 2 14 19" xfId="196" xr:uid="{00000000-0005-0000-0000-0000B8000000}"/>
    <cellStyle name="Normal 2 14 2" xfId="197" xr:uid="{00000000-0005-0000-0000-0000B9000000}"/>
    <cellStyle name="Normal 2 14 20" xfId="198" xr:uid="{00000000-0005-0000-0000-0000BA000000}"/>
    <cellStyle name="Normal 2 14 21" xfId="199" xr:uid="{00000000-0005-0000-0000-0000BB000000}"/>
    <cellStyle name="Normal 2 14 22" xfId="200" xr:uid="{00000000-0005-0000-0000-0000BC000000}"/>
    <cellStyle name="Normal 2 14 23" xfId="201" xr:uid="{00000000-0005-0000-0000-0000BD000000}"/>
    <cellStyle name="Normal 2 14 3" xfId="202" xr:uid="{00000000-0005-0000-0000-0000BE000000}"/>
    <cellStyle name="Normal 2 14 4" xfId="203" xr:uid="{00000000-0005-0000-0000-0000BF000000}"/>
    <cellStyle name="Normal 2 14 5" xfId="204" xr:uid="{00000000-0005-0000-0000-0000C0000000}"/>
    <cellStyle name="Normal 2 14 6" xfId="205" xr:uid="{00000000-0005-0000-0000-0000C1000000}"/>
    <cellStyle name="Normal 2 14 7" xfId="206" xr:uid="{00000000-0005-0000-0000-0000C2000000}"/>
    <cellStyle name="Normal 2 14 8" xfId="207" xr:uid="{00000000-0005-0000-0000-0000C3000000}"/>
    <cellStyle name="Normal 2 14 9" xfId="208" xr:uid="{00000000-0005-0000-0000-0000C4000000}"/>
    <cellStyle name="Normal 2 15" xfId="209" xr:uid="{00000000-0005-0000-0000-0000C5000000}"/>
    <cellStyle name="Normal 2 15 10" xfId="210" xr:uid="{00000000-0005-0000-0000-0000C6000000}"/>
    <cellStyle name="Normal 2 15 11" xfId="211" xr:uid="{00000000-0005-0000-0000-0000C7000000}"/>
    <cellStyle name="Normal 2 15 12" xfId="212" xr:uid="{00000000-0005-0000-0000-0000C8000000}"/>
    <cellStyle name="Normal 2 15 13" xfId="213" xr:uid="{00000000-0005-0000-0000-0000C9000000}"/>
    <cellStyle name="Normal 2 15 14" xfId="214" xr:uid="{00000000-0005-0000-0000-0000CA000000}"/>
    <cellStyle name="Normal 2 15 15" xfId="215" xr:uid="{00000000-0005-0000-0000-0000CB000000}"/>
    <cellStyle name="Normal 2 15 16" xfId="216" xr:uid="{00000000-0005-0000-0000-0000CC000000}"/>
    <cellStyle name="Normal 2 15 17" xfId="217" xr:uid="{00000000-0005-0000-0000-0000CD000000}"/>
    <cellStyle name="Normal 2 15 18" xfId="218" xr:uid="{00000000-0005-0000-0000-0000CE000000}"/>
    <cellStyle name="Normal 2 15 19" xfId="219" xr:uid="{00000000-0005-0000-0000-0000CF000000}"/>
    <cellStyle name="Normal 2 15 2" xfId="220" xr:uid="{00000000-0005-0000-0000-0000D0000000}"/>
    <cellStyle name="Normal 2 15 20" xfId="221" xr:uid="{00000000-0005-0000-0000-0000D1000000}"/>
    <cellStyle name="Normal 2 15 21" xfId="222" xr:uid="{00000000-0005-0000-0000-0000D2000000}"/>
    <cellStyle name="Normal 2 15 22" xfId="223" xr:uid="{00000000-0005-0000-0000-0000D3000000}"/>
    <cellStyle name="Normal 2 15 23" xfId="224" xr:uid="{00000000-0005-0000-0000-0000D4000000}"/>
    <cellStyle name="Normal 2 15 3" xfId="225" xr:uid="{00000000-0005-0000-0000-0000D5000000}"/>
    <cellStyle name="Normal 2 15 4" xfId="226" xr:uid="{00000000-0005-0000-0000-0000D6000000}"/>
    <cellStyle name="Normal 2 15 5" xfId="227" xr:uid="{00000000-0005-0000-0000-0000D7000000}"/>
    <cellStyle name="Normal 2 15 6" xfId="228" xr:uid="{00000000-0005-0000-0000-0000D8000000}"/>
    <cellStyle name="Normal 2 15 7" xfId="229" xr:uid="{00000000-0005-0000-0000-0000D9000000}"/>
    <cellStyle name="Normal 2 15 8" xfId="230" xr:uid="{00000000-0005-0000-0000-0000DA000000}"/>
    <cellStyle name="Normal 2 15 9" xfId="231" xr:uid="{00000000-0005-0000-0000-0000DB000000}"/>
    <cellStyle name="Normal 2 16" xfId="232" xr:uid="{00000000-0005-0000-0000-0000DC000000}"/>
    <cellStyle name="Normal 2 16 10" xfId="233" xr:uid="{00000000-0005-0000-0000-0000DD000000}"/>
    <cellStyle name="Normal 2 16 11" xfId="234" xr:uid="{00000000-0005-0000-0000-0000DE000000}"/>
    <cellStyle name="Normal 2 16 12" xfId="235" xr:uid="{00000000-0005-0000-0000-0000DF000000}"/>
    <cellStyle name="Normal 2 16 13" xfId="236" xr:uid="{00000000-0005-0000-0000-0000E0000000}"/>
    <cellStyle name="Normal 2 16 14" xfId="237" xr:uid="{00000000-0005-0000-0000-0000E1000000}"/>
    <cellStyle name="Normal 2 16 15" xfId="238" xr:uid="{00000000-0005-0000-0000-0000E2000000}"/>
    <cellStyle name="Normal 2 16 16" xfId="239" xr:uid="{00000000-0005-0000-0000-0000E3000000}"/>
    <cellStyle name="Normal 2 16 17" xfId="240" xr:uid="{00000000-0005-0000-0000-0000E4000000}"/>
    <cellStyle name="Normal 2 16 18" xfId="241" xr:uid="{00000000-0005-0000-0000-0000E5000000}"/>
    <cellStyle name="Normal 2 16 19" xfId="242" xr:uid="{00000000-0005-0000-0000-0000E6000000}"/>
    <cellStyle name="Normal 2 16 2" xfId="243" xr:uid="{00000000-0005-0000-0000-0000E7000000}"/>
    <cellStyle name="Normal 2 16 20" xfId="244" xr:uid="{00000000-0005-0000-0000-0000E8000000}"/>
    <cellStyle name="Normal 2 16 21" xfId="245" xr:uid="{00000000-0005-0000-0000-0000E9000000}"/>
    <cellStyle name="Normal 2 16 22" xfId="246" xr:uid="{00000000-0005-0000-0000-0000EA000000}"/>
    <cellStyle name="Normal 2 16 23" xfId="247" xr:uid="{00000000-0005-0000-0000-0000EB000000}"/>
    <cellStyle name="Normal 2 16 3" xfId="248" xr:uid="{00000000-0005-0000-0000-0000EC000000}"/>
    <cellStyle name="Normal 2 16 4" xfId="249" xr:uid="{00000000-0005-0000-0000-0000ED000000}"/>
    <cellStyle name="Normal 2 16 5" xfId="250" xr:uid="{00000000-0005-0000-0000-0000EE000000}"/>
    <cellStyle name="Normal 2 16 6" xfId="251" xr:uid="{00000000-0005-0000-0000-0000EF000000}"/>
    <cellStyle name="Normal 2 16 7" xfId="252" xr:uid="{00000000-0005-0000-0000-0000F0000000}"/>
    <cellStyle name="Normal 2 16 8" xfId="253" xr:uid="{00000000-0005-0000-0000-0000F1000000}"/>
    <cellStyle name="Normal 2 16 9" xfId="254" xr:uid="{00000000-0005-0000-0000-0000F2000000}"/>
    <cellStyle name="Normal 2 17" xfId="255" xr:uid="{00000000-0005-0000-0000-0000F3000000}"/>
    <cellStyle name="Normal 2 17 10" xfId="256" xr:uid="{00000000-0005-0000-0000-0000F4000000}"/>
    <cellStyle name="Normal 2 17 11" xfId="257" xr:uid="{00000000-0005-0000-0000-0000F5000000}"/>
    <cellStyle name="Normal 2 17 12" xfId="258" xr:uid="{00000000-0005-0000-0000-0000F6000000}"/>
    <cellStyle name="Normal 2 17 13" xfId="259" xr:uid="{00000000-0005-0000-0000-0000F7000000}"/>
    <cellStyle name="Normal 2 17 14" xfId="260" xr:uid="{00000000-0005-0000-0000-0000F8000000}"/>
    <cellStyle name="Normal 2 17 15" xfId="261" xr:uid="{00000000-0005-0000-0000-0000F9000000}"/>
    <cellStyle name="Normal 2 17 16" xfId="262" xr:uid="{00000000-0005-0000-0000-0000FA000000}"/>
    <cellStyle name="Normal 2 17 17" xfId="263" xr:uid="{00000000-0005-0000-0000-0000FB000000}"/>
    <cellStyle name="Normal 2 17 18" xfId="264" xr:uid="{00000000-0005-0000-0000-0000FC000000}"/>
    <cellStyle name="Normal 2 17 19" xfId="265" xr:uid="{00000000-0005-0000-0000-0000FD000000}"/>
    <cellStyle name="Normal 2 17 2" xfId="266" xr:uid="{00000000-0005-0000-0000-0000FE000000}"/>
    <cellStyle name="Normal 2 17 20" xfId="267" xr:uid="{00000000-0005-0000-0000-0000FF000000}"/>
    <cellStyle name="Normal 2 17 21" xfId="268" xr:uid="{00000000-0005-0000-0000-000000010000}"/>
    <cellStyle name="Normal 2 17 22" xfId="269" xr:uid="{00000000-0005-0000-0000-000001010000}"/>
    <cellStyle name="Normal 2 17 23" xfId="270" xr:uid="{00000000-0005-0000-0000-000002010000}"/>
    <cellStyle name="Normal 2 17 3" xfId="271" xr:uid="{00000000-0005-0000-0000-000003010000}"/>
    <cellStyle name="Normal 2 17 4" xfId="272" xr:uid="{00000000-0005-0000-0000-000004010000}"/>
    <cellStyle name="Normal 2 17 5" xfId="273" xr:uid="{00000000-0005-0000-0000-000005010000}"/>
    <cellStyle name="Normal 2 17 6" xfId="274" xr:uid="{00000000-0005-0000-0000-000006010000}"/>
    <cellStyle name="Normal 2 17 7" xfId="275" xr:uid="{00000000-0005-0000-0000-000007010000}"/>
    <cellStyle name="Normal 2 17 8" xfId="276" xr:uid="{00000000-0005-0000-0000-000008010000}"/>
    <cellStyle name="Normal 2 17 9" xfId="277" xr:uid="{00000000-0005-0000-0000-000009010000}"/>
    <cellStyle name="Normal 2 18" xfId="278" xr:uid="{00000000-0005-0000-0000-00000A010000}"/>
    <cellStyle name="Normal 2 18 10" xfId="279" xr:uid="{00000000-0005-0000-0000-00000B010000}"/>
    <cellStyle name="Normal 2 18 11" xfId="280" xr:uid="{00000000-0005-0000-0000-00000C010000}"/>
    <cellStyle name="Normal 2 18 12" xfId="281" xr:uid="{00000000-0005-0000-0000-00000D010000}"/>
    <cellStyle name="Normal 2 18 13" xfId="282" xr:uid="{00000000-0005-0000-0000-00000E010000}"/>
    <cellStyle name="Normal 2 18 14" xfId="283" xr:uid="{00000000-0005-0000-0000-00000F010000}"/>
    <cellStyle name="Normal 2 18 15" xfId="284" xr:uid="{00000000-0005-0000-0000-000010010000}"/>
    <cellStyle name="Normal 2 18 16" xfId="285" xr:uid="{00000000-0005-0000-0000-000011010000}"/>
    <cellStyle name="Normal 2 18 17" xfId="286" xr:uid="{00000000-0005-0000-0000-000012010000}"/>
    <cellStyle name="Normal 2 18 18" xfId="287" xr:uid="{00000000-0005-0000-0000-000013010000}"/>
    <cellStyle name="Normal 2 18 19" xfId="288" xr:uid="{00000000-0005-0000-0000-000014010000}"/>
    <cellStyle name="Normal 2 18 2" xfId="289" xr:uid="{00000000-0005-0000-0000-000015010000}"/>
    <cellStyle name="Normal 2 18 20" xfId="290" xr:uid="{00000000-0005-0000-0000-000016010000}"/>
    <cellStyle name="Normal 2 18 21" xfId="291" xr:uid="{00000000-0005-0000-0000-000017010000}"/>
    <cellStyle name="Normal 2 18 22" xfId="292" xr:uid="{00000000-0005-0000-0000-000018010000}"/>
    <cellStyle name="Normal 2 18 23" xfId="293" xr:uid="{00000000-0005-0000-0000-000019010000}"/>
    <cellStyle name="Normal 2 18 3" xfId="294" xr:uid="{00000000-0005-0000-0000-00001A010000}"/>
    <cellStyle name="Normal 2 18 4" xfId="295" xr:uid="{00000000-0005-0000-0000-00001B010000}"/>
    <cellStyle name="Normal 2 18 5" xfId="296" xr:uid="{00000000-0005-0000-0000-00001C010000}"/>
    <cellStyle name="Normal 2 18 6" xfId="297" xr:uid="{00000000-0005-0000-0000-00001D010000}"/>
    <cellStyle name="Normal 2 18 7" xfId="298" xr:uid="{00000000-0005-0000-0000-00001E010000}"/>
    <cellStyle name="Normal 2 18 8" xfId="299" xr:uid="{00000000-0005-0000-0000-00001F010000}"/>
    <cellStyle name="Normal 2 18 9" xfId="300" xr:uid="{00000000-0005-0000-0000-000020010000}"/>
    <cellStyle name="Normal 2 19" xfId="301" xr:uid="{00000000-0005-0000-0000-000021010000}"/>
    <cellStyle name="Normal 2 19 10" xfId="302" xr:uid="{00000000-0005-0000-0000-000022010000}"/>
    <cellStyle name="Normal 2 19 11" xfId="303" xr:uid="{00000000-0005-0000-0000-000023010000}"/>
    <cellStyle name="Normal 2 19 12" xfId="304" xr:uid="{00000000-0005-0000-0000-000024010000}"/>
    <cellStyle name="Normal 2 19 13" xfId="305" xr:uid="{00000000-0005-0000-0000-000025010000}"/>
    <cellStyle name="Normal 2 19 14" xfId="306" xr:uid="{00000000-0005-0000-0000-000026010000}"/>
    <cellStyle name="Normal 2 19 15" xfId="307" xr:uid="{00000000-0005-0000-0000-000027010000}"/>
    <cellStyle name="Normal 2 19 16" xfId="308" xr:uid="{00000000-0005-0000-0000-000028010000}"/>
    <cellStyle name="Normal 2 19 17" xfId="309" xr:uid="{00000000-0005-0000-0000-000029010000}"/>
    <cellStyle name="Normal 2 19 18" xfId="310" xr:uid="{00000000-0005-0000-0000-00002A010000}"/>
    <cellStyle name="Normal 2 19 19" xfId="311" xr:uid="{00000000-0005-0000-0000-00002B010000}"/>
    <cellStyle name="Normal 2 19 2" xfId="312" xr:uid="{00000000-0005-0000-0000-00002C010000}"/>
    <cellStyle name="Normal 2 19 20" xfId="313" xr:uid="{00000000-0005-0000-0000-00002D010000}"/>
    <cellStyle name="Normal 2 19 21" xfId="314" xr:uid="{00000000-0005-0000-0000-00002E010000}"/>
    <cellStyle name="Normal 2 19 22" xfId="315" xr:uid="{00000000-0005-0000-0000-00002F010000}"/>
    <cellStyle name="Normal 2 19 23" xfId="316" xr:uid="{00000000-0005-0000-0000-000030010000}"/>
    <cellStyle name="Normal 2 19 3" xfId="317" xr:uid="{00000000-0005-0000-0000-000031010000}"/>
    <cellStyle name="Normal 2 19 4" xfId="318" xr:uid="{00000000-0005-0000-0000-000032010000}"/>
    <cellStyle name="Normal 2 19 5" xfId="319" xr:uid="{00000000-0005-0000-0000-000033010000}"/>
    <cellStyle name="Normal 2 19 6" xfId="320" xr:uid="{00000000-0005-0000-0000-000034010000}"/>
    <cellStyle name="Normal 2 19 7" xfId="321" xr:uid="{00000000-0005-0000-0000-000035010000}"/>
    <cellStyle name="Normal 2 19 8" xfId="322" xr:uid="{00000000-0005-0000-0000-000036010000}"/>
    <cellStyle name="Normal 2 19 9" xfId="323" xr:uid="{00000000-0005-0000-0000-000037010000}"/>
    <cellStyle name="Normal 2 2" xfId="50" xr:uid="{00000000-0005-0000-0000-000038010000}"/>
    <cellStyle name="Normal 2 2 2" xfId="324" xr:uid="{00000000-0005-0000-0000-000039010000}"/>
    <cellStyle name="Normal 2 20" xfId="325" xr:uid="{00000000-0005-0000-0000-00003A010000}"/>
    <cellStyle name="Normal 2 20 10" xfId="326" xr:uid="{00000000-0005-0000-0000-00003B010000}"/>
    <cellStyle name="Normal 2 20 11" xfId="327" xr:uid="{00000000-0005-0000-0000-00003C010000}"/>
    <cellStyle name="Normal 2 20 12" xfId="328" xr:uid="{00000000-0005-0000-0000-00003D010000}"/>
    <cellStyle name="Normal 2 20 13" xfId="329" xr:uid="{00000000-0005-0000-0000-00003E010000}"/>
    <cellStyle name="Normal 2 20 14" xfId="330" xr:uid="{00000000-0005-0000-0000-00003F010000}"/>
    <cellStyle name="Normal 2 20 15" xfId="331" xr:uid="{00000000-0005-0000-0000-000040010000}"/>
    <cellStyle name="Normal 2 20 16" xfId="332" xr:uid="{00000000-0005-0000-0000-000041010000}"/>
    <cellStyle name="Normal 2 20 17" xfId="333" xr:uid="{00000000-0005-0000-0000-000042010000}"/>
    <cellStyle name="Normal 2 20 18" xfId="334" xr:uid="{00000000-0005-0000-0000-000043010000}"/>
    <cellStyle name="Normal 2 20 19" xfId="335" xr:uid="{00000000-0005-0000-0000-000044010000}"/>
    <cellStyle name="Normal 2 20 2" xfId="336" xr:uid="{00000000-0005-0000-0000-000045010000}"/>
    <cellStyle name="Normal 2 20 20" xfId="337" xr:uid="{00000000-0005-0000-0000-000046010000}"/>
    <cellStyle name="Normal 2 20 21" xfId="338" xr:uid="{00000000-0005-0000-0000-000047010000}"/>
    <cellStyle name="Normal 2 20 22" xfId="339" xr:uid="{00000000-0005-0000-0000-000048010000}"/>
    <cellStyle name="Normal 2 20 23" xfId="340" xr:uid="{00000000-0005-0000-0000-000049010000}"/>
    <cellStyle name="Normal 2 20 3" xfId="341" xr:uid="{00000000-0005-0000-0000-00004A010000}"/>
    <cellStyle name="Normal 2 20 4" xfId="342" xr:uid="{00000000-0005-0000-0000-00004B010000}"/>
    <cellStyle name="Normal 2 20 5" xfId="343" xr:uid="{00000000-0005-0000-0000-00004C010000}"/>
    <cellStyle name="Normal 2 20 6" xfId="344" xr:uid="{00000000-0005-0000-0000-00004D010000}"/>
    <cellStyle name="Normal 2 20 7" xfId="345" xr:uid="{00000000-0005-0000-0000-00004E010000}"/>
    <cellStyle name="Normal 2 20 8" xfId="346" xr:uid="{00000000-0005-0000-0000-00004F010000}"/>
    <cellStyle name="Normal 2 20 9" xfId="347" xr:uid="{00000000-0005-0000-0000-000050010000}"/>
    <cellStyle name="Normal 2 21" xfId="348" xr:uid="{00000000-0005-0000-0000-000051010000}"/>
    <cellStyle name="Normal 2 21 10" xfId="349" xr:uid="{00000000-0005-0000-0000-000052010000}"/>
    <cellStyle name="Normal 2 21 11" xfId="350" xr:uid="{00000000-0005-0000-0000-000053010000}"/>
    <cellStyle name="Normal 2 21 12" xfId="351" xr:uid="{00000000-0005-0000-0000-000054010000}"/>
    <cellStyle name="Normal 2 21 13" xfId="352" xr:uid="{00000000-0005-0000-0000-000055010000}"/>
    <cellStyle name="Normal 2 21 14" xfId="353" xr:uid="{00000000-0005-0000-0000-000056010000}"/>
    <cellStyle name="Normal 2 21 15" xfId="354" xr:uid="{00000000-0005-0000-0000-000057010000}"/>
    <cellStyle name="Normal 2 21 16" xfId="355" xr:uid="{00000000-0005-0000-0000-000058010000}"/>
    <cellStyle name="Normal 2 21 17" xfId="356" xr:uid="{00000000-0005-0000-0000-000059010000}"/>
    <cellStyle name="Normal 2 21 18" xfId="357" xr:uid="{00000000-0005-0000-0000-00005A010000}"/>
    <cellStyle name="Normal 2 21 19" xfId="358" xr:uid="{00000000-0005-0000-0000-00005B010000}"/>
    <cellStyle name="Normal 2 21 2" xfId="359" xr:uid="{00000000-0005-0000-0000-00005C010000}"/>
    <cellStyle name="Normal 2 21 20" xfId="360" xr:uid="{00000000-0005-0000-0000-00005D010000}"/>
    <cellStyle name="Normal 2 21 21" xfId="361" xr:uid="{00000000-0005-0000-0000-00005E010000}"/>
    <cellStyle name="Normal 2 21 22" xfId="362" xr:uid="{00000000-0005-0000-0000-00005F010000}"/>
    <cellStyle name="Normal 2 21 23" xfId="363" xr:uid="{00000000-0005-0000-0000-000060010000}"/>
    <cellStyle name="Normal 2 21 3" xfId="364" xr:uid="{00000000-0005-0000-0000-000061010000}"/>
    <cellStyle name="Normal 2 21 4" xfId="365" xr:uid="{00000000-0005-0000-0000-000062010000}"/>
    <cellStyle name="Normal 2 21 5" xfId="366" xr:uid="{00000000-0005-0000-0000-000063010000}"/>
    <cellStyle name="Normal 2 21 6" xfId="367" xr:uid="{00000000-0005-0000-0000-000064010000}"/>
    <cellStyle name="Normal 2 21 7" xfId="368" xr:uid="{00000000-0005-0000-0000-000065010000}"/>
    <cellStyle name="Normal 2 21 8" xfId="369" xr:uid="{00000000-0005-0000-0000-000066010000}"/>
    <cellStyle name="Normal 2 21 9" xfId="370" xr:uid="{00000000-0005-0000-0000-000067010000}"/>
    <cellStyle name="Normal 2 22" xfId="371" xr:uid="{00000000-0005-0000-0000-000068010000}"/>
    <cellStyle name="Normal 2 22 10" xfId="372" xr:uid="{00000000-0005-0000-0000-000069010000}"/>
    <cellStyle name="Normal 2 22 11" xfId="373" xr:uid="{00000000-0005-0000-0000-00006A010000}"/>
    <cellStyle name="Normal 2 22 12" xfId="374" xr:uid="{00000000-0005-0000-0000-00006B010000}"/>
    <cellStyle name="Normal 2 22 13" xfId="375" xr:uid="{00000000-0005-0000-0000-00006C010000}"/>
    <cellStyle name="Normal 2 22 14" xfId="376" xr:uid="{00000000-0005-0000-0000-00006D010000}"/>
    <cellStyle name="Normal 2 22 15" xfId="377" xr:uid="{00000000-0005-0000-0000-00006E010000}"/>
    <cellStyle name="Normal 2 22 16" xfId="378" xr:uid="{00000000-0005-0000-0000-00006F010000}"/>
    <cellStyle name="Normal 2 22 17" xfId="379" xr:uid="{00000000-0005-0000-0000-000070010000}"/>
    <cellStyle name="Normal 2 22 18" xfId="380" xr:uid="{00000000-0005-0000-0000-000071010000}"/>
    <cellStyle name="Normal 2 22 19" xfId="381" xr:uid="{00000000-0005-0000-0000-000072010000}"/>
    <cellStyle name="Normal 2 22 2" xfId="382" xr:uid="{00000000-0005-0000-0000-000073010000}"/>
    <cellStyle name="Normal 2 22 20" xfId="383" xr:uid="{00000000-0005-0000-0000-000074010000}"/>
    <cellStyle name="Normal 2 22 21" xfId="384" xr:uid="{00000000-0005-0000-0000-000075010000}"/>
    <cellStyle name="Normal 2 22 22" xfId="385" xr:uid="{00000000-0005-0000-0000-000076010000}"/>
    <cellStyle name="Normal 2 22 23" xfId="386" xr:uid="{00000000-0005-0000-0000-000077010000}"/>
    <cellStyle name="Normal 2 22 3" xfId="387" xr:uid="{00000000-0005-0000-0000-000078010000}"/>
    <cellStyle name="Normal 2 22 4" xfId="388" xr:uid="{00000000-0005-0000-0000-000079010000}"/>
    <cellStyle name="Normal 2 22 5" xfId="389" xr:uid="{00000000-0005-0000-0000-00007A010000}"/>
    <cellStyle name="Normal 2 22 6" xfId="390" xr:uid="{00000000-0005-0000-0000-00007B010000}"/>
    <cellStyle name="Normal 2 22 7" xfId="391" xr:uid="{00000000-0005-0000-0000-00007C010000}"/>
    <cellStyle name="Normal 2 22 8" xfId="392" xr:uid="{00000000-0005-0000-0000-00007D010000}"/>
    <cellStyle name="Normal 2 22 9" xfId="393" xr:uid="{00000000-0005-0000-0000-00007E010000}"/>
    <cellStyle name="Normal 2 23" xfId="394" xr:uid="{00000000-0005-0000-0000-00007F010000}"/>
    <cellStyle name="Normal 2 23 10" xfId="395" xr:uid="{00000000-0005-0000-0000-000080010000}"/>
    <cellStyle name="Normal 2 23 11" xfId="396" xr:uid="{00000000-0005-0000-0000-000081010000}"/>
    <cellStyle name="Normal 2 23 12" xfId="397" xr:uid="{00000000-0005-0000-0000-000082010000}"/>
    <cellStyle name="Normal 2 23 13" xfId="398" xr:uid="{00000000-0005-0000-0000-000083010000}"/>
    <cellStyle name="Normal 2 23 14" xfId="399" xr:uid="{00000000-0005-0000-0000-000084010000}"/>
    <cellStyle name="Normal 2 23 15" xfId="400" xr:uid="{00000000-0005-0000-0000-000085010000}"/>
    <cellStyle name="Normal 2 23 16" xfId="401" xr:uid="{00000000-0005-0000-0000-000086010000}"/>
    <cellStyle name="Normal 2 23 17" xfId="402" xr:uid="{00000000-0005-0000-0000-000087010000}"/>
    <cellStyle name="Normal 2 23 18" xfId="403" xr:uid="{00000000-0005-0000-0000-000088010000}"/>
    <cellStyle name="Normal 2 23 19" xfId="404" xr:uid="{00000000-0005-0000-0000-000089010000}"/>
    <cellStyle name="Normal 2 23 2" xfId="405" xr:uid="{00000000-0005-0000-0000-00008A010000}"/>
    <cellStyle name="Normal 2 23 20" xfId="406" xr:uid="{00000000-0005-0000-0000-00008B010000}"/>
    <cellStyle name="Normal 2 23 21" xfId="407" xr:uid="{00000000-0005-0000-0000-00008C010000}"/>
    <cellStyle name="Normal 2 23 22" xfId="408" xr:uid="{00000000-0005-0000-0000-00008D010000}"/>
    <cellStyle name="Normal 2 23 23" xfId="409" xr:uid="{00000000-0005-0000-0000-00008E010000}"/>
    <cellStyle name="Normal 2 23 3" xfId="410" xr:uid="{00000000-0005-0000-0000-00008F010000}"/>
    <cellStyle name="Normal 2 23 4" xfId="411" xr:uid="{00000000-0005-0000-0000-000090010000}"/>
    <cellStyle name="Normal 2 23 5" xfId="412" xr:uid="{00000000-0005-0000-0000-000091010000}"/>
    <cellStyle name="Normal 2 23 6" xfId="413" xr:uid="{00000000-0005-0000-0000-000092010000}"/>
    <cellStyle name="Normal 2 23 7" xfId="414" xr:uid="{00000000-0005-0000-0000-000093010000}"/>
    <cellStyle name="Normal 2 23 8" xfId="415" xr:uid="{00000000-0005-0000-0000-000094010000}"/>
    <cellStyle name="Normal 2 23 9" xfId="416" xr:uid="{00000000-0005-0000-0000-000095010000}"/>
    <cellStyle name="Normal 2 24" xfId="417" xr:uid="{00000000-0005-0000-0000-000096010000}"/>
    <cellStyle name="Normal 2 24 10" xfId="418" xr:uid="{00000000-0005-0000-0000-000097010000}"/>
    <cellStyle name="Normal 2 24 11" xfId="419" xr:uid="{00000000-0005-0000-0000-000098010000}"/>
    <cellStyle name="Normal 2 24 12" xfId="420" xr:uid="{00000000-0005-0000-0000-000099010000}"/>
    <cellStyle name="Normal 2 24 13" xfId="421" xr:uid="{00000000-0005-0000-0000-00009A010000}"/>
    <cellStyle name="Normal 2 24 14" xfId="422" xr:uid="{00000000-0005-0000-0000-00009B010000}"/>
    <cellStyle name="Normal 2 24 15" xfId="423" xr:uid="{00000000-0005-0000-0000-00009C010000}"/>
    <cellStyle name="Normal 2 24 16" xfId="424" xr:uid="{00000000-0005-0000-0000-00009D010000}"/>
    <cellStyle name="Normal 2 24 17" xfId="425" xr:uid="{00000000-0005-0000-0000-00009E010000}"/>
    <cellStyle name="Normal 2 24 18" xfId="426" xr:uid="{00000000-0005-0000-0000-00009F010000}"/>
    <cellStyle name="Normal 2 24 19" xfId="427" xr:uid="{00000000-0005-0000-0000-0000A0010000}"/>
    <cellStyle name="Normal 2 24 2" xfId="428" xr:uid="{00000000-0005-0000-0000-0000A1010000}"/>
    <cellStyle name="Normal 2 24 20" xfId="429" xr:uid="{00000000-0005-0000-0000-0000A2010000}"/>
    <cellStyle name="Normal 2 24 21" xfId="430" xr:uid="{00000000-0005-0000-0000-0000A3010000}"/>
    <cellStyle name="Normal 2 24 22" xfId="431" xr:uid="{00000000-0005-0000-0000-0000A4010000}"/>
    <cellStyle name="Normal 2 24 23" xfId="432" xr:uid="{00000000-0005-0000-0000-0000A5010000}"/>
    <cellStyle name="Normal 2 24 3" xfId="433" xr:uid="{00000000-0005-0000-0000-0000A6010000}"/>
    <cellStyle name="Normal 2 24 4" xfId="434" xr:uid="{00000000-0005-0000-0000-0000A7010000}"/>
    <cellStyle name="Normal 2 24 5" xfId="435" xr:uid="{00000000-0005-0000-0000-0000A8010000}"/>
    <cellStyle name="Normal 2 24 6" xfId="436" xr:uid="{00000000-0005-0000-0000-0000A9010000}"/>
    <cellStyle name="Normal 2 24 7" xfId="437" xr:uid="{00000000-0005-0000-0000-0000AA010000}"/>
    <cellStyle name="Normal 2 24 8" xfId="438" xr:uid="{00000000-0005-0000-0000-0000AB010000}"/>
    <cellStyle name="Normal 2 24 9" xfId="439" xr:uid="{00000000-0005-0000-0000-0000AC010000}"/>
    <cellStyle name="Normal 2 25" xfId="440" xr:uid="{00000000-0005-0000-0000-0000AD010000}"/>
    <cellStyle name="Normal 2 25 10" xfId="441" xr:uid="{00000000-0005-0000-0000-0000AE010000}"/>
    <cellStyle name="Normal 2 25 11" xfId="442" xr:uid="{00000000-0005-0000-0000-0000AF010000}"/>
    <cellStyle name="Normal 2 25 12" xfId="443" xr:uid="{00000000-0005-0000-0000-0000B0010000}"/>
    <cellStyle name="Normal 2 25 13" xfId="444" xr:uid="{00000000-0005-0000-0000-0000B1010000}"/>
    <cellStyle name="Normal 2 25 14" xfId="445" xr:uid="{00000000-0005-0000-0000-0000B2010000}"/>
    <cellStyle name="Normal 2 25 15" xfId="446" xr:uid="{00000000-0005-0000-0000-0000B3010000}"/>
    <cellStyle name="Normal 2 25 16" xfId="447" xr:uid="{00000000-0005-0000-0000-0000B4010000}"/>
    <cellStyle name="Normal 2 25 17" xfId="448" xr:uid="{00000000-0005-0000-0000-0000B5010000}"/>
    <cellStyle name="Normal 2 25 18" xfId="449" xr:uid="{00000000-0005-0000-0000-0000B6010000}"/>
    <cellStyle name="Normal 2 25 19" xfId="450" xr:uid="{00000000-0005-0000-0000-0000B7010000}"/>
    <cellStyle name="Normal 2 25 2" xfId="451" xr:uid="{00000000-0005-0000-0000-0000B8010000}"/>
    <cellStyle name="Normal 2 25 20" xfId="452" xr:uid="{00000000-0005-0000-0000-0000B9010000}"/>
    <cellStyle name="Normal 2 25 21" xfId="453" xr:uid="{00000000-0005-0000-0000-0000BA010000}"/>
    <cellStyle name="Normal 2 25 22" xfId="454" xr:uid="{00000000-0005-0000-0000-0000BB010000}"/>
    <cellStyle name="Normal 2 25 23" xfId="455" xr:uid="{00000000-0005-0000-0000-0000BC010000}"/>
    <cellStyle name="Normal 2 25 3" xfId="456" xr:uid="{00000000-0005-0000-0000-0000BD010000}"/>
    <cellStyle name="Normal 2 25 4" xfId="457" xr:uid="{00000000-0005-0000-0000-0000BE010000}"/>
    <cellStyle name="Normal 2 25 5" xfId="458" xr:uid="{00000000-0005-0000-0000-0000BF010000}"/>
    <cellStyle name="Normal 2 25 6" xfId="459" xr:uid="{00000000-0005-0000-0000-0000C0010000}"/>
    <cellStyle name="Normal 2 25 7" xfId="460" xr:uid="{00000000-0005-0000-0000-0000C1010000}"/>
    <cellStyle name="Normal 2 25 8" xfId="461" xr:uid="{00000000-0005-0000-0000-0000C2010000}"/>
    <cellStyle name="Normal 2 25 9" xfId="462" xr:uid="{00000000-0005-0000-0000-0000C3010000}"/>
    <cellStyle name="Normal 2 26" xfId="463" xr:uid="{00000000-0005-0000-0000-0000C4010000}"/>
    <cellStyle name="Normal 2 26 10" xfId="464" xr:uid="{00000000-0005-0000-0000-0000C5010000}"/>
    <cellStyle name="Normal 2 26 11" xfId="465" xr:uid="{00000000-0005-0000-0000-0000C6010000}"/>
    <cellStyle name="Normal 2 26 12" xfId="466" xr:uid="{00000000-0005-0000-0000-0000C7010000}"/>
    <cellStyle name="Normal 2 26 13" xfId="467" xr:uid="{00000000-0005-0000-0000-0000C8010000}"/>
    <cellStyle name="Normal 2 26 14" xfId="468" xr:uid="{00000000-0005-0000-0000-0000C9010000}"/>
    <cellStyle name="Normal 2 26 15" xfId="469" xr:uid="{00000000-0005-0000-0000-0000CA010000}"/>
    <cellStyle name="Normal 2 26 16" xfId="470" xr:uid="{00000000-0005-0000-0000-0000CB010000}"/>
    <cellStyle name="Normal 2 26 17" xfId="471" xr:uid="{00000000-0005-0000-0000-0000CC010000}"/>
    <cellStyle name="Normal 2 26 18" xfId="472" xr:uid="{00000000-0005-0000-0000-0000CD010000}"/>
    <cellStyle name="Normal 2 26 19" xfId="473" xr:uid="{00000000-0005-0000-0000-0000CE010000}"/>
    <cellStyle name="Normal 2 26 2" xfId="474" xr:uid="{00000000-0005-0000-0000-0000CF010000}"/>
    <cellStyle name="Normal 2 26 20" xfId="475" xr:uid="{00000000-0005-0000-0000-0000D0010000}"/>
    <cellStyle name="Normal 2 26 21" xfId="476" xr:uid="{00000000-0005-0000-0000-0000D1010000}"/>
    <cellStyle name="Normal 2 26 22" xfId="477" xr:uid="{00000000-0005-0000-0000-0000D2010000}"/>
    <cellStyle name="Normal 2 26 23" xfId="478" xr:uid="{00000000-0005-0000-0000-0000D3010000}"/>
    <cellStyle name="Normal 2 26 3" xfId="479" xr:uid="{00000000-0005-0000-0000-0000D4010000}"/>
    <cellStyle name="Normal 2 26 4" xfId="480" xr:uid="{00000000-0005-0000-0000-0000D5010000}"/>
    <cellStyle name="Normal 2 26 5" xfId="481" xr:uid="{00000000-0005-0000-0000-0000D6010000}"/>
    <cellStyle name="Normal 2 26 6" xfId="482" xr:uid="{00000000-0005-0000-0000-0000D7010000}"/>
    <cellStyle name="Normal 2 26 7" xfId="483" xr:uid="{00000000-0005-0000-0000-0000D8010000}"/>
    <cellStyle name="Normal 2 26 8" xfId="484" xr:uid="{00000000-0005-0000-0000-0000D9010000}"/>
    <cellStyle name="Normal 2 26 9" xfId="485" xr:uid="{00000000-0005-0000-0000-0000DA010000}"/>
    <cellStyle name="Normal 2 27" xfId="486" xr:uid="{00000000-0005-0000-0000-0000DB010000}"/>
    <cellStyle name="Normal 2 27 10" xfId="487" xr:uid="{00000000-0005-0000-0000-0000DC010000}"/>
    <cellStyle name="Normal 2 27 11" xfId="488" xr:uid="{00000000-0005-0000-0000-0000DD010000}"/>
    <cellStyle name="Normal 2 27 12" xfId="489" xr:uid="{00000000-0005-0000-0000-0000DE010000}"/>
    <cellStyle name="Normal 2 27 13" xfId="490" xr:uid="{00000000-0005-0000-0000-0000DF010000}"/>
    <cellStyle name="Normal 2 27 14" xfId="491" xr:uid="{00000000-0005-0000-0000-0000E0010000}"/>
    <cellStyle name="Normal 2 27 15" xfId="492" xr:uid="{00000000-0005-0000-0000-0000E1010000}"/>
    <cellStyle name="Normal 2 27 16" xfId="493" xr:uid="{00000000-0005-0000-0000-0000E2010000}"/>
    <cellStyle name="Normal 2 27 17" xfId="494" xr:uid="{00000000-0005-0000-0000-0000E3010000}"/>
    <cellStyle name="Normal 2 27 18" xfId="495" xr:uid="{00000000-0005-0000-0000-0000E4010000}"/>
    <cellStyle name="Normal 2 27 19" xfId="496" xr:uid="{00000000-0005-0000-0000-0000E5010000}"/>
    <cellStyle name="Normal 2 27 2" xfId="497" xr:uid="{00000000-0005-0000-0000-0000E6010000}"/>
    <cellStyle name="Normal 2 27 20" xfId="498" xr:uid="{00000000-0005-0000-0000-0000E7010000}"/>
    <cellStyle name="Normal 2 27 21" xfId="499" xr:uid="{00000000-0005-0000-0000-0000E8010000}"/>
    <cellStyle name="Normal 2 27 22" xfId="500" xr:uid="{00000000-0005-0000-0000-0000E9010000}"/>
    <cellStyle name="Normal 2 27 23" xfId="501" xr:uid="{00000000-0005-0000-0000-0000EA010000}"/>
    <cellStyle name="Normal 2 27 3" xfId="502" xr:uid="{00000000-0005-0000-0000-0000EB010000}"/>
    <cellStyle name="Normal 2 27 4" xfId="503" xr:uid="{00000000-0005-0000-0000-0000EC010000}"/>
    <cellStyle name="Normal 2 27 5" xfId="504" xr:uid="{00000000-0005-0000-0000-0000ED010000}"/>
    <cellStyle name="Normal 2 27 6" xfId="505" xr:uid="{00000000-0005-0000-0000-0000EE010000}"/>
    <cellStyle name="Normal 2 27 7" xfId="506" xr:uid="{00000000-0005-0000-0000-0000EF010000}"/>
    <cellStyle name="Normal 2 27 8" xfId="507" xr:uid="{00000000-0005-0000-0000-0000F0010000}"/>
    <cellStyle name="Normal 2 27 9" xfId="508" xr:uid="{00000000-0005-0000-0000-0000F1010000}"/>
    <cellStyle name="Normal 2 28" xfId="509" xr:uid="{00000000-0005-0000-0000-0000F2010000}"/>
    <cellStyle name="Normal 2 28 10" xfId="510" xr:uid="{00000000-0005-0000-0000-0000F3010000}"/>
    <cellStyle name="Normal 2 28 11" xfId="511" xr:uid="{00000000-0005-0000-0000-0000F4010000}"/>
    <cellStyle name="Normal 2 28 12" xfId="512" xr:uid="{00000000-0005-0000-0000-0000F5010000}"/>
    <cellStyle name="Normal 2 28 13" xfId="513" xr:uid="{00000000-0005-0000-0000-0000F6010000}"/>
    <cellStyle name="Normal 2 28 14" xfId="514" xr:uid="{00000000-0005-0000-0000-0000F7010000}"/>
    <cellStyle name="Normal 2 28 15" xfId="515" xr:uid="{00000000-0005-0000-0000-0000F8010000}"/>
    <cellStyle name="Normal 2 28 16" xfId="516" xr:uid="{00000000-0005-0000-0000-0000F9010000}"/>
    <cellStyle name="Normal 2 28 17" xfId="517" xr:uid="{00000000-0005-0000-0000-0000FA010000}"/>
    <cellStyle name="Normal 2 28 18" xfId="518" xr:uid="{00000000-0005-0000-0000-0000FB010000}"/>
    <cellStyle name="Normal 2 28 19" xfId="519" xr:uid="{00000000-0005-0000-0000-0000FC010000}"/>
    <cellStyle name="Normal 2 28 2" xfId="520" xr:uid="{00000000-0005-0000-0000-0000FD010000}"/>
    <cellStyle name="Normal 2 28 20" xfId="521" xr:uid="{00000000-0005-0000-0000-0000FE010000}"/>
    <cellStyle name="Normal 2 28 21" xfId="522" xr:uid="{00000000-0005-0000-0000-0000FF010000}"/>
    <cellStyle name="Normal 2 28 22" xfId="523" xr:uid="{00000000-0005-0000-0000-000000020000}"/>
    <cellStyle name="Normal 2 28 23" xfId="524" xr:uid="{00000000-0005-0000-0000-000001020000}"/>
    <cellStyle name="Normal 2 28 3" xfId="525" xr:uid="{00000000-0005-0000-0000-000002020000}"/>
    <cellStyle name="Normal 2 28 4" xfId="526" xr:uid="{00000000-0005-0000-0000-000003020000}"/>
    <cellStyle name="Normal 2 28 5" xfId="527" xr:uid="{00000000-0005-0000-0000-000004020000}"/>
    <cellStyle name="Normal 2 28 6" xfId="528" xr:uid="{00000000-0005-0000-0000-000005020000}"/>
    <cellStyle name="Normal 2 28 7" xfId="529" xr:uid="{00000000-0005-0000-0000-000006020000}"/>
    <cellStyle name="Normal 2 28 8" xfId="530" xr:uid="{00000000-0005-0000-0000-000007020000}"/>
    <cellStyle name="Normal 2 28 9" xfId="531" xr:uid="{00000000-0005-0000-0000-000008020000}"/>
    <cellStyle name="Normal 2 29" xfId="532" xr:uid="{00000000-0005-0000-0000-000009020000}"/>
    <cellStyle name="Normal 2 29 10" xfId="533" xr:uid="{00000000-0005-0000-0000-00000A020000}"/>
    <cellStyle name="Normal 2 29 11" xfId="534" xr:uid="{00000000-0005-0000-0000-00000B020000}"/>
    <cellStyle name="Normal 2 29 12" xfId="535" xr:uid="{00000000-0005-0000-0000-00000C020000}"/>
    <cellStyle name="Normal 2 29 13" xfId="536" xr:uid="{00000000-0005-0000-0000-00000D020000}"/>
    <cellStyle name="Normal 2 29 14" xfId="537" xr:uid="{00000000-0005-0000-0000-00000E020000}"/>
    <cellStyle name="Normal 2 29 15" xfId="538" xr:uid="{00000000-0005-0000-0000-00000F020000}"/>
    <cellStyle name="Normal 2 29 16" xfId="539" xr:uid="{00000000-0005-0000-0000-000010020000}"/>
    <cellStyle name="Normal 2 29 17" xfId="540" xr:uid="{00000000-0005-0000-0000-000011020000}"/>
    <cellStyle name="Normal 2 29 18" xfId="541" xr:uid="{00000000-0005-0000-0000-000012020000}"/>
    <cellStyle name="Normal 2 29 19" xfId="542" xr:uid="{00000000-0005-0000-0000-000013020000}"/>
    <cellStyle name="Normal 2 29 2" xfId="543" xr:uid="{00000000-0005-0000-0000-000014020000}"/>
    <cellStyle name="Normal 2 29 20" xfId="544" xr:uid="{00000000-0005-0000-0000-000015020000}"/>
    <cellStyle name="Normal 2 29 21" xfId="545" xr:uid="{00000000-0005-0000-0000-000016020000}"/>
    <cellStyle name="Normal 2 29 22" xfId="546" xr:uid="{00000000-0005-0000-0000-000017020000}"/>
    <cellStyle name="Normal 2 29 23" xfId="547" xr:uid="{00000000-0005-0000-0000-000018020000}"/>
    <cellStyle name="Normal 2 29 3" xfId="548" xr:uid="{00000000-0005-0000-0000-000019020000}"/>
    <cellStyle name="Normal 2 29 4" xfId="549" xr:uid="{00000000-0005-0000-0000-00001A020000}"/>
    <cellStyle name="Normal 2 29 5" xfId="550" xr:uid="{00000000-0005-0000-0000-00001B020000}"/>
    <cellStyle name="Normal 2 29 6" xfId="551" xr:uid="{00000000-0005-0000-0000-00001C020000}"/>
    <cellStyle name="Normal 2 29 7" xfId="552" xr:uid="{00000000-0005-0000-0000-00001D020000}"/>
    <cellStyle name="Normal 2 29 8" xfId="553" xr:uid="{00000000-0005-0000-0000-00001E020000}"/>
    <cellStyle name="Normal 2 29 9" xfId="554" xr:uid="{00000000-0005-0000-0000-00001F020000}"/>
    <cellStyle name="Normal 2 3" xfId="555" xr:uid="{00000000-0005-0000-0000-000020020000}"/>
    <cellStyle name="Normal 2 30" xfId="556" xr:uid="{00000000-0005-0000-0000-000021020000}"/>
    <cellStyle name="Normal 2 30 10" xfId="557" xr:uid="{00000000-0005-0000-0000-000022020000}"/>
    <cellStyle name="Normal 2 30 11" xfId="558" xr:uid="{00000000-0005-0000-0000-000023020000}"/>
    <cellStyle name="Normal 2 30 12" xfId="559" xr:uid="{00000000-0005-0000-0000-000024020000}"/>
    <cellStyle name="Normal 2 30 13" xfId="560" xr:uid="{00000000-0005-0000-0000-000025020000}"/>
    <cellStyle name="Normal 2 30 14" xfId="561" xr:uid="{00000000-0005-0000-0000-000026020000}"/>
    <cellStyle name="Normal 2 30 15" xfId="562" xr:uid="{00000000-0005-0000-0000-000027020000}"/>
    <cellStyle name="Normal 2 30 16" xfId="563" xr:uid="{00000000-0005-0000-0000-000028020000}"/>
    <cellStyle name="Normal 2 30 17" xfId="564" xr:uid="{00000000-0005-0000-0000-000029020000}"/>
    <cellStyle name="Normal 2 30 18" xfId="565" xr:uid="{00000000-0005-0000-0000-00002A020000}"/>
    <cellStyle name="Normal 2 30 19" xfId="566" xr:uid="{00000000-0005-0000-0000-00002B020000}"/>
    <cellStyle name="Normal 2 30 2" xfId="567" xr:uid="{00000000-0005-0000-0000-00002C020000}"/>
    <cellStyle name="Normal 2 30 20" xfId="568" xr:uid="{00000000-0005-0000-0000-00002D020000}"/>
    <cellStyle name="Normal 2 30 21" xfId="569" xr:uid="{00000000-0005-0000-0000-00002E020000}"/>
    <cellStyle name="Normal 2 30 22" xfId="570" xr:uid="{00000000-0005-0000-0000-00002F020000}"/>
    <cellStyle name="Normal 2 30 23" xfId="571" xr:uid="{00000000-0005-0000-0000-000030020000}"/>
    <cellStyle name="Normal 2 30 3" xfId="572" xr:uid="{00000000-0005-0000-0000-000031020000}"/>
    <cellStyle name="Normal 2 30 4" xfId="573" xr:uid="{00000000-0005-0000-0000-000032020000}"/>
    <cellStyle name="Normal 2 30 5" xfId="574" xr:uid="{00000000-0005-0000-0000-000033020000}"/>
    <cellStyle name="Normal 2 30 6" xfId="575" xr:uid="{00000000-0005-0000-0000-000034020000}"/>
    <cellStyle name="Normal 2 30 7" xfId="576" xr:uid="{00000000-0005-0000-0000-000035020000}"/>
    <cellStyle name="Normal 2 30 8" xfId="577" xr:uid="{00000000-0005-0000-0000-000036020000}"/>
    <cellStyle name="Normal 2 30 9" xfId="578" xr:uid="{00000000-0005-0000-0000-000037020000}"/>
    <cellStyle name="Normal 2 31" xfId="579" xr:uid="{00000000-0005-0000-0000-000038020000}"/>
    <cellStyle name="Normal 2 31 10" xfId="580" xr:uid="{00000000-0005-0000-0000-000039020000}"/>
    <cellStyle name="Normal 2 31 11" xfId="581" xr:uid="{00000000-0005-0000-0000-00003A020000}"/>
    <cellStyle name="Normal 2 31 12" xfId="582" xr:uid="{00000000-0005-0000-0000-00003B020000}"/>
    <cellStyle name="Normal 2 31 13" xfId="583" xr:uid="{00000000-0005-0000-0000-00003C020000}"/>
    <cellStyle name="Normal 2 31 14" xfId="584" xr:uid="{00000000-0005-0000-0000-00003D020000}"/>
    <cellStyle name="Normal 2 31 15" xfId="585" xr:uid="{00000000-0005-0000-0000-00003E020000}"/>
    <cellStyle name="Normal 2 31 16" xfId="586" xr:uid="{00000000-0005-0000-0000-00003F020000}"/>
    <cellStyle name="Normal 2 31 17" xfId="587" xr:uid="{00000000-0005-0000-0000-000040020000}"/>
    <cellStyle name="Normal 2 31 18" xfId="588" xr:uid="{00000000-0005-0000-0000-000041020000}"/>
    <cellStyle name="Normal 2 31 19" xfId="589" xr:uid="{00000000-0005-0000-0000-000042020000}"/>
    <cellStyle name="Normal 2 31 2" xfId="590" xr:uid="{00000000-0005-0000-0000-000043020000}"/>
    <cellStyle name="Normal 2 31 20" xfId="591" xr:uid="{00000000-0005-0000-0000-000044020000}"/>
    <cellStyle name="Normal 2 31 21" xfId="592" xr:uid="{00000000-0005-0000-0000-000045020000}"/>
    <cellStyle name="Normal 2 31 22" xfId="593" xr:uid="{00000000-0005-0000-0000-000046020000}"/>
    <cellStyle name="Normal 2 31 23" xfId="594" xr:uid="{00000000-0005-0000-0000-000047020000}"/>
    <cellStyle name="Normal 2 31 3" xfId="595" xr:uid="{00000000-0005-0000-0000-000048020000}"/>
    <cellStyle name="Normal 2 31 4" xfId="596" xr:uid="{00000000-0005-0000-0000-000049020000}"/>
    <cellStyle name="Normal 2 31 5" xfId="597" xr:uid="{00000000-0005-0000-0000-00004A020000}"/>
    <cellStyle name="Normal 2 31 6" xfId="598" xr:uid="{00000000-0005-0000-0000-00004B020000}"/>
    <cellStyle name="Normal 2 31 7" xfId="599" xr:uid="{00000000-0005-0000-0000-00004C020000}"/>
    <cellStyle name="Normal 2 31 8" xfId="600" xr:uid="{00000000-0005-0000-0000-00004D020000}"/>
    <cellStyle name="Normal 2 31 9" xfId="601" xr:uid="{00000000-0005-0000-0000-00004E020000}"/>
    <cellStyle name="Normal 2 32" xfId="602" xr:uid="{00000000-0005-0000-0000-00004F020000}"/>
    <cellStyle name="Normal 2 32 10" xfId="603" xr:uid="{00000000-0005-0000-0000-000050020000}"/>
    <cellStyle name="Normal 2 32 11" xfId="604" xr:uid="{00000000-0005-0000-0000-000051020000}"/>
    <cellStyle name="Normal 2 32 12" xfId="605" xr:uid="{00000000-0005-0000-0000-000052020000}"/>
    <cellStyle name="Normal 2 32 13" xfId="606" xr:uid="{00000000-0005-0000-0000-000053020000}"/>
    <cellStyle name="Normal 2 32 14" xfId="607" xr:uid="{00000000-0005-0000-0000-000054020000}"/>
    <cellStyle name="Normal 2 32 15" xfId="608" xr:uid="{00000000-0005-0000-0000-000055020000}"/>
    <cellStyle name="Normal 2 32 16" xfId="609" xr:uid="{00000000-0005-0000-0000-000056020000}"/>
    <cellStyle name="Normal 2 32 17" xfId="610" xr:uid="{00000000-0005-0000-0000-000057020000}"/>
    <cellStyle name="Normal 2 32 18" xfId="611" xr:uid="{00000000-0005-0000-0000-000058020000}"/>
    <cellStyle name="Normal 2 32 19" xfId="612" xr:uid="{00000000-0005-0000-0000-000059020000}"/>
    <cellStyle name="Normal 2 32 2" xfId="613" xr:uid="{00000000-0005-0000-0000-00005A020000}"/>
    <cellStyle name="Normal 2 32 20" xfId="614" xr:uid="{00000000-0005-0000-0000-00005B020000}"/>
    <cellStyle name="Normal 2 32 21" xfId="615" xr:uid="{00000000-0005-0000-0000-00005C020000}"/>
    <cellStyle name="Normal 2 32 22" xfId="616" xr:uid="{00000000-0005-0000-0000-00005D020000}"/>
    <cellStyle name="Normal 2 32 23" xfId="617" xr:uid="{00000000-0005-0000-0000-00005E020000}"/>
    <cellStyle name="Normal 2 32 3" xfId="618" xr:uid="{00000000-0005-0000-0000-00005F020000}"/>
    <cellStyle name="Normal 2 32 4" xfId="619" xr:uid="{00000000-0005-0000-0000-000060020000}"/>
    <cellStyle name="Normal 2 32 5" xfId="620" xr:uid="{00000000-0005-0000-0000-000061020000}"/>
    <cellStyle name="Normal 2 32 6" xfId="621" xr:uid="{00000000-0005-0000-0000-000062020000}"/>
    <cellStyle name="Normal 2 32 7" xfId="622" xr:uid="{00000000-0005-0000-0000-000063020000}"/>
    <cellStyle name="Normal 2 32 8" xfId="623" xr:uid="{00000000-0005-0000-0000-000064020000}"/>
    <cellStyle name="Normal 2 32 9" xfId="624" xr:uid="{00000000-0005-0000-0000-000065020000}"/>
    <cellStyle name="Normal 2 33" xfId="625" xr:uid="{00000000-0005-0000-0000-000066020000}"/>
    <cellStyle name="Normal 2 33 10" xfId="626" xr:uid="{00000000-0005-0000-0000-000067020000}"/>
    <cellStyle name="Normal 2 33 11" xfId="627" xr:uid="{00000000-0005-0000-0000-000068020000}"/>
    <cellStyle name="Normal 2 33 12" xfId="628" xr:uid="{00000000-0005-0000-0000-000069020000}"/>
    <cellStyle name="Normal 2 33 13" xfId="629" xr:uid="{00000000-0005-0000-0000-00006A020000}"/>
    <cellStyle name="Normal 2 33 14" xfId="630" xr:uid="{00000000-0005-0000-0000-00006B020000}"/>
    <cellStyle name="Normal 2 33 15" xfId="631" xr:uid="{00000000-0005-0000-0000-00006C020000}"/>
    <cellStyle name="Normal 2 33 16" xfId="632" xr:uid="{00000000-0005-0000-0000-00006D020000}"/>
    <cellStyle name="Normal 2 33 17" xfId="633" xr:uid="{00000000-0005-0000-0000-00006E020000}"/>
    <cellStyle name="Normal 2 33 18" xfId="634" xr:uid="{00000000-0005-0000-0000-00006F020000}"/>
    <cellStyle name="Normal 2 33 19" xfId="635" xr:uid="{00000000-0005-0000-0000-000070020000}"/>
    <cellStyle name="Normal 2 33 2" xfId="636" xr:uid="{00000000-0005-0000-0000-000071020000}"/>
    <cellStyle name="Normal 2 33 20" xfId="637" xr:uid="{00000000-0005-0000-0000-000072020000}"/>
    <cellStyle name="Normal 2 33 21" xfId="638" xr:uid="{00000000-0005-0000-0000-000073020000}"/>
    <cellStyle name="Normal 2 33 22" xfId="639" xr:uid="{00000000-0005-0000-0000-000074020000}"/>
    <cellStyle name="Normal 2 33 23" xfId="640" xr:uid="{00000000-0005-0000-0000-000075020000}"/>
    <cellStyle name="Normal 2 33 3" xfId="641" xr:uid="{00000000-0005-0000-0000-000076020000}"/>
    <cellStyle name="Normal 2 33 4" xfId="642" xr:uid="{00000000-0005-0000-0000-000077020000}"/>
    <cellStyle name="Normal 2 33 5" xfId="643" xr:uid="{00000000-0005-0000-0000-000078020000}"/>
    <cellStyle name="Normal 2 33 6" xfId="644" xr:uid="{00000000-0005-0000-0000-000079020000}"/>
    <cellStyle name="Normal 2 33 7" xfId="645" xr:uid="{00000000-0005-0000-0000-00007A020000}"/>
    <cellStyle name="Normal 2 33 8" xfId="646" xr:uid="{00000000-0005-0000-0000-00007B020000}"/>
    <cellStyle name="Normal 2 33 9" xfId="647" xr:uid="{00000000-0005-0000-0000-00007C020000}"/>
    <cellStyle name="Normal 2 34" xfId="648" xr:uid="{00000000-0005-0000-0000-00007D020000}"/>
    <cellStyle name="Normal 2 34 10" xfId="649" xr:uid="{00000000-0005-0000-0000-00007E020000}"/>
    <cellStyle name="Normal 2 34 11" xfId="650" xr:uid="{00000000-0005-0000-0000-00007F020000}"/>
    <cellStyle name="Normal 2 34 12" xfId="651" xr:uid="{00000000-0005-0000-0000-000080020000}"/>
    <cellStyle name="Normal 2 34 13" xfId="652" xr:uid="{00000000-0005-0000-0000-000081020000}"/>
    <cellStyle name="Normal 2 34 14" xfId="653" xr:uid="{00000000-0005-0000-0000-000082020000}"/>
    <cellStyle name="Normal 2 34 15" xfId="654" xr:uid="{00000000-0005-0000-0000-000083020000}"/>
    <cellStyle name="Normal 2 34 16" xfId="655" xr:uid="{00000000-0005-0000-0000-000084020000}"/>
    <cellStyle name="Normal 2 34 17" xfId="656" xr:uid="{00000000-0005-0000-0000-000085020000}"/>
    <cellStyle name="Normal 2 34 18" xfId="657" xr:uid="{00000000-0005-0000-0000-000086020000}"/>
    <cellStyle name="Normal 2 34 19" xfId="658" xr:uid="{00000000-0005-0000-0000-000087020000}"/>
    <cellStyle name="Normal 2 34 2" xfId="659" xr:uid="{00000000-0005-0000-0000-000088020000}"/>
    <cellStyle name="Normal 2 34 20" xfId="660" xr:uid="{00000000-0005-0000-0000-000089020000}"/>
    <cellStyle name="Normal 2 34 21" xfId="661" xr:uid="{00000000-0005-0000-0000-00008A020000}"/>
    <cellStyle name="Normal 2 34 22" xfId="662" xr:uid="{00000000-0005-0000-0000-00008B020000}"/>
    <cellStyle name="Normal 2 34 23" xfId="663" xr:uid="{00000000-0005-0000-0000-00008C020000}"/>
    <cellStyle name="Normal 2 34 3" xfId="664" xr:uid="{00000000-0005-0000-0000-00008D020000}"/>
    <cellStyle name="Normal 2 34 4" xfId="665" xr:uid="{00000000-0005-0000-0000-00008E020000}"/>
    <cellStyle name="Normal 2 34 5" xfId="666" xr:uid="{00000000-0005-0000-0000-00008F020000}"/>
    <cellStyle name="Normal 2 34 6" xfId="667" xr:uid="{00000000-0005-0000-0000-000090020000}"/>
    <cellStyle name="Normal 2 34 7" xfId="668" xr:uid="{00000000-0005-0000-0000-000091020000}"/>
    <cellStyle name="Normal 2 34 8" xfId="669" xr:uid="{00000000-0005-0000-0000-000092020000}"/>
    <cellStyle name="Normal 2 34 9" xfId="670" xr:uid="{00000000-0005-0000-0000-000093020000}"/>
    <cellStyle name="Normal 2 35" xfId="671" xr:uid="{00000000-0005-0000-0000-000094020000}"/>
    <cellStyle name="Normal 2 35 10" xfId="672" xr:uid="{00000000-0005-0000-0000-000095020000}"/>
    <cellStyle name="Normal 2 35 11" xfId="673" xr:uid="{00000000-0005-0000-0000-000096020000}"/>
    <cellStyle name="Normal 2 35 12" xfId="674" xr:uid="{00000000-0005-0000-0000-000097020000}"/>
    <cellStyle name="Normal 2 35 13" xfId="675" xr:uid="{00000000-0005-0000-0000-000098020000}"/>
    <cellStyle name="Normal 2 35 14" xfId="676" xr:uid="{00000000-0005-0000-0000-000099020000}"/>
    <cellStyle name="Normal 2 35 15" xfId="677" xr:uid="{00000000-0005-0000-0000-00009A020000}"/>
    <cellStyle name="Normal 2 35 16" xfId="678" xr:uid="{00000000-0005-0000-0000-00009B020000}"/>
    <cellStyle name="Normal 2 35 17" xfId="679" xr:uid="{00000000-0005-0000-0000-00009C020000}"/>
    <cellStyle name="Normal 2 35 18" xfId="680" xr:uid="{00000000-0005-0000-0000-00009D020000}"/>
    <cellStyle name="Normal 2 35 19" xfId="681" xr:uid="{00000000-0005-0000-0000-00009E020000}"/>
    <cellStyle name="Normal 2 35 2" xfId="682" xr:uid="{00000000-0005-0000-0000-00009F020000}"/>
    <cellStyle name="Normal 2 35 20" xfId="683" xr:uid="{00000000-0005-0000-0000-0000A0020000}"/>
    <cellStyle name="Normal 2 35 21" xfId="684" xr:uid="{00000000-0005-0000-0000-0000A1020000}"/>
    <cellStyle name="Normal 2 35 22" xfId="685" xr:uid="{00000000-0005-0000-0000-0000A2020000}"/>
    <cellStyle name="Normal 2 35 23" xfId="686" xr:uid="{00000000-0005-0000-0000-0000A3020000}"/>
    <cellStyle name="Normal 2 35 3" xfId="687" xr:uid="{00000000-0005-0000-0000-0000A4020000}"/>
    <cellStyle name="Normal 2 35 4" xfId="688" xr:uid="{00000000-0005-0000-0000-0000A5020000}"/>
    <cellStyle name="Normal 2 35 5" xfId="689" xr:uid="{00000000-0005-0000-0000-0000A6020000}"/>
    <cellStyle name="Normal 2 35 6" xfId="690" xr:uid="{00000000-0005-0000-0000-0000A7020000}"/>
    <cellStyle name="Normal 2 35 7" xfId="691" xr:uid="{00000000-0005-0000-0000-0000A8020000}"/>
    <cellStyle name="Normal 2 35 8" xfId="692" xr:uid="{00000000-0005-0000-0000-0000A9020000}"/>
    <cellStyle name="Normal 2 35 9" xfId="693" xr:uid="{00000000-0005-0000-0000-0000AA020000}"/>
    <cellStyle name="Normal 2 36" xfId="694" xr:uid="{00000000-0005-0000-0000-0000AB020000}"/>
    <cellStyle name="Normal 2 36 10" xfId="695" xr:uid="{00000000-0005-0000-0000-0000AC020000}"/>
    <cellStyle name="Normal 2 36 11" xfId="696" xr:uid="{00000000-0005-0000-0000-0000AD020000}"/>
    <cellStyle name="Normal 2 36 12" xfId="697" xr:uid="{00000000-0005-0000-0000-0000AE020000}"/>
    <cellStyle name="Normal 2 36 13" xfId="698" xr:uid="{00000000-0005-0000-0000-0000AF020000}"/>
    <cellStyle name="Normal 2 36 14" xfId="699" xr:uid="{00000000-0005-0000-0000-0000B0020000}"/>
    <cellStyle name="Normal 2 36 15" xfId="700" xr:uid="{00000000-0005-0000-0000-0000B1020000}"/>
    <cellStyle name="Normal 2 36 16" xfId="701" xr:uid="{00000000-0005-0000-0000-0000B2020000}"/>
    <cellStyle name="Normal 2 36 17" xfId="702" xr:uid="{00000000-0005-0000-0000-0000B3020000}"/>
    <cellStyle name="Normal 2 36 18" xfId="703" xr:uid="{00000000-0005-0000-0000-0000B4020000}"/>
    <cellStyle name="Normal 2 36 19" xfId="704" xr:uid="{00000000-0005-0000-0000-0000B5020000}"/>
    <cellStyle name="Normal 2 36 2" xfId="705" xr:uid="{00000000-0005-0000-0000-0000B6020000}"/>
    <cellStyle name="Normal 2 36 20" xfId="706" xr:uid="{00000000-0005-0000-0000-0000B7020000}"/>
    <cellStyle name="Normal 2 36 21" xfId="707" xr:uid="{00000000-0005-0000-0000-0000B8020000}"/>
    <cellStyle name="Normal 2 36 22" xfId="708" xr:uid="{00000000-0005-0000-0000-0000B9020000}"/>
    <cellStyle name="Normal 2 36 23" xfId="709" xr:uid="{00000000-0005-0000-0000-0000BA020000}"/>
    <cellStyle name="Normal 2 36 3" xfId="710" xr:uid="{00000000-0005-0000-0000-0000BB020000}"/>
    <cellStyle name="Normal 2 36 4" xfId="711" xr:uid="{00000000-0005-0000-0000-0000BC020000}"/>
    <cellStyle name="Normal 2 36 5" xfId="712" xr:uid="{00000000-0005-0000-0000-0000BD020000}"/>
    <cellStyle name="Normal 2 36 6" xfId="713" xr:uid="{00000000-0005-0000-0000-0000BE020000}"/>
    <cellStyle name="Normal 2 36 7" xfId="714" xr:uid="{00000000-0005-0000-0000-0000BF020000}"/>
    <cellStyle name="Normal 2 36 8" xfId="715" xr:uid="{00000000-0005-0000-0000-0000C0020000}"/>
    <cellStyle name="Normal 2 36 9" xfId="716" xr:uid="{00000000-0005-0000-0000-0000C1020000}"/>
    <cellStyle name="Normal 2 37" xfId="717" xr:uid="{00000000-0005-0000-0000-0000C2020000}"/>
    <cellStyle name="Normal 2 37 10" xfId="718" xr:uid="{00000000-0005-0000-0000-0000C3020000}"/>
    <cellStyle name="Normal 2 37 11" xfId="719" xr:uid="{00000000-0005-0000-0000-0000C4020000}"/>
    <cellStyle name="Normal 2 37 12" xfId="720" xr:uid="{00000000-0005-0000-0000-0000C5020000}"/>
    <cellStyle name="Normal 2 37 13" xfId="721" xr:uid="{00000000-0005-0000-0000-0000C6020000}"/>
    <cellStyle name="Normal 2 37 14" xfId="722" xr:uid="{00000000-0005-0000-0000-0000C7020000}"/>
    <cellStyle name="Normal 2 37 15" xfId="723" xr:uid="{00000000-0005-0000-0000-0000C8020000}"/>
    <cellStyle name="Normal 2 37 16" xfId="724" xr:uid="{00000000-0005-0000-0000-0000C9020000}"/>
    <cellStyle name="Normal 2 37 17" xfId="725" xr:uid="{00000000-0005-0000-0000-0000CA020000}"/>
    <cellStyle name="Normal 2 37 18" xfId="726" xr:uid="{00000000-0005-0000-0000-0000CB020000}"/>
    <cellStyle name="Normal 2 37 19" xfId="727" xr:uid="{00000000-0005-0000-0000-0000CC020000}"/>
    <cellStyle name="Normal 2 37 2" xfId="728" xr:uid="{00000000-0005-0000-0000-0000CD020000}"/>
    <cellStyle name="Normal 2 37 20" xfId="729" xr:uid="{00000000-0005-0000-0000-0000CE020000}"/>
    <cellStyle name="Normal 2 37 21" xfId="730" xr:uid="{00000000-0005-0000-0000-0000CF020000}"/>
    <cellStyle name="Normal 2 37 22" xfId="731" xr:uid="{00000000-0005-0000-0000-0000D0020000}"/>
    <cellStyle name="Normal 2 37 23" xfId="732" xr:uid="{00000000-0005-0000-0000-0000D1020000}"/>
    <cellStyle name="Normal 2 37 3" xfId="733" xr:uid="{00000000-0005-0000-0000-0000D2020000}"/>
    <cellStyle name="Normal 2 37 4" xfId="734" xr:uid="{00000000-0005-0000-0000-0000D3020000}"/>
    <cellStyle name="Normal 2 37 5" xfId="735" xr:uid="{00000000-0005-0000-0000-0000D4020000}"/>
    <cellStyle name="Normal 2 37 6" xfId="736" xr:uid="{00000000-0005-0000-0000-0000D5020000}"/>
    <cellStyle name="Normal 2 37 7" xfId="737" xr:uid="{00000000-0005-0000-0000-0000D6020000}"/>
    <cellStyle name="Normal 2 37 8" xfId="738" xr:uid="{00000000-0005-0000-0000-0000D7020000}"/>
    <cellStyle name="Normal 2 37 9" xfId="739" xr:uid="{00000000-0005-0000-0000-0000D8020000}"/>
    <cellStyle name="Normal 2 38" xfId="740" xr:uid="{00000000-0005-0000-0000-0000D9020000}"/>
    <cellStyle name="Normal 2 38 10" xfId="741" xr:uid="{00000000-0005-0000-0000-0000DA020000}"/>
    <cellStyle name="Normal 2 38 11" xfId="742" xr:uid="{00000000-0005-0000-0000-0000DB020000}"/>
    <cellStyle name="Normal 2 38 12" xfId="743" xr:uid="{00000000-0005-0000-0000-0000DC020000}"/>
    <cellStyle name="Normal 2 38 13" xfId="744" xr:uid="{00000000-0005-0000-0000-0000DD020000}"/>
    <cellStyle name="Normal 2 38 14" xfId="745" xr:uid="{00000000-0005-0000-0000-0000DE020000}"/>
    <cellStyle name="Normal 2 38 15" xfId="746" xr:uid="{00000000-0005-0000-0000-0000DF020000}"/>
    <cellStyle name="Normal 2 38 16" xfId="747" xr:uid="{00000000-0005-0000-0000-0000E0020000}"/>
    <cellStyle name="Normal 2 38 17" xfId="748" xr:uid="{00000000-0005-0000-0000-0000E1020000}"/>
    <cellStyle name="Normal 2 38 18" xfId="749" xr:uid="{00000000-0005-0000-0000-0000E2020000}"/>
    <cellStyle name="Normal 2 38 19" xfId="750" xr:uid="{00000000-0005-0000-0000-0000E3020000}"/>
    <cellStyle name="Normal 2 38 2" xfId="751" xr:uid="{00000000-0005-0000-0000-0000E4020000}"/>
    <cellStyle name="Normal 2 38 20" xfId="752" xr:uid="{00000000-0005-0000-0000-0000E5020000}"/>
    <cellStyle name="Normal 2 38 21" xfId="753" xr:uid="{00000000-0005-0000-0000-0000E6020000}"/>
    <cellStyle name="Normal 2 38 22" xfId="754" xr:uid="{00000000-0005-0000-0000-0000E7020000}"/>
    <cellStyle name="Normal 2 38 23" xfId="755" xr:uid="{00000000-0005-0000-0000-0000E8020000}"/>
    <cellStyle name="Normal 2 38 3" xfId="756" xr:uid="{00000000-0005-0000-0000-0000E9020000}"/>
    <cellStyle name="Normal 2 38 4" xfId="757" xr:uid="{00000000-0005-0000-0000-0000EA020000}"/>
    <cellStyle name="Normal 2 38 5" xfId="758" xr:uid="{00000000-0005-0000-0000-0000EB020000}"/>
    <cellStyle name="Normal 2 38 6" xfId="759" xr:uid="{00000000-0005-0000-0000-0000EC020000}"/>
    <cellStyle name="Normal 2 38 7" xfId="760" xr:uid="{00000000-0005-0000-0000-0000ED020000}"/>
    <cellStyle name="Normal 2 38 8" xfId="761" xr:uid="{00000000-0005-0000-0000-0000EE020000}"/>
    <cellStyle name="Normal 2 38 9" xfId="762" xr:uid="{00000000-0005-0000-0000-0000EF020000}"/>
    <cellStyle name="Normal 2 39" xfId="763" xr:uid="{00000000-0005-0000-0000-0000F0020000}"/>
    <cellStyle name="Normal 2 39 10" xfId="764" xr:uid="{00000000-0005-0000-0000-0000F1020000}"/>
    <cellStyle name="Normal 2 39 11" xfId="765" xr:uid="{00000000-0005-0000-0000-0000F2020000}"/>
    <cellStyle name="Normal 2 39 12" xfId="766" xr:uid="{00000000-0005-0000-0000-0000F3020000}"/>
    <cellStyle name="Normal 2 39 13" xfId="767" xr:uid="{00000000-0005-0000-0000-0000F4020000}"/>
    <cellStyle name="Normal 2 39 14" xfId="768" xr:uid="{00000000-0005-0000-0000-0000F5020000}"/>
    <cellStyle name="Normal 2 39 15" xfId="769" xr:uid="{00000000-0005-0000-0000-0000F6020000}"/>
    <cellStyle name="Normal 2 39 16" xfId="770" xr:uid="{00000000-0005-0000-0000-0000F7020000}"/>
    <cellStyle name="Normal 2 39 17" xfId="771" xr:uid="{00000000-0005-0000-0000-0000F8020000}"/>
    <cellStyle name="Normal 2 39 18" xfId="772" xr:uid="{00000000-0005-0000-0000-0000F9020000}"/>
    <cellStyle name="Normal 2 39 19" xfId="773" xr:uid="{00000000-0005-0000-0000-0000FA020000}"/>
    <cellStyle name="Normal 2 39 2" xfId="774" xr:uid="{00000000-0005-0000-0000-0000FB020000}"/>
    <cellStyle name="Normal 2 39 20" xfId="775" xr:uid="{00000000-0005-0000-0000-0000FC020000}"/>
    <cellStyle name="Normal 2 39 21" xfId="776" xr:uid="{00000000-0005-0000-0000-0000FD020000}"/>
    <cellStyle name="Normal 2 39 22" xfId="777" xr:uid="{00000000-0005-0000-0000-0000FE020000}"/>
    <cellStyle name="Normal 2 39 23" xfId="778" xr:uid="{00000000-0005-0000-0000-0000FF020000}"/>
    <cellStyle name="Normal 2 39 3" xfId="779" xr:uid="{00000000-0005-0000-0000-000000030000}"/>
    <cellStyle name="Normal 2 39 4" xfId="780" xr:uid="{00000000-0005-0000-0000-000001030000}"/>
    <cellStyle name="Normal 2 39 5" xfId="781" xr:uid="{00000000-0005-0000-0000-000002030000}"/>
    <cellStyle name="Normal 2 39 6" xfId="782" xr:uid="{00000000-0005-0000-0000-000003030000}"/>
    <cellStyle name="Normal 2 39 7" xfId="783" xr:uid="{00000000-0005-0000-0000-000004030000}"/>
    <cellStyle name="Normal 2 39 8" xfId="784" xr:uid="{00000000-0005-0000-0000-000005030000}"/>
    <cellStyle name="Normal 2 39 9" xfId="785" xr:uid="{00000000-0005-0000-0000-000006030000}"/>
    <cellStyle name="Normal 2 4" xfId="786" xr:uid="{00000000-0005-0000-0000-000007030000}"/>
    <cellStyle name="Normal 2 40" xfId="787" xr:uid="{00000000-0005-0000-0000-000008030000}"/>
    <cellStyle name="Normal 2 41" xfId="788" xr:uid="{00000000-0005-0000-0000-000009030000}"/>
    <cellStyle name="Normal 2 42" xfId="789" xr:uid="{00000000-0005-0000-0000-00000A030000}"/>
    <cellStyle name="Normal 2 43" xfId="790" xr:uid="{00000000-0005-0000-0000-00000B030000}"/>
    <cellStyle name="Normal 2 44" xfId="791" xr:uid="{00000000-0005-0000-0000-00000C030000}"/>
    <cellStyle name="Normal 2 45" xfId="792" xr:uid="{00000000-0005-0000-0000-00000D030000}"/>
    <cellStyle name="Normal 2 46" xfId="793" xr:uid="{00000000-0005-0000-0000-00000E030000}"/>
    <cellStyle name="Normal 2 47" xfId="794" xr:uid="{00000000-0005-0000-0000-00000F030000}"/>
    <cellStyle name="Normal 2 48" xfId="795" xr:uid="{00000000-0005-0000-0000-000010030000}"/>
    <cellStyle name="Normal 2 49" xfId="796" xr:uid="{00000000-0005-0000-0000-000011030000}"/>
    <cellStyle name="Normal 2 5" xfId="797" xr:uid="{00000000-0005-0000-0000-000012030000}"/>
    <cellStyle name="Normal 2 5 10" xfId="798" xr:uid="{00000000-0005-0000-0000-000013030000}"/>
    <cellStyle name="Normal 2 5 11" xfId="799" xr:uid="{00000000-0005-0000-0000-000014030000}"/>
    <cellStyle name="Normal 2 5 12" xfId="800" xr:uid="{00000000-0005-0000-0000-000015030000}"/>
    <cellStyle name="Normal 2 5 13" xfId="801" xr:uid="{00000000-0005-0000-0000-000016030000}"/>
    <cellStyle name="Normal 2 5 14" xfId="802" xr:uid="{00000000-0005-0000-0000-000017030000}"/>
    <cellStyle name="Normal 2 5 15" xfId="803" xr:uid="{00000000-0005-0000-0000-000018030000}"/>
    <cellStyle name="Normal 2 5 16" xfId="804" xr:uid="{00000000-0005-0000-0000-000019030000}"/>
    <cellStyle name="Normal 2 5 17" xfId="805" xr:uid="{00000000-0005-0000-0000-00001A030000}"/>
    <cellStyle name="Normal 2 5 18" xfId="806" xr:uid="{00000000-0005-0000-0000-00001B030000}"/>
    <cellStyle name="Normal 2 5 19" xfId="807" xr:uid="{00000000-0005-0000-0000-00001C030000}"/>
    <cellStyle name="Normal 2 5 2" xfId="808" xr:uid="{00000000-0005-0000-0000-00001D030000}"/>
    <cellStyle name="Normal 2 5 2 10" xfId="809" xr:uid="{00000000-0005-0000-0000-00001E030000}"/>
    <cellStyle name="Normal 2 5 2 11" xfId="810" xr:uid="{00000000-0005-0000-0000-00001F030000}"/>
    <cellStyle name="Normal 2 5 2 12" xfId="811" xr:uid="{00000000-0005-0000-0000-000020030000}"/>
    <cellStyle name="Normal 2 5 2 13" xfId="812" xr:uid="{00000000-0005-0000-0000-000021030000}"/>
    <cellStyle name="Normal 2 5 2 14" xfId="813" xr:uid="{00000000-0005-0000-0000-000022030000}"/>
    <cellStyle name="Normal 2 5 2 15" xfId="814" xr:uid="{00000000-0005-0000-0000-000023030000}"/>
    <cellStyle name="Normal 2 5 2 16" xfId="815" xr:uid="{00000000-0005-0000-0000-000024030000}"/>
    <cellStyle name="Normal 2 5 2 17" xfId="816" xr:uid="{00000000-0005-0000-0000-000025030000}"/>
    <cellStyle name="Normal 2 5 2 18" xfId="817" xr:uid="{00000000-0005-0000-0000-000026030000}"/>
    <cellStyle name="Normal 2 5 2 19" xfId="818" xr:uid="{00000000-0005-0000-0000-000027030000}"/>
    <cellStyle name="Normal 2 5 2 2" xfId="819" xr:uid="{00000000-0005-0000-0000-000028030000}"/>
    <cellStyle name="Normal 2 5 2 2 10" xfId="820" xr:uid="{00000000-0005-0000-0000-000029030000}"/>
    <cellStyle name="Normal 2 5 2 2 11" xfId="821" xr:uid="{00000000-0005-0000-0000-00002A030000}"/>
    <cellStyle name="Normal 2 5 2 2 12" xfId="822" xr:uid="{00000000-0005-0000-0000-00002B030000}"/>
    <cellStyle name="Normal 2 5 2 2 13" xfId="823" xr:uid="{00000000-0005-0000-0000-00002C030000}"/>
    <cellStyle name="Normal 2 5 2 2 14" xfId="824" xr:uid="{00000000-0005-0000-0000-00002D030000}"/>
    <cellStyle name="Normal 2 5 2 2 15" xfId="825" xr:uid="{00000000-0005-0000-0000-00002E030000}"/>
    <cellStyle name="Normal 2 5 2 2 16" xfId="826" xr:uid="{00000000-0005-0000-0000-00002F030000}"/>
    <cellStyle name="Normal 2 5 2 2 17" xfId="827" xr:uid="{00000000-0005-0000-0000-000030030000}"/>
    <cellStyle name="Normal 2 5 2 2 18" xfId="828" xr:uid="{00000000-0005-0000-0000-000031030000}"/>
    <cellStyle name="Normal 2 5 2 2 19" xfId="829" xr:uid="{00000000-0005-0000-0000-000032030000}"/>
    <cellStyle name="Normal 2 5 2 2 2" xfId="830" xr:uid="{00000000-0005-0000-0000-000033030000}"/>
    <cellStyle name="Normal 2 5 2 2 20" xfId="831" xr:uid="{00000000-0005-0000-0000-000034030000}"/>
    <cellStyle name="Normal 2 5 2 2 21" xfId="832" xr:uid="{00000000-0005-0000-0000-000035030000}"/>
    <cellStyle name="Normal 2 5 2 2 22" xfId="833" xr:uid="{00000000-0005-0000-0000-000036030000}"/>
    <cellStyle name="Normal 2 5 2 2 23" xfId="834" xr:uid="{00000000-0005-0000-0000-000037030000}"/>
    <cellStyle name="Normal 2 5 2 2 24" xfId="835" xr:uid="{00000000-0005-0000-0000-000038030000}"/>
    <cellStyle name="Normal 2 5 2 2 25" xfId="836" xr:uid="{00000000-0005-0000-0000-000039030000}"/>
    <cellStyle name="Normal 2 5 2 2 26" xfId="837" xr:uid="{00000000-0005-0000-0000-00003A030000}"/>
    <cellStyle name="Normal 2 5 2 2 27" xfId="838" xr:uid="{00000000-0005-0000-0000-00003B030000}"/>
    <cellStyle name="Normal 2 5 2 2 28" xfId="839" xr:uid="{00000000-0005-0000-0000-00003C030000}"/>
    <cellStyle name="Normal 2 5 2 2 29" xfId="840" xr:uid="{00000000-0005-0000-0000-00003D030000}"/>
    <cellStyle name="Normal 2 5 2 2 3" xfId="841" xr:uid="{00000000-0005-0000-0000-00003E030000}"/>
    <cellStyle name="Normal 2 5 2 2 30" xfId="842" xr:uid="{00000000-0005-0000-0000-00003F030000}"/>
    <cellStyle name="Normal 2 5 2 2 31" xfId="843" xr:uid="{00000000-0005-0000-0000-000040030000}"/>
    <cellStyle name="Normal 2 5 2 2 32" xfId="844" xr:uid="{00000000-0005-0000-0000-000041030000}"/>
    <cellStyle name="Normal 2 5 2 2 33" xfId="845" xr:uid="{00000000-0005-0000-0000-000042030000}"/>
    <cellStyle name="Normal 2 5 2 2 34" xfId="846" xr:uid="{00000000-0005-0000-0000-000043030000}"/>
    <cellStyle name="Normal 2 5 2 2 35" xfId="847" xr:uid="{00000000-0005-0000-0000-000044030000}"/>
    <cellStyle name="Normal 2 5 2 2 36" xfId="848" xr:uid="{00000000-0005-0000-0000-000045030000}"/>
    <cellStyle name="Normal 2 5 2 2 37" xfId="849" xr:uid="{00000000-0005-0000-0000-000046030000}"/>
    <cellStyle name="Normal 2 5 2 2 38" xfId="850" xr:uid="{00000000-0005-0000-0000-000047030000}"/>
    <cellStyle name="Normal 2 5 2 2 39" xfId="851" xr:uid="{00000000-0005-0000-0000-000048030000}"/>
    <cellStyle name="Normal 2 5 2 2 4" xfId="852" xr:uid="{00000000-0005-0000-0000-000049030000}"/>
    <cellStyle name="Normal 2 5 2 2 40" xfId="853" xr:uid="{00000000-0005-0000-0000-00004A030000}"/>
    <cellStyle name="Normal 2 5 2 2 41" xfId="854" xr:uid="{00000000-0005-0000-0000-00004B030000}"/>
    <cellStyle name="Normal 2 5 2 2 42" xfId="855" xr:uid="{00000000-0005-0000-0000-00004C030000}"/>
    <cellStyle name="Normal 2 5 2 2 43" xfId="856" xr:uid="{00000000-0005-0000-0000-00004D030000}"/>
    <cellStyle name="Normal 2 5 2 2 44" xfId="857" xr:uid="{00000000-0005-0000-0000-00004E030000}"/>
    <cellStyle name="Normal 2 5 2 2 45" xfId="858" xr:uid="{00000000-0005-0000-0000-00004F030000}"/>
    <cellStyle name="Normal 2 5 2 2 46" xfId="859" xr:uid="{00000000-0005-0000-0000-000050030000}"/>
    <cellStyle name="Normal 2 5 2 2 47" xfId="860" xr:uid="{00000000-0005-0000-0000-000051030000}"/>
    <cellStyle name="Normal 2 5 2 2 48" xfId="861" xr:uid="{00000000-0005-0000-0000-000052030000}"/>
    <cellStyle name="Normal 2 5 2 2 49" xfId="862" xr:uid="{00000000-0005-0000-0000-000053030000}"/>
    <cellStyle name="Normal 2 5 2 2 5" xfId="863" xr:uid="{00000000-0005-0000-0000-000054030000}"/>
    <cellStyle name="Normal 2 5 2 2 50" xfId="864" xr:uid="{00000000-0005-0000-0000-000055030000}"/>
    <cellStyle name="Normal 2 5 2 2 51" xfId="865" xr:uid="{00000000-0005-0000-0000-000056030000}"/>
    <cellStyle name="Normal 2 5 2 2 52" xfId="866" xr:uid="{00000000-0005-0000-0000-000057030000}"/>
    <cellStyle name="Normal 2 5 2 2 53" xfId="867" xr:uid="{00000000-0005-0000-0000-000058030000}"/>
    <cellStyle name="Normal 2 5 2 2 54" xfId="868" xr:uid="{00000000-0005-0000-0000-000059030000}"/>
    <cellStyle name="Normal 2 5 2 2 55" xfId="869" xr:uid="{00000000-0005-0000-0000-00005A030000}"/>
    <cellStyle name="Normal 2 5 2 2 6" xfId="870" xr:uid="{00000000-0005-0000-0000-00005B030000}"/>
    <cellStyle name="Normal 2 5 2 2 7" xfId="871" xr:uid="{00000000-0005-0000-0000-00005C030000}"/>
    <cellStyle name="Normal 2 5 2 2 8" xfId="872" xr:uid="{00000000-0005-0000-0000-00005D030000}"/>
    <cellStyle name="Normal 2 5 2 2 9" xfId="873" xr:uid="{00000000-0005-0000-0000-00005E030000}"/>
    <cellStyle name="Normal 2 5 2 20" xfId="874" xr:uid="{00000000-0005-0000-0000-00005F030000}"/>
    <cellStyle name="Normal 2 5 2 21" xfId="875" xr:uid="{00000000-0005-0000-0000-000060030000}"/>
    <cellStyle name="Normal 2 5 2 22" xfId="876" xr:uid="{00000000-0005-0000-0000-000061030000}"/>
    <cellStyle name="Normal 2 5 2 23" xfId="877" xr:uid="{00000000-0005-0000-0000-000062030000}"/>
    <cellStyle name="Normal 2 5 2 24" xfId="878" xr:uid="{00000000-0005-0000-0000-000063030000}"/>
    <cellStyle name="Normal 2 5 2 25" xfId="879" xr:uid="{00000000-0005-0000-0000-000064030000}"/>
    <cellStyle name="Normal 2 5 2 26" xfId="880" xr:uid="{00000000-0005-0000-0000-000065030000}"/>
    <cellStyle name="Normal 2 5 2 27" xfId="881" xr:uid="{00000000-0005-0000-0000-000066030000}"/>
    <cellStyle name="Normal 2 5 2 28" xfId="882" xr:uid="{00000000-0005-0000-0000-000067030000}"/>
    <cellStyle name="Normal 2 5 2 29" xfId="883" xr:uid="{00000000-0005-0000-0000-000068030000}"/>
    <cellStyle name="Normal 2 5 2 3" xfId="884" xr:uid="{00000000-0005-0000-0000-000069030000}"/>
    <cellStyle name="Normal 2 5 2 30" xfId="885" xr:uid="{00000000-0005-0000-0000-00006A030000}"/>
    <cellStyle name="Normal 2 5 2 31" xfId="886" xr:uid="{00000000-0005-0000-0000-00006B030000}"/>
    <cellStyle name="Normal 2 5 2 32" xfId="887" xr:uid="{00000000-0005-0000-0000-00006C030000}"/>
    <cellStyle name="Normal 2 5 2 33" xfId="888" xr:uid="{00000000-0005-0000-0000-00006D030000}"/>
    <cellStyle name="Normal 2 5 2 4" xfId="889" xr:uid="{00000000-0005-0000-0000-00006E030000}"/>
    <cellStyle name="Normal 2 5 2 5" xfId="890" xr:uid="{00000000-0005-0000-0000-00006F030000}"/>
    <cellStyle name="Normal 2 5 2 6" xfId="891" xr:uid="{00000000-0005-0000-0000-000070030000}"/>
    <cellStyle name="Normal 2 5 2 7" xfId="892" xr:uid="{00000000-0005-0000-0000-000071030000}"/>
    <cellStyle name="Normal 2 5 2 8" xfId="893" xr:uid="{00000000-0005-0000-0000-000072030000}"/>
    <cellStyle name="Normal 2 5 2 9" xfId="894" xr:uid="{00000000-0005-0000-0000-000073030000}"/>
    <cellStyle name="Normal 2 5 20" xfId="895" xr:uid="{00000000-0005-0000-0000-000074030000}"/>
    <cellStyle name="Normal 2 5 21" xfId="896" xr:uid="{00000000-0005-0000-0000-000075030000}"/>
    <cellStyle name="Normal 2 5 22" xfId="897" xr:uid="{00000000-0005-0000-0000-000076030000}"/>
    <cellStyle name="Normal 2 5 23" xfId="898" xr:uid="{00000000-0005-0000-0000-000077030000}"/>
    <cellStyle name="Normal 2 5 24" xfId="899" xr:uid="{00000000-0005-0000-0000-000078030000}"/>
    <cellStyle name="Normal 2 5 25" xfId="900" xr:uid="{00000000-0005-0000-0000-000079030000}"/>
    <cellStyle name="Normal 2 5 26" xfId="901" xr:uid="{00000000-0005-0000-0000-00007A030000}"/>
    <cellStyle name="Normal 2 5 27" xfId="902" xr:uid="{00000000-0005-0000-0000-00007B030000}"/>
    <cellStyle name="Normal 2 5 28" xfId="903" xr:uid="{00000000-0005-0000-0000-00007C030000}"/>
    <cellStyle name="Normal 2 5 29" xfId="904" xr:uid="{00000000-0005-0000-0000-00007D030000}"/>
    <cellStyle name="Normal 2 5 3" xfId="905" xr:uid="{00000000-0005-0000-0000-00007E030000}"/>
    <cellStyle name="Normal 2 5 30" xfId="906" xr:uid="{00000000-0005-0000-0000-00007F030000}"/>
    <cellStyle name="Normal 2 5 31" xfId="907" xr:uid="{00000000-0005-0000-0000-000080030000}"/>
    <cellStyle name="Normal 2 5 32" xfId="908" xr:uid="{00000000-0005-0000-0000-000081030000}"/>
    <cellStyle name="Normal 2 5 33" xfId="909" xr:uid="{00000000-0005-0000-0000-000082030000}"/>
    <cellStyle name="Normal 2 5 34" xfId="910" xr:uid="{00000000-0005-0000-0000-000083030000}"/>
    <cellStyle name="Normal 2 5 35" xfId="911" xr:uid="{00000000-0005-0000-0000-000084030000}"/>
    <cellStyle name="Normal 2 5 36" xfId="912" xr:uid="{00000000-0005-0000-0000-000085030000}"/>
    <cellStyle name="Normal 2 5 37" xfId="913" xr:uid="{00000000-0005-0000-0000-000086030000}"/>
    <cellStyle name="Normal 2 5 38" xfId="914" xr:uid="{00000000-0005-0000-0000-000087030000}"/>
    <cellStyle name="Normal 2 5 39" xfId="915" xr:uid="{00000000-0005-0000-0000-000088030000}"/>
    <cellStyle name="Normal 2 5 4" xfId="916" xr:uid="{00000000-0005-0000-0000-000089030000}"/>
    <cellStyle name="Normal 2 5 40" xfId="917" xr:uid="{00000000-0005-0000-0000-00008A030000}"/>
    <cellStyle name="Normal 2 5 41" xfId="918" xr:uid="{00000000-0005-0000-0000-00008B030000}"/>
    <cellStyle name="Normal 2 5 42" xfId="919" xr:uid="{00000000-0005-0000-0000-00008C030000}"/>
    <cellStyle name="Normal 2 5 43" xfId="920" xr:uid="{00000000-0005-0000-0000-00008D030000}"/>
    <cellStyle name="Normal 2 5 44" xfId="921" xr:uid="{00000000-0005-0000-0000-00008E030000}"/>
    <cellStyle name="Normal 2 5 45" xfId="922" xr:uid="{00000000-0005-0000-0000-00008F030000}"/>
    <cellStyle name="Normal 2 5 46" xfId="923" xr:uid="{00000000-0005-0000-0000-000090030000}"/>
    <cellStyle name="Normal 2 5 47" xfId="924" xr:uid="{00000000-0005-0000-0000-000091030000}"/>
    <cellStyle name="Normal 2 5 48" xfId="925" xr:uid="{00000000-0005-0000-0000-000092030000}"/>
    <cellStyle name="Normal 2 5 49" xfId="926" xr:uid="{00000000-0005-0000-0000-000093030000}"/>
    <cellStyle name="Normal 2 5 5" xfId="927" xr:uid="{00000000-0005-0000-0000-000094030000}"/>
    <cellStyle name="Normal 2 5 50" xfId="928" xr:uid="{00000000-0005-0000-0000-000095030000}"/>
    <cellStyle name="Normal 2 5 51" xfId="929" xr:uid="{00000000-0005-0000-0000-000096030000}"/>
    <cellStyle name="Normal 2 5 52" xfId="930" xr:uid="{00000000-0005-0000-0000-000097030000}"/>
    <cellStyle name="Normal 2 5 53" xfId="931" xr:uid="{00000000-0005-0000-0000-000098030000}"/>
    <cellStyle name="Normal 2 5 54" xfId="932" xr:uid="{00000000-0005-0000-0000-000099030000}"/>
    <cellStyle name="Normal 2 5 55" xfId="933" xr:uid="{00000000-0005-0000-0000-00009A030000}"/>
    <cellStyle name="Normal 2 5 56" xfId="934" xr:uid="{00000000-0005-0000-0000-00009B030000}"/>
    <cellStyle name="Normal 2 5 57" xfId="935" xr:uid="{00000000-0005-0000-0000-00009C030000}"/>
    <cellStyle name="Normal 2 5 58" xfId="936" xr:uid="{00000000-0005-0000-0000-00009D030000}"/>
    <cellStyle name="Normal 2 5 59" xfId="937" xr:uid="{00000000-0005-0000-0000-00009E030000}"/>
    <cellStyle name="Normal 2 5 6" xfId="938" xr:uid="{00000000-0005-0000-0000-00009F030000}"/>
    <cellStyle name="Normal 2 5 60" xfId="939" xr:uid="{00000000-0005-0000-0000-0000A0030000}"/>
    <cellStyle name="Normal 2 5 61" xfId="940" xr:uid="{00000000-0005-0000-0000-0000A1030000}"/>
    <cellStyle name="Normal 2 5 62" xfId="941" xr:uid="{00000000-0005-0000-0000-0000A2030000}"/>
    <cellStyle name="Normal 2 5 63" xfId="942" xr:uid="{00000000-0005-0000-0000-0000A3030000}"/>
    <cellStyle name="Normal 2 5 64" xfId="943" xr:uid="{00000000-0005-0000-0000-0000A4030000}"/>
    <cellStyle name="Normal 2 5 65" xfId="944" xr:uid="{00000000-0005-0000-0000-0000A5030000}"/>
    <cellStyle name="Normal 2 5 66" xfId="945" xr:uid="{00000000-0005-0000-0000-0000A6030000}"/>
    <cellStyle name="Normal 2 5 67" xfId="946" xr:uid="{00000000-0005-0000-0000-0000A7030000}"/>
    <cellStyle name="Normal 2 5 68" xfId="947" xr:uid="{00000000-0005-0000-0000-0000A8030000}"/>
    <cellStyle name="Normal 2 5 69" xfId="948" xr:uid="{00000000-0005-0000-0000-0000A9030000}"/>
    <cellStyle name="Normal 2 5 7" xfId="949" xr:uid="{00000000-0005-0000-0000-0000AA030000}"/>
    <cellStyle name="Normal 2 5 70" xfId="950" xr:uid="{00000000-0005-0000-0000-0000AB030000}"/>
    <cellStyle name="Normal 2 5 71" xfId="951" xr:uid="{00000000-0005-0000-0000-0000AC030000}"/>
    <cellStyle name="Normal 2 5 72" xfId="952" xr:uid="{00000000-0005-0000-0000-0000AD030000}"/>
    <cellStyle name="Normal 2 5 73" xfId="953" xr:uid="{00000000-0005-0000-0000-0000AE030000}"/>
    <cellStyle name="Normal 2 5 74" xfId="954" xr:uid="{00000000-0005-0000-0000-0000AF030000}"/>
    <cellStyle name="Normal 2 5 75" xfId="955" xr:uid="{00000000-0005-0000-0000-0000B0030000}"/>
    <cellStyle name="Normal 2 5 76" xfId="956" xr:uid="{00000000-0005-0000-0000-0000B1030000}"/>
    <cellStyle name="Normal 2 5 77" xfId="957" xr:uid="{00000000-0005-0000-0000-0000B2030000}"/>
    <cellStyle name="Normal 2 5 78" xfId="958" xr:uid="{00000000-0005-0000-0000-0000B3030000}"/>
    <cellStyle name="Normal 2 5 79" xfId="959" xr:uid="{00000000-0005-0000-0000-0000B4030000}"/>
    <cellStyle name="Normal 2 5 8" xfId="960" xr:uid="{00000000-0005-0000-0000-0000B5030000}"/>
    <cellStyle name="Normal 2 5 80" xfId="961" xr:uid="{00000000-0005-0000-0000-0000B6030000}"/>
    <cellStyle name="Normal 2 5 81" xfId="962" xr:uid="{00000000-0005-0000-0000-0000B7030000}"/>
    <cellStyle name="Normal 2 5 82" xfId="963" xr:uid="{00000000-0005-0000-0000-0000B8030000}"/>
    <cellStyle name="Normal 2 5 83" xfId="964" xr:uid="{00000000-0005-0000-0000-0000B9030000}"/>
    <cellStyle name="Normal 2 5 84" xfId="965" xr:uid="{00000000-0005-0000-0000-0000BA030000}"/>
    <cellStyle name="Normal 2 5 85" xfId="966" xr:uid="{00000000-0005-0000-0000-0000BB030000}"/>
    <cellStyle name="Normal 2 5 86" xfId="967" xr:uid="{00000000-0005-0000-0000-0000BC030000}"/>
    <cellStyle name="Normal 2 5 87" xfId="968" xr:uid="{00000000-0005-0000-0000-0000BD030000}"/>
    <cellStyle name="Normal 2 5 9" xfId="969" xr:uid="{00000000-0005-0000-0000-0000BE030000}"/>
    <cellStyle name="Normal 2 5_DEER 032008 Cost Summary Delivery - Rev 4 (2)" xfId="970" xr:uid="{00000000-0005-0000-0000-0000BF030000}"/>
    <cellStyle name="Normal 2 50" xfId="971" xr:uid="{00000000-0005-0000-0000-0000C0030000}"/>
    <cellStyle name="Normal 2 51" xfId="972" xr:uid="{00000000-0005-0000-0000-0000C1030000}"/>
    <cellStyle name="Normal 2 52" xfId="973" xr:uid="{00000000-0005-0000-0000-0000C2030000}"/>
    <cellStyle name="Normal 2 53" xfId="974" xr:uid="{00000000-0005-0000-0000-0000C3030000}"/>
    <cellStyle name="Normal 2 54" xfId="975" xr:uid="{00000000-0005-0000-0000-0000C4030000}"/>
    <cellStyle name="Normal 2 55" xfId="976" xr:uid="{00000000-0005-0000-0000-0000C5030000}"/>
    <cellStyle name="Normal 2 56" xfId="977" xr:uid="{00000000-0005-0000-0000-0000C6030000}"/>
    <cellStyle name="Normal 2 57" xfId="978" xr:uid="{00000000-0005-0000-0000-0000C7030000}"/>
    <cellStyle name="Normal 2 58" xfId="979" xr:uid="{00000000-0005-0000-0000-0000C8030000}"/>
    <cellStyle name="Normal 2 59" xfId="980" xr:uid="{00000000-0005-0000-0000-0000C9030000}"/>
    <cellStyle name="Normal 2 6" xfId="981" xr:uid="{00000000-0005-0000-0000-0000CA030000}"/>
    <cellStyle name="Normal 2 60" xfId="982" xr:uid="{00000000-0005-0000-0000-0000CB030000}"/>
    <cellStyle name="Normal 2 61" xfId="983" xr:uid="{00000000-0005-0000-0000-0000CC030000}"/>
    <cellStyle name="Normal 2 62" xfId="984" xr:uid="{00000000-0005-0000-0000-0000CD030000}"/>
    <cellStyle name="Normal 2 63" xfId="985" xr:uid="{00000000-0005-0000-0000-0000CE030000}"/>
    <cellStyle name="Normal 2 64" xfId="986" xr:uid="{00000000-0005-0000-0000-0000CF030000}"/>
    <cellStyle name="Normal 2 65" xfId="987" xr:uid="{00000000-0005-0000-0000-0000D0030000}"/>
    <cellStyle name="Normal 2 66" xfId="988" xr:uid="{00000000-0005-0000-0000-0000D1030000}"/>
    <cellStyle name="Normal 2 67" xfId="989" xr:uid="{00000000-0005-0000-0000-0000D2030000}"/>
    <cellStyle name="Normal 2 68" xfId="990" xr:uid="{00000000-0005-0000-0000-0000D3030000}"/>
    <cellStyle name="Normal 2 69" xfId="991" xr:uid="{00000000-0005-0000-0000-0000D4030000}"/>
    <cellStyle name="Normal 2 7" xfId="992" xr:uid="{00000000-0005-0000-0000-0000D5030000}"/>
    <cellStyle name="Normal 2 70" xfId="993" xr:uid="{00000000-0005-0000-0000-0000D6030000}"/>
    <cellStyle name="Normal 2 71" xfId="994" xr:uid="{00000000-0005-0000-0000-0000D7030000}"/>
    <cellStyle name="Normal 2 72" xfId="995" xr:uid="{00000000-0005-0000-0000-0000D8030000}"/>
    <cellStyle name="Normal 2 73" xfId="996" xr:uid="{00000000-0005-0000-0000-0000D9030000}"/>
    <cellStyle name="Normal 2 74" xfId="997" xr:uid="{00000000-0005-0000-0000-0000DA030000}"/>
    <cellStyle name="Normal 2 75" xfId="998" xr:uid="{00000000-0005-0000-0000-0000DB030000}"/>
    <cellStyle name="Normal 2 76" xfId="999" xr:uid="{00000000-0005-0000-0000-0000DC030000}"/>
    <cellStyle name="Normal 2 77" xfId="1000" xr:uid="{00000000-0005-0000-0000-0000DD030000}"/>
    <cellStyle name="Normal 2 78" xfId="1001" xr:uid="{00000000-0005-0000-0000-0000DE030000}"/>
    <cellStyle name="Normal 2 79" xfId="1002" xr:uid="{00000000-0005-0000-0000-0000DF030000}"/>
    <cellStyle name="Normal 2 8" xfId="1003" xr:uid="{00000000-0005-0000-0000-0000E0030000}"/>
    <cellStyle name="Normal 2 8 10" xfId="1004" xr:uid="{00000000-0005-0000-0000-0000E1030000}"/>
    <cellStyle name="Normal 2 8 11" xfId="1005" xr:uid="{00000000-0005-0000-0000-0000E2030000}"/>
    <cellStyle name="Normal 2 8 12" xfId="1006" xr:uid="{00000000-0005-0000-0000-0000E3030000}"/>
    <cellStyle name="Normal 2 8 13" xfId="1007" xr:uid="{00000000-0005-0000-0000-0000E4030000}"/>
    <cellStyle name="Normal 2 8 14" xfId="1008" xr:uid="{00000000-0005-0000-0000-0000E5030000}"/>
    <cellStyle name="Normal 2 8 15" xfId="1009" xr:uid="{00000000-0005-0000-0000-0000E6030000}"/>
    <cellStyle name="Normal 2 8 16" xfId="1010" xr:uid="{00000000-0005-0000-0000-0000E7030000}"/>
    <cellStyle name="Normal 2 8 17" xfId="1011" xr:uid="{00000000-0005-0000-0000-0000E8030000}"/>
    <cellStyle name="Normal 2 8 18" xfId="1012" xr:uid="{00000000-0005-0000-0000-0000E9030000}"/>
    <cellStyle name="Normal 2 8 19" xfId="1013" xr:uid="{00000000-0005-0000-0000-0000EA030000}"/>
    <cellStyle name="Normal 2 8 2" xfId="1014" xr:uid="{00000000-0005-0000-0000-0000EB030000}"/>
    <cellStyle name="Normal 2 8 20" xfId="1015" xr:uid="{00000000-0005-0000-0000-0000EC030000}"/>
    <cellStyle name="Normal 2 8 21" xfId="1016" xr:uid="{00000000-0005-0000-0000-0000ED030000}"/>
    <cellStyle name="Normal 2 8 22" xfId="1017" xr:uid="{00000000-0005-0000-0000-0000EE030000}"/>
    <cellStyle name="Normal 2 8 23" xfId="1018" xr:uid="{00000000-0005-0000-0000-0000EF030000}"/>
    <cellStyle name="Normal 2 8 3" xfId="1019" xr:uid="{00000000-0005-0000-0000-0000F0030000}"/>
    <cellStyle name="Normal 2 8 4" xfId="1020" xr:uid="{00000000-0005-0000-0000-0000F1030000}"/>
    <cellStyle name="Normal 2 8 5" xfId="1021" xr:uid="{00000000-0005-0000-0000-0000F2030000}"/>
    <cellStyle name="Normal 2 8 6" xfId="1022" xr:uid="{00000000-0005-0000-0000-0000F3030000}"/>
    <cellStyle name="Normal 2 8 7" xfId="1023" xr:uid="{00000000-0005-0000-0000-0000F4030000}"/>
    <cellStyle name="Normal 2 8 8" xfId="1024" xr:uid="{00000000-0005-0000-0000-0000F5030000}"/>
    <cellStyle name="Normal 2 8 9" xfId="1025" xr:uid="{00000000-0005-0000-0000-0000F6030000}"/>
    <cellStyle name="Normal 2 80" xfId="1026" xr:uid="{00000000-0005-0000-0000-0000F7030000}"/>
    <cellStyle name="Normal 2 81" xfId="1027" xr:uid="{00000000-0005-0000-0000-0000F8030000}"/>
    <cellStyle name="Normal 2 82" xfId="1028" xr:uid="{00000000-0005-0000-0000-0000F9030000}"/>
    <cellStyle name="Normal 2 83" xfId="1029" xr:uid="{00000000-0005-0000-0000-0000FA030000}"/>
    <cellStyle name="Normal 2 84" xfId="1030" xr:uid="{00000000-0005-0000-0000-0000FB030000}"/>
    <cellStyle name="Normal 2 85" xfId="1031" xr:uid="{00000000-0005-0000-0000-0000FC030000}"/>
    <cellStyle name="Normal 2 86" xfId="1032" xr:uid="{00000000-0005-0000-0000-0000FD030000}"/>
    <cellStyle name="Normal 2 87" xfId="1033" xr:uid="{00000000-0005-0000-0000-0000FE030000}"/>
    <cellStyle name="Normal 2 88" xfId="1034" xr:uid="{00000000-0005-0000-0000-0000FF030000}"/>
    <cellStyle name="Normal 2 89" xfId="1035" xr:uid="{00000000-0005-0000-0000-000000040000}"/>
    <cellStyle name="Normal 2 9" xfId="1036" xr:uid="{00000000-0005-0000-0000-000001040000}"/>
    <cellStyle name="Normal 2 9 10" xfId="1037" xr:uid="{00000000-0005-0000-0000-000002040000}"/>
    <cellStyle name="Normal 2 9 11" xfId="1038" xr:uid="{00000000-0005-0000-0000-000003040000}"/>
    <cellStyle name="Normal 2 9 12" xfId="1039" xr:uid="{00000000-0005-0000-0000-000004040000}"/>
    <cellStyle name="Normal 2 9 13" xfId="1040" xr:uid="{00000000-0005-0000-0000-000005040000}"/>
    <cellStyle name="Normal 2 9 14" xfId="1041" xr:uid="{00000000-0005-0000-0000-000006040000}"/>
    <cellStyle name="Normal 2 9 15" xfId="1042" xr:uid="{00000000-0005-0000-0000-000007040000}"/>
    <cellStyle name="Normal 2 9 16" xfId="1043" xr:uid="{00000000-0005-0000-0000-000008040000}"/>
    <cellStyle name="Normal 2 9 17" xfId="1044" xr:uid="{00000000-0005-0000-0000-000009040000}"/>
    <cellStyle name="Normal 2 9 18" xfId="1045" xr:uid="{00000000-0005-0000-0000-00000A040000}"/>
    <cellStyle name="Normal 2 9 19" xfId="1046" xr:uid="{00000000-0005-0000-0000-00000B040000}"/>
    <cellStyle name="Normal 2 9 2" xfId="1047" xr:uid="{00000000-0005-0000-0000-00000C040000}"/>
    <cellStyle name="Normal 2 9 20" xfId="1048" xr:uid="{00000000-0005-0000-0000-00000D040000}"/>
    <cellStyle name="Normal 2 9 21" xfId="1049" xr:uid="{00000000-0005-0000-0000-00000E040000}"/>
    <cellStyle name="Normal 2 9 22" xfId="1050" xr:uid="{00000000-0005-0000-0000-00000F040000}"/>
    <cellStyle name="Normal 2 9 23" xfId="1051" xr:uid="{00000000-0005-0000-0000-000010040000}"/>
    <cellStyle name="Normal 2 9 3" xfId="1052" xr:uid="{00000000-0005-0000-0000-000011040000}"/>
    <cellStyle name="Normal 2 9 4" xfId="1053" xr:uid="{00000000-0005-0000-0000-000012040000}"/>
    <cellStyle name="Normal 2 9 5" xfId="1054" xr:uid="{00000000-0005-0000-0000-000013040000}"/>
    <cellStyle name="Normal 2 9 6" xfId="1055" xr:uid="{00000000-0005-0000-0000-000014040000}"/>
    <cellStyle name="Normal 2 9 7" xfId="1056" xr:uid="{00000000-0005-0000-0000-000015040000}"/>
    <cellStyle name="Normal 2 9 8" xfId="1057" xr:uid="{00000000-0005-0000-0000-000016040000}"/>
    <cellStyle name="Normal 2 9 9" xfId="1058" xr:uid="{00000000-0005-0000-0000-000017040000}"/>
    <cellStyle name="Normal 2 90" xfId="1059" xr:uid="{00000000-0005-0000-0000-000018040000}"/>
    <cellStyle name="Normal 2 91" xfId="1060" xr:uid="{00000000-0005-0000-0000-000019040000}"/>
    <cellStyle name="Normal 2 92" xfId="1061" xr:uid="{00000000-0005-0000-0000-00001A040000}"/>
    <cellStyle name="Normal 2 93" xfId="1062" xr:uid="{00000000-0005-0000-0000-00001B040000}"/>
    <cellStyle name="Normal 2 94" xfId="55" xr:uid="{00000000-0005-0000-0000-00001C040000}"/>
    <cellStyle name="Normal 2_DEER 032008 Cost Summary Delivery - Rev 4 (2)" xfId="1063" xr:uid="{00000000-0005-0000-0000-00001D040000}"/>
    <cellStyle name="Normal 3" xfId="51" xr:uid="{00000000-0005-0000-0000-00001E040000}"/>
    <cellStyle name="Normal 3 10" xfId="1065" xr:uid="{00000000-0005-0000-0000-00001F040000}"/>
    <cellStyle name="Normal 3 10 10" xfId="1066" xr:uid="{00000000-0005-0000-0000-000020040000}"/>
    <cellStyle name="Normal 3 10 11" xfId="1067" xr:uid="{00000000-0005-0000-0000-000021040000}"/>
    <cellStyle name="Normal 3 10 12" xfId="1068" xr:uid="{00000000-0005-0000-0000-000022040000}"/>
    <cellStyle name="Normal 3 10 13" xfId="1069" xr:uid="{00000000-0005-0000-0000-000023040000}"/>
    <cellStyle name="Normal 3 10 14" xfId="1070" xr:uid="{00000000-0005-0000-0000-000024040000}"/>
    <cellStyle name="Normal 3 10 15" xfId="1071" xr:uid="{00000000-0005-0000-0000-000025040000}"/>
    <cellStyle name="Normal 3 10 16" xfId="1072" xr:uid="{00000000-0005-0000-0000-000026040000}"/>
    <cellStyle name="Normal 3 10 17" xfId="1073" xr:uid="{00000000-0005-0000-0000-000027040000}"/>
    <cellStyle name="Normal 3 10 18" xfId="1074" xr:uid="{00000000-0005-0000-0000-000028040000}"/>
    <cellStyle name="Normal 3 10 19" xfId="1075" xr:uid="{00000000-0005-0000-0000-000029040000}"/>
    <cellStyle name="Normal 3 10 2" xfId="1076" xr:uid="{00000000-0005-0000-0000-00002A040000}"/>
    <cellStyle name="Normal 3 10 20" xfId="1077" xr:uid="{00000000-0005-0000-0000-00002B040000}"/>
    <cellStyle name="Normal 3 10 21" xfId="1078" xr:uid="{00000000-0005-0000-0000-00002C040000}"/>
    <cellStyle name="Normal 3 10 22" xfId="1079" xr:uid="{00000000-0005-0000-0000-00002D040000}"/>
    <cellStyle name="Normal 3 10 23" xfId="1080" xr:uid="{00000000-0005-0000-0000-00002E040000}"/>
    <cellStyle name="Normal 3 10 3" xfId="1081" xr:uid="{00000000-0005-0000-0000-00002F040000}"/>
    <cellStyle name="Normal 3 10 4" xfId="1082" xr:uid="{00000000-0005-0000-0000-000030040000}"/>
    <cellStyle name="Normal 3 10 5" xfId="1083" xr:uid="{00000000-0005-0000-0000-000031040000}"/>
    <cellStyle name="Normal 3 10 6" xfId="1084" xr:uid="{00000000-0005-0000-0000-000032040000}"/>
    <cellStyle name="Normal 3 10 7" xfId="1085" xr:uid="{00000000-0005-0000-0000-000033040000}"/>
    <cellStyle name="Normal 3 10 8" xfId="1086" xr:uid="{00000000-0005-0000-0000-000034040000}"/>
    <cellStyle name="Normal 3 10 9" xfId="1087" xr:uid="{00000000-0005-0000-0000-000035040000}"/>
    <cellStyle name="Normal 3 11" xfId="1088" xr:uid="{00000000-0005-0000-0000-000036040000}"/>
    <cellStyle name="Normal 3 11 10" xfId="1089" xr:uid="{00000000-0005-0000-0000-000037040000}"/>
    <cellStyle name="Normal 3 11 11" xfId="1090" xr:uid="{00000000-0005-0000-0000-000038040000}"/>
    <cellStyle name="Normal 3 11 12" xfId="1091" xr:uid="{00000000-0005-0000-0000-000039040000}"/>
    <cellStyle name="Normal 3 11 13" xfId="1092" xr:uid="{00000000-0005-0000-0000-00003A040000}"/>
    <cellStyle name="Normal 3 11 14" xfId="1093" xr:uid="{00000000-0005-0000-0000-00003B040000}"/>
    <cellStyle name="Normal 3 11 15" xfId="1094" xr:uid="{00000000-0005-0000-0000-00003C040000}"/>
    <cellStyle name="Normal 3 11 16" xfId="1095" xr:uid="{00000000-0005-0000-0000-00003D040000}"/>
    <cellStyle name="Normal 3 11 17" xfId="1096" xr:uid="{00000000-0005-0000-0000-00003E040000}"/>
    <cellStyle name="Normal 3 11 18" xfId="1097" xr:uid="{00000000-0005-0000-0000-00003F040000}"/>
    <cellStyle name="Normal 3 11 19" xfId="1098" xr:uid="{00000000-0005-0000-0000-000040040000}"/>
    <cellStyle name="Normal 3 11 2" xfId="1099" xr:uid="{00000000-0005-0000-0000-000041040000}"/>
    <cellStyle name="Normal 3 11 20" xfId="1100" xr:uid="{00000000-0005-0000-0000-000042040000}"/>
    <cellStyle name="Normal 3 11 21" xfId="1101" xr:uid="{00000000-0005-0000-0000-000043040000}"/>
    <cellStyle name="Normal 3 11 22" xfId="1102" xr:uid="{00000000-0005-0000-0000-000044040000}"/>
    <cellStyle name="Normal 3 11 23" xfId="1103" xr:uid="{00000000-0005-0000-0000-000045040000}"/>
    <cellStyle name="Normal 3 11 3" xfId="1104" xr:uid="{00000000-0005-0000-0000-000046040000}"/>
    <cellStyle name="Normal 3 11 4" xfId="1105" xr:uid="{00000000-0005-0000-0000-000047040000}"/>
    <cellStyle name="Normal 3 11 5" xfId="1106" xr:uid="{00000000-0005-0000-0000-000048040000}"/>
    <cellStyle name="Normal 3 11 6" xfId="1107" xr:uid="{00000000-0005-0000-0000-000049040000}"/>
    <cellStyle name="Normal 3 11 7" xfId="1108" xr:uid="{00000000-0005-0000-0000-00004A040000}"/>
    <cellStyle name="Normal 3 11 8" xfId="1109" xr:uid="{00000000-0005-0000-0000-00004B040000}"/>
    <cellStyle name="Normal 3 11 9" xfId="1110" xr:uid="{00000000-0005-0000-0000-00004C040000}"/>
    <cellStyle name="Normal 3 12" xfId="1111" xr:uid="{00000000-0005-0000-0000-00004D040000}"/>
    <cellStyle name="Normal 3 12 10" xfId="1112" xr:uid="{00000000-0005-0000-0000-00004E040000}"/>
    <cellStyle name="Normal 3 12 11" xfId="1113" xr:uid="{00000000-0005-0000-0000-00004F040000}"/>
    <cellStyle name="Normal 3 12 12" xfId="1114" xr:uid="{00000000-0005-0000-0000-000050040000}"/>
    <cellStyle name="Normal 3 12 13" xfId="1115" xr:uid="{00000000-0005-0000-0000-000051040000}"/>
    <cellStyle name="Normal 3 12 14" xfId="1116" xr:uid="{00000000-0005-0000-0000-000052040000}"/>
    <cellStyle name="Normal 3 12 15" xfId="1117" xr:uid="{00000000-0005-0000-0000-000053040000}"/>
    <cellStyle name="Normal 3 12 16" xfId="1118" xr:uid="{00000000-0005-0000-0000-000054040000}"/>
    <cellStyle name="Normal 3 12 17" xfId="1119" xr:uid="{00000000-0005-0000-0000-000055040000}"/>
    <cellStyle name="Normal 3 12 18" xfId="1120" xr:uid="{00000000-0005-0000-0000-000056040000}"/>
    <cellStyle name="Normal 3 12 19" xfId="1121" xr:uid="{00000000-0005-0000-0000-000057040000}"/>
    <cellStyle name="Normal 3 12 2" xfId="1122" xr:uid="{00000000-0005-0000-0000-000058040000}"/>
    <cellStyle name="Normal 3 12 20" xfId="1123" xr:uid="{00000000-0005-0000-0000-000059040000}"/>
    <cellStyle name="Normal 3 12 21" xfId="1124" xr:uid="{00000000-0005-0000-0000-00005A040000}"/>
    <cellStyle name="Normal 3 12 22" xfId="1125" xr:uid="{00000000-0005-0000-0000-00005B040000}"/>
    <cellStyle name="Normal 3 12 23" xfId="1126" xr:uid="{00000000-0005-0000-0000-00005C040000}"/>
    <cellStyle name="Normal 3 12 3" xfId="1127" xr:uid="{00000000-0005-0000-0000-00005D040000}"/>
    <cellStyle name="Normal 3 12 4" xfId="1128" xr:uid="{00000000-0005-0000-0000-00005E040000}"/>
    <cellStyle name="Normal 3 12 5" xfId="1129" xr:uid="{00000000-0005-0000-0000-00005F040000}"/>
    <cellStyle name="Normal 3 12 6" xfId="1130" xr:uid="{00000000-0005-0000-0000-000060040000}"/>
    <cellStyle name="Normal 3 12 7" xfId="1131" xr:uid="{00000000-0005-0000-0000-000061040000}"/>
    <cellStyle name="Normal 3 12 8" xfId="1132" xr:uid="{00000000-0005-0000-0000-000062040000}"/>
    <cellStyle name="Normal 3 12 9" xfId="1133" xr:uid="{00000000-0005-0000-0000-000063040000}"/>
    <cellStyle name="Normal 3 13" xfId="1134" xr:uid="{00000000-0005-0000-0000-000064040000}"/>
    <cellStyle name="Normal 3 13 10" xfId="1135" xr:uid="{00000000-0005-0000-0000-000065040000}"/>
    <cellStyle name="Normal 3 13 11" xfId="1136" xr:uid="{00000000-0005-0000-0000-000066040000}"/>
    <cellStyle name="Normal 3 13 12" xfId="1137" xr:uid="{00000000-0005-0000-0000-000067040000}"/>
    <cellStyle name="Normal 3 13 13" xfId="1138" xr:uid="{00000000-0005-0000-0000-000068040000}"/>
    <cellStyle name="Normal 3 13 14" xfId="1139" xr:uid="{00000000-0005-0000-0000-000069040000}"/>
    <cellStyle name="Normal 3 13 15" xfId="1140" xr:uid="{00000000-0005-0000-0000-00006A040000}"/>
    <cellStyle name="Normal 3 13 16" xfId="1141" xr:uid="{00000000-0005-0000-0000-00006B040000}"/>
    <cellStyle name="Normal 3 13 17" xfId="1142" xr:uid="{00000000-0005-0000-0000-00006C040000}"/>
    <cellStyle name="Normal 3 13 18" xfId="1143" xr:uid="{00000000-0005-0000-0000-00006D040000}"/>
    <cellStyle name="Normal 3 13 19" xfId="1144" xr:uid="{00000000-0005-0000-0000-00006E040000}"/>
    <cellStyle name="Normal 3 13 2" xfId="1145" xr:uid="{00000000-0005-0000-0000-00006F040000}"/>
    <cellStyle name="Normal 3 13 20" xfId="1146" xr:uid="{00000000-0005-0000-0000-000070040000}"/>
    <cellStyle name="Normal 3 13 21" xfId="1147" xr:uid="{00000000-0005-0000-0000-000071040000}"/>
    <cellStyle name="Normal 3 13 22" xfId="1148" xr:uid="{00000000-0005-0000-0000-000072040000}"/>
    <cellStyle name="Normal 3 13 23" xfId="1149" xr:uid="{00000000-0005-0000-0000-000073040000}"/>
    <cellStyle name="Normal 3 13 3" xfId="1150" xr:uid="{00000000-0005-0000-0000-000074040000}"/>
    <cellStyle name="Normal 3 13 4" xfId="1151" xr:uid="{00000000-0005-0000-0000-000075040000}"/>
    <cellStyle name="Normal 3 13 5" xfId="1152" xr:uid="{00000000-0005-0000-0000-000076040000}"/>
    <cellStyle name="Normal 3 13 6" xfId="1153" xr:uid="{00000000-0005-0000-0000-000077040000}"/>
    <cellStyle name="Normal 3 13 7" xfId="1154" xr:uid="{00000000-0005-0000-0000-000078040000}"/>
    <cellStyle name="Normal 3 13 8" xfId="1155" xr:uid="{00000000-0005-0000-0000-000079040000}"/>
    <cellStyle name="Normal 3 13 9" xfId="1156" xr:uid="{00000000-0005-0000-0000-00007A040000}"/>
    <cellStyle name="Normal 3 14" xfId="1157" xr:uid="{00000000-0005-0000-0000-00007B040000}"/>
    <cellStyle name="Normal 3 14 10" xfId="1158" xr:uid="{00000000-0005-0000-0000-00007C040000}"/>
    <cellStyle name="Normal 3 14 11" xfId="1159" xr:uid="{00000000-0005-0000-0000-00007D040000}"/>
    <cellStyle name="Normal 3 14 12" xfId="1160" xr:uid="{00000000-0005-0000-0000-00007E040000}"/>
    <cellStyle name="Normal 3 14 13" xfId="1161" xr:uid="{00000000-0005-0000-0000-00007F040000}"/>
    <cellStyle name="Normal 3 14 14" xfId="1162" xr:uid="{00000000-0005-0000-0000-000080040000}"/>
    <cellStyle name="Normal 3 14 15" xfId="1163" xr:uid="{00000000-0005-0000-0000-000081040000}"/>
    <cellStyle name="Normal 3 14 16" xfId="1164" xr:uid="{00000000-0005-0000-0000-000082040000}"/>
    <cellStyle name="Normal 3 14 17" xfId="1165" xr:uid="{00000000-0005-0000-0000-000083040000}"/>
    <cellStyle name="Normal 3 14 18" xfId="1166" xr:uid="{00000000-0005-0000-0000-000084040000}"/>
    <cellStyle name="Normal 3 14 19" xfId="1167" xr:uid="{00000000-0005-0000-0000-000085040000}"/>
    <cellStyle name="Normal 3 14 2" xfId="1168" xr:uid="{00000000-0005-0000-0000-000086040000}"/>
    <cellStyle name="Normal 3 14 20" xfId="1169" xr:uid="{00000000-0005-0000-0000-000087040000}"/>
    <cellStyle name="Normal 3 14 21" xfId="1170" xr:uid="{00000000-0005-0000-0000-000088040000}"/>
    <cellStyle name="Normal 3 14 22" xfId="1171" xr:uid="{00000000-0005-0000-0000-000089040000}"/>
    <cellStyle name="Normal 3 14 23" xfId="1172" xr:uid="{00000000-0005-0000-0000-00008A040000}"/>
    <cellStyle name="Normal 3 14 3" xfId="1173" xr:uid="{00000000-0005-0000-0000-00008B040000}"/>
    <cellStyle name="Normal 3 14 4" xfId="1174" xr:uid="{00000000-0005-0000-0000-00008C040000}"/>
    <cellStyle name="Normal 3 14 5" xfId="1175" xr:uid="{00000000-0005-0000-0000-00008D040000}"/>
    <cellStyle name="Normal 3 14 6" xfId="1176" xr:uid="{00000000-0005-0000-0000-00008E040000}"/>
    <cellStyle name="Normal 3 14 7" xfId="1177" xr:uid="{00000000-0005-0000-0000-00008F040000}"/>
    <cellStyle name="Normal 3 14 8" xfId="1178" xr:uid="{00000000-0005-0000-0000-000090040000}"/>
    <cellStyle name="Normal 3 14 9" xfId="1179" xr:uid="{00000000-0005-0000-0000-000091040000}"/>
    <cellStyle name="Normal 3 15" xfId="1180" xr:uid="{00000000-0005-0000-0000-000092040000}"/>
    <cellStyle name="Normal 3 15 10" xfId="1181" xr:uid="{00000000-0005-0000-0000-000093040000}"/>
    <cellStyle name="Normal 3 15 11" xfId="1182" xr:uid="{00000000-0005-0000-0000-000094040000}"/>
    <cellStyle name="Normal 3 15 12" xfId="1183" xr:uid="{00000000-0005-0000-0000-000095040000}"/>
    <cellStyle name="Normal 3 15 13" xfId="1184" xr:uid="{00000000-0005-0000-0000-000096040000}"/>
    <cellStyle name="Normal 3 15 14" xfId="1185" xr:uid="{00000000-0005-0000-0000-000097040000}"/>
    <cellStyle name="Normal 3 15 15" xfId="1186" xr:uid="{00000000-0005-0000-0000-000098040000}"/>
    <cellStyle name="Normal 3 15 16" xfId="1187" xr:uid="{00000000-0005-0000-0000-000099040000}"/>
    <cellStyle name="Normal 3 15 17" xfId="1188" xr:uid="{00000000-0005-0000-0000-00009A040000}"/>
    <cellStyle name="Normal 3 15 18" xfId="1189" xr:uid="{00000000-0005-0000-0000-00009B040000}"/>
    <cellStyle name="Normal 3 15 19" xfId="1190" xr:uid="{00000000-0005-0000-0000-00009C040000}"/>
    <cellStyle name="Normal 3 15 2" xfId="1191" xr:uid="{00000000-0005-0000-0000-00009D040000}"/>
    <cellStyle name="Normal 3 15 20" xfId="1192" xr:uid="{00000000-0005-0000-0000-00009E040000}"/>
    <cellStyle name="Normal 3 15 21" xfId="1193" xr:uid="{00000000-0005-0000-0000-00009F040000}"/>
    <cellStyle name="Normal 3 15 22" xfId="1194" xr:uid="{00000000-0005-0000-0000-0000A0040000}"/>
    <cellStyle name="Normal 3 15 23" xfId="1195" xr:uid="{00000000-0005-0000-0000-0000A1040000}"/>
    <cellStyle name="Normal 3 15 3" xfId="1196" xr:uid="{00000000-0005-0000-0000-0000A2040000}"/>
    <cellStyle name="Normal 3 15 4" xfId="1197" xr:uid="{00000000-0005-0000-0000-0000A3040000}"/>
    <cellStyle name="Normal 3 15 5" xfId="1198" xr:uid="{00000000-0005-0000-0000-0000A4040000}"/>
    <cellStyle name="Normal 3 15 6" xfId="1199" xr:uid="{00000000-0005-0000-0000-0000A5040000}"/>
    <cellStyle name="Normal 3 15 7" xfId="1200" xr:uid="{00000000-0005-0000-0000-0000A6040000}"/>
    <cellStyle name="Normal 3 15 8" xfId="1201" xr:uid="{00000000-0005-0000-0000-0000A7040000}"/>
    <cellStyle name="Normal 3 15 9" xfId="1202" xr:uid="{00000000-0005-0000-0000-0000A8040000}"/>
    <cellStyle name="Normal 3 16" xfId="1203" xr:uid="{00000000-0005-0000-0000-0000A9040000}"/>
    <cellStyle name="Normal 3 16 10" xfId="1204" xr:uid="{00000000-0005-0000-0000-0000AA040000}"/>
    <cellStyle name="Normal 3 16 11" xfId="1205" xr:uid="{00000000-0005-0000-0000-0000AB040000}"/>
    <cellStyle name="Normal 3 16 12" xfId="1206" xr:uid="{00000000-0005-0000-0000-0000AC040000}"/>
    <cellStyle name="Normal 3 16 13" xfId="1207" xr:uid="{00000000-0005-0000-0000-0000AD040000}"/>
    <cellStyle name="Normal 3 16 14" xfId="1208" xr:uid="{00000000-0005-0000-0000-0000AE040000}"/>
    <cellStyle name="Normal 3 16 15" xfId="1209" xr:uid="{00000000-0005-0000-0000-0000AF040000}"/>
    <cellStyle name="Normal 3 16 16" xfId="1210" xr:uid="{00000000-0005-0000-0000-0000B0040000}"/>
    <cellStyle name="Normal 3 16 17" xfId="1211" xr:uid="{00000000-0005-0000-0000-0000B1040000}"/>
    <cellStyle name="Normal 3 16 18" xfId="1212" xr:uid="{00000000-0005-0000-0000-0000B2040000}"/>
    <cellStyle name="Normal 3 16 19" xfId="1213" xr:uid="{00000000-0005-0000-0000-0000B3040000}"/>
    <cellStyle name="Normal 3 16 2" xfId="1214" xr:uid="{00000000-0005-0000-0000-0000B4040000}"/>
    <cellStyle name="Normal 3 16 20" xfId="1215" xr:uid="{00000000-0005-0000-0000-0000B5040000}"/>
    <cellStyle name="Normal 3 16 21" xfId="1216" xr:uid="{00000000-0005-0000-0000-0000B6040000}"/>
    <cellStyle name="Normal 3 16 22" xfId="1217" xr:uid="{00000000-0005-0000-0000-0000B7040000}"/>
    <cellStyle name="Normal 3 16 23" xfId="1218" xr:uid="{00000000-0005-0000-0000-0000B8040000}"/>
    <cellStyle name="Normal 3 16 3" xfId="1219" xr:uid="{00000000-0005-0000-0000-0000B9040000}"/>
    <cellStyle name="Normal 3 16 4" xfId="1220" xr:uid="{00000000-0005-0000-0000-0000BA040000}"/>
    <cellStyle name="Normal 3 16 5" xfId="1221" xr:uid="{00000000-0005-0000-0000-0000BB040000}"/>
    <cellStyle name="Normal 3 16 6" xfId="1222" xr:uid="{00000000-0005-0000-0000-0000BC040000}"/>
    <cellStyle name="Normal 3 16 7" xfId="1223" xr:uid="{00000000-0005-0000-0000-0000BD040000}"/>
    <cellStyle name="Normal 3 16 8" xfId="1224" xr:uid="{00000000-0005-0000-0000-0000BE040000}"/>
    <cellStyle name="Normal 3 16 9" xfId="1225" xr:uid="{00000000-0005-0000-0000-0000BF040000}"/>
    <cellStyle name="Normal 3 17" xfId="1226" xr:uid="{00000000-0005-0000-0000-0000C0040000}"/>
    <cellStyle name="Normal 3 17 10" xfId="1227" xr:uid="{00000000-0005-0000-0000-0000C1040000}"/>
    <cellStyle name="Normal 3 17 11" xfId="1228" xr:uid="{00000000-0005-0000-0000-0000C2040000}"/>
    <cellStyle name="Normal 3 17 12" xfId="1229" xr:uid="{00000000-0005-0000-0000-0000C3040000}"/>
    <cellStyle name="Normal 3 17 13" xfId="1230" xr:uid="{00000000-0005-0000-0000-0000C4040000}"/>
    <cellStyle name="Normal 3 17 14" xfId="1231" xr:uid="{00000000-0005-0000-0000-0000C5040000}"/>
    <cellStyle name="Normal 3 17 15" xfId="1232" xr:uid="{00000000-0005-0000-0000-0000C6040000}"/>
    <cellStyle name="Normal 3 17 16" xfId="1233" xr:uid="{00000000-0005-0000-0000-0000C7040000}"/>
    <cellStyle name="Normal 3 17 17" xfId="1234" xr:uid="{00000000-0005-0000-0000-0000C8040000}"/>
    <cellStyle name="Normal 3 17 18" xfId="1235" xr:uid="{00000000-0005-0000-0000-0000C9040000}"/>
    <cellStyle name="Normal 3 17 19" xfId="1236" xr:uid="{00000000-0005-0000-0000-0000CA040000}"/>
    <cellStyle name="Normal 3 17 2" xfId="1237" xr:uid="{00000000-0005-0000-0000-0000CB040000}"/>
    <cellStyle name="Normal 3 17 20" xfId="1238" xr:uid="{00000000-0005-0000-0000-0000CC040000}"/>
    <cellStyle name="Normal 3 17 21" xfId="1239" xr:uid="{00000000-0005-0000-0000-0000CD040000}"/>
    <cellStyle name="Normal 3 17 22" xfId="1240" xr:uid="{00000000-0005-0000-0000-0000CE040000}"/>
    <cellStyle name="Normal 3 17 23" xfId="1241" xr:uid="{00000000-0005-0000-0000-0000CF040000}"/>
    <cellStyle name="Normal 3 17 3" xfId="1242" xr:uid="{00000000-0005-0000-0000-0000D0040000}"/>
    <cellStyle name="Normal 3 17 4" xfId="1243" xr:uid="{00000000-0005-0000-0000-0000D1040000}"/>
    <cellStyle name="Normal 3 17 5" xfId="1244" xr:uid="{00000000-0005-0000-0000-0000D2040000}"/>
    <cellStyle name="Normal 3 17 6" xfId="1245" xr:uid="{00000000-0005-0000-0000-0000D3040000}"/>
    <cellStyle name="Normal 3 17 7" xfId="1246" xr:uid="{00000000-0005-0000-0000-0000D4040000}"/>
    <cellStyle name="Normal 3 17 8" xfId="1247" xr:uid="{00000000-0005-0000-0000-0000D5040000}"/>
    <cellStyle name="Normal 3 17 9" xfId="1248" xr:uid="{00000000-0005-0000-0000-0000D6040000}"/>
    <cellStyle name="Normal 3 18" xfId="1249" xr:uid="{00000000-0005-0000-0000-0000D7040000}"/>
    <cellStyle name="Normal 3 18 10" xfId="1250" xr:uid="{00000000-0005-0000-0000-0000D8040000}"/>
    <cellStyle name="Normal 3 18 11" xfId="1251" xr:uid="{00000000-0005-0000-0000-0000D9040000}"/>
    <cellStyle name="Normal 3 18 12" xfId="1252" xr:uid="{00000000-0005-0000-0000-0000DA040000}"/>
    <cellStyle name="Normal 3 18 13" xfId="1253" xr:uid="{00000000-0005-0000-0000-0000DB040000}"/>
    <cellStyle name="Normal 3 18 14" xfId="1254" xr:uid="{00000000-0005-0000-0000-0000DC040000}"/>
    <cellStyle name="Normal 3 18 15" xfId="1255" xr:uid="{00000000-0005-0000-0000-0000DD040000}"/>
    <cellStyle name="Normal 3 18 16" xfId="1256" xr:uid="{00000000-0005-0000-0000-0000DE040000}"/>
    <cellStyle name="Normal 3 18 17" xfId="1257" xr:uid="{00000000-0005-0000-0000-0000DF040000}"/>
    <cellStyle name="Normal 3 18 18" xfId="1258" xr:uid="{00000000-0005-0000-0000-0000E0040000}"/>
    <cellStyle name="Normal 3 18 19" xfId="1259" xr:uid="{00000000-0005-0000-0000-0000E1040000}"/>
    <cellStyle name="Normal 3 18 2" xfId="1260" xr:uid="{00000000-0005-0000-0000-0000E2040000}"/>
    <cellStyle name="Normal 3 18 20" xfId="1261" xr:uid="{00000000-0005-0000-0000-0000E3040000}"/>
    <cellStyle name="Normal 3 18 21" xfId="1262" xr:uid="{00000000-0005-0000-0000-0000E4040000}"/>
    <cellStyle name="Normal 3 18 22" xfId="1263" xr:uid="{00000000-0005-0000-0000-0000E5040000}"/>
    <cellStyle name="Normal 3 18 23" xfId="1264" xr:uid="{00000000-0005-0000-0000-0000E6040000}"/>
    <cellStyle name="Normal 3 18 3" xfId="1265" xr:uid="{00000000-0005-0000-0000-0000E7040000}"/>
    <cellStyle name="Normal 3 18 4" xfId="1266" xr:uid="{00000000-0005-0000-0000-0000E8040000}"/>
    <cellStyle name="Normal 3 18 5" xfId="1267" xr:uid="{00000000-0005-0000-0000-0000E9040000}"/>
    <cellStyle name="Normal 3 18 6" xfId="1268" xr:uid="{00000000-0005-0000-0000-0000EA040000}"/>
    <cellStyle name="Normal 3 18 7" xfId="1269" xr:uid="{00000000-0005-0000-0000-0000EB040000}"/>
    <cellStyle name="Normal 3 18 8" xfId="1270" xr:uid="{00000000-0005-0000-0000-0000EC040000}"/>
    <cellStyle name="Normal 3 18 9" xfId="1271" xr:uid="{00000000-0005-0000-0000-0000ED040000}"/>
    <cellStyle name="Normal 3 19" xfId="1272" xr:uid="{00000000-0005-0000-0000-0000EE040000}"/>
    <cellStyle name="Normal 3 19 10" xfId="1273" xr:uid="{00000000-0005-0000-0000-0000EF040000}"/>
    <cellStyle name="Normal 3 19 11" xfId="1274" xr:uid="{00000000-0005-0000-0000-0000F0040000}"/>
    <cellStyle name="Normal 3 19 12" xfId="1275" xr:uid="{00000000-0005-0000-0000-0000F1040000}"/>
    <cellStyle name="Normal 3 19 13" xfId="1276" xr:uid="{00000000-0005-0000-0000-0000F2040000}"/>
    <cellStyle name="Normal 3 19 14" xfId="1277" xr:uid="{00000000-0005-0000-0000-0000F3040000}"/>
    <cellStyle name="Normal 3 19 15" xfId="1278" xr:uid="{00000000-0005-0000-0000-0000F4040000}"/>
    <cellStyle name="Normal 3 19 16" xfId="1279" xr:uid="{00000000-0005-0000-0000-0000F5040000}"/>
    <cellStyle name="Normal 3 19 17" xfId="1280" xr:uid="{00000000-0005-0000-0000-0000F6040000}"/>
    <cellStyle name="Normal 3 19 18" xfId="1281" xr:uid="{00000000-0005-0000-0000-0000F7040000}"/>
    <cellStyle name="Normal 3 19 19" xfId="1282" xr:uid="{00000000-0005-0000-0000-0000F8040000}"/>
    <cellStyle name="Normal 3 19 2" xfId="1283" xr:uid="{00000000-0005-0000-0000-0000F9040000}"/>
    <cellStyle name="Normal 3 19 20" xfId="1284" xr:uid="{00000000-0005-0000-0000-0000FA040000}"/>
    <cellStyle name="Normal 3 19 21" xfId="1285" xr:uid="{00000000-0005-0000-0000-0000FB040000}"/>
    <cellStyle name="Normal 3 19 22" xfId="1286" xr:uid="{00000000-0005-0000-0000-0000FC040000}"/>
    <cellStyle name="Normal 3 19 23" xfId="1287" xr:uid="{00000000-0005-0000-0000-0000FD040000}"/>
    <cellStyle name="Normal 3 19 3" xfId="1288" xr:uid="{00000000-0005-0000-0000-0000FE040000}"/>
    <cellStyle name="Normal 3 19 4" xfId="1289" xr:uid="{00000000-0005-0000-0000-0000FF040000}"/>
    <cellStyle name="Normal 3 19 5" xfId="1290" xr:uid="{00000000-0005-0000-0000-000000050000}"/>
    <cellStyle name="Normal 3 19 6" xfId="1291" xr:uid="{00000000-0005-0000-0000-000001050000}"/>
    <cellStyle name="Normal 3 19 7" xfId="1292" xr:uid="{00000000-0005-0000-0000-000002050000}"/>
    <cellStyle name="Normal 3 19 8" xfId="1293" xr:uid="{00000000-0005-0000-0000-000003050000}"/>
    <cellStyle name="Normal 3 19 9" xfId="1294" xr:uid="{00000000-0005-0000-0000-000004050000}"/>
    <cellStyle name="Normal 3 2" xfId="1295" xr:uid="{00000000-0005-0000-0000-000005050000}"/>
    <cellStyle name="Normal 3 2 10" xfId="1296" xr:uid="{00000000-0005-0000-0000-000006050000}"/>
    <cellStyle name="Normal 3 2 11" xfId="1297" xr:uid="{00000000-0005-0000-0000-000007050000}"/>
    <cellStyle name="Normal 3 2 12" xfId="1298" xr:uid="{00000000-0005-0000-0000-000008050000}"/>
    <cellStyle name="Normal 3 2 13" xfId="1299" xr:uid="{00000000-0005-0000-0000-000009050000}"/>
    <cellStyle name="Normal 3 2 14" xfId="1300" xr:uid="{00000000-0005-0000-0000-00000A050000}"/>
    <cellStyle name="Normal 3 2 15" xfId="1301" xr:uid="{00000000-0005-0000-0000-00000B050000}"/>
    <cellStyle name="Normal 3 2 16" xfId="1302" xr:uid="{00000000-0005-0000-0000-00000C050000}"/>
    <cellStyle name="Normal 3 2 17" xfId="1303" xr:uid="{00000000-0005-0000-0000-00000D050000}"/>
    <cellStyle name="Normal 3 2 18" xfId="1304" xr:uid="{00000000-0005-0000-0000-00000E050000}"/>
    <cellStyle name="Normal 3 2 19" xfId="1305" xr:uid="{00000000-0005-0000-0000-00000F050000}"/>
    <cellStyle name="Normal 3 2 2" xfId="1306" xr:uid="{00000000-0005-0000-0000-000010050000}"/>
    <cellStyle name="Normal 3 2 2 10" xfId="1307" xr:uid="{00000000-0005-0000-0000-000011050000}"/>
    <cellStyle name="Normal 3 2 2 11" xfId="1308" xr:uid="{00000000-0005-0000-0000-000012050000}"/>
    <cellStyle name="Normal 3 2 2 12" xfId="1309" xr:uid="{00000000-0005-0000-0000-000013050000}"/>
    <cellStyle name="Normal 3 2 2 13" xfId="1310" xr:uid="{00000000-0005-0000-0000-000014050000}"/>
    <cellStyle name="Normal 3 2 2 14" xfId="1311" xr:uid="{00000000-0005-0000-0000-000015050000}"/>
    <cellStyle name="Normal 3 2 2 15" xfId="1312" xr:uid="{00000000-0005-0000-0000-000016050000}"/>
    <cellStyle name="Normal 3 2 2 16" xfId="1313" xr:uid="{00000000-0005-0000-0000-000017050000}"/>
    <cellStyle name="Normal 3 2 2 17" xfId="1314" xr:uid="{00000000-0005-0000-0000-000018050000}"/>
    <cellStyle name="Normal 3 2 2 18" xfId="1315" xr:uid="{00000000-0005-0000-0000-000019050000}"/>
    <cellStyle name="Normal 3 2 2 19" xfId="1316" xr:uid="{00000000-0005-0000-0000-00001A050000}"/>
    <cellStyle name="Normal 3 2 2 2" xfId="1317" xr:uid="{00000000-0005-0000-0000-00001B050000}"/>
    <cellStyle name="Normal 3 2 2 20" xfId="1318" xr:uid="{00000000-0005-0000-0000-00001C050000}"/>
    <cellStyle name="Normal 3 2 2 21" xfId="1319" xr:uid="{00000000-0005-0000-0000-00001D050000}"/>
    <cellStyle name="Normal 3 2 2 22" xfId="1320" xr:uid="{00000000-0005-0000-0000-00001E050000}"/>
    <cellStyle name="Normal 3 2 2 23" xfId="1321" xr:uid="{00000000-0005-0000-0000-00001F050000}"/>
    <cellStyle name="Normal 3 2 2 24" xfId="1322" xr:uid="{00000000-0005-0000-0000-000020050000}"/>
    <cellStyle name="Normal 3 2 2 25" xfId="1323" xr:uid="{00000000-0005-0000-0000-000021050000}"/>
    <cellStyle name="Normal 3 2 2 26" xfId="1324" xr:uid="{00000000-0005-0000-0000-000022050000}"/>
    <cellStyle name="Normal 3 2 2 27" xfId="1325" xr:uid="{00000000-0005-0000-0000-000023050000}"/>
    <cellStyle name="Normal 3 2 2 28" xfId="1326" xr:uid="{00000000-0005-0000-0000-000024050000}"/>
    <cellStyle name="Normal 3 2 2 29" xfId="1327" xr:uid="{00000000-0005-0000-0000-000025050000}"/>
    <cellStyle name="Normal 3 2 2 3" xfId="1328" xr:uid="{00000000-0005-0000-0000-000026050000}"/>
    <cellStyle name="Normal 3 2 2 30" xfId="1329" xr:uid="{00000000-0005-0000-0000-000027050000}"/>
    <cellStyle name="Normal 3 2 2 31" xfId="1330" xr:uid="{00000000-0005-0000-0000-000028050000}"/>
    <cellStyle name="Normal 3 2 2 32" xfId="1331" xr:uid="{00000000-0005-0000-0000-000029050000}"/>
    <cellStyle name="Normal 3 2 2 33" xfId="1332" xr:uid="{00000000-0005-0000-0000-00002A050000}"/>
    <cellStyle name="Normal 3 2 2 4" xfId="1333" xr:uid="{00000000-0005-0000-0000-00002B050000}"/>
    <cellStyle name="Normal 3 2 2 5" xfId="1334" xr:uid="{00000000-0005-0000-0000-00002C050000}"/>
    <cellStyle name="Normal 3 2 2 6" xfId="1335" xr:uid="{00000000-0005-0000-0000-00002D050000}"/>
    <cellStyle name="Normal 3 2 2 7" xfId="1336" xr:uid="{00000000-0005-0000-0000-00002E050000}"/>
    <cellStyle name="Normal 3 2 2 8" xfId="1337" xr:uid="{00000000-0005-0000-0000-00002F050000}"/>
    <cellStyle name="Normal 3 2 2 9" xfId="1338" xr:uid="{00000000-0005-0000-0000-000030050000}"/>
    <cellStyle name="Normal 3 2 20" xfId="1339" xr:uid="{00000000-0005-0000-0000-000031050000}"/>
    <cellStyle name="Normal 3 2 21" xfId="1340" xr:uid="{00000000-0005-0000-0000-000032050000}"/>
    <cellStyle name="Normal 3 2 22" xfId="1341" xr:uid="{00000000-0005-0000-0000-000033050000}"/>
    <cellStyle name="Normal 3 2 23" xfId="1342" xr:uid="{00000000-0005-0000-0000-000034050000}"/>
    <cellStyle name="Normal 3 2 24" xfId="1343" xr:uid="{00000000-0005-0000-0000-000035050000}"/>
    <cellStyle name="Normal 3 2 25" xfId="1344" xr:uid="{00000000-0005-0000-0000-000036050000}"/>
    <cellStyle name="Normal 3 2 26" xfId="1345" xr:uid="{00000000-0005-0000-0000-000037050000}"/>
    <cellStyle name="Normal 3 2 27" xfId="1346" xr:uid="{00000000-0005-0000-0000-000038050000}"/>
    <cellStyle name="Normal 3 2 28" xfId="1347" xr:uid="{00000000-0005-0000-0000-000039050000}"/>
    <cellStyle name="Normal 3 2 29" xfId="1348" xr:uid="{00000000-0005-0000-0000-00003A050000}"/>
    <cellStyle name="Normal 3 2 3" xfId="1349" xr:uid="{00000000-0005-0000-0000-00003B050000}"/>
    <cellStyle name="Normal 3 2 30" xfId="1350" xr:uid="{00000000-0005-0000-0000-00003C050000}"/>
    <cellStyle name="Normal 3 2 31" xfId="1351" xr:uid="{00000000-0005-0000-0000-00003D050000}"/>
    <cellStyle name="Normal 3 2 32" xfId="1352" xr:uid="{00000000-0005-0000-0000-00003E050000}"/>
    <cellStyle name="Normal 3 2 33" xfId="1353" xr:uid="{00000000-0005-0000-0000-00003F050000}"/>
    <cellStyle name="Normal 3 2 34" xfId="1354" xr:uid="{00000000-0005-0000-0000-000040050000}"/>
    <cellStyle name="Normal 3 2 35" xfId="1355" xr:uid="{00000000-0005-0000-0000-000041050000}"/>
    <cellStyle name="Normal 3 2 36" xfId="1356" xr:uid="{00000000-0005-0000-0000-000042050000}"/>
    <cellStyle name="Normal 3 2 37" xfId="1357" xr:uid="{00000000-0005-0000-0000-000043050000}"/>
    <cellStyle name="Normal 3 2 38" xfId="1358" xr:uid="{00000000-0005-0000-0000-000044050000}"/>
    <cellStyle name="Normal 3 2 39" xfId="1359" xr:uid="{00000000-0005-0000-0000-000045050000}"/>
    <cellStyle name="Normal 3 2 4" xfId="1360" xr:uid="{00000000-0005-0000-0000-000046050000}"/>
    <cellStyle name="Normal 3 2 40" xfId="1361" xr:uid="{00000000-0005-0000-0000-000047050000}"/>
    <cellStyle name="Normal 3 2 41" xfId="1362" xr:uid="{00000000-0005-0000-0000-000048050000}"/>
    <cellStyle name="Normal 3 2 42" xfId="1363" xr:uid="{00000000-0005-0000-0000-000049050000}"/>
    <cellStyle name="Normal 3 2 43" xfId="1364" xr:uid="{00000000-0005-0000-0000-00004A050000}"/>
    <cellStyle name="Normal 3 2 44" xfId="1365" xr:uid="{00000000-0005-0000-0000-00004B050000}"/>
    <cellStyle name="Normal 3 2 45" xfId="1366" xr:uid="{00000000-0005-0000-0000-00004C050000}"/>
    <cellStyle name="Normal 3 2 46" xfId="1367" xr:uid="{00000000-0005-0000-0000-00004D050000}"/>
    <cellStyle name="Normal 3 2 47" xfId="1368" xr:uid="{00000000-0005-0000-0000-00004E050000}"/>
    <cellStyle name="Normal 3 2 48" xfId="1369" xr:uid="{00000000-0005-0000-0000-00004F050000}"/>
    <cellStyle name="Normal 3 2 49" xfId="1370" xr:uid="{00000000-0005-0000-0000-000050050000}"/>
    <cellStyle name="Normal 3 2 5" xfId="1371" xr:uid="{00000000-0005-0000-0000-000051050000}"/>
    <cellStyle name="Normal 3 2 50" xfId="1372" xr:uid="{00000000-0005-0000-0000-000052050000}"/>
    <cellStyle name="Normal 3 2 51" xfId="1373" xr:uid="{00000000-0005-0000-0000-000053050000}"/>
    <cellStyle name="Normal 3 2 52" xfId="1374" xr:uid="{00000000-0005-0000-0000-000054050000}"/>
    <cellStyle name="Normal 3 2 53" xfId="1375" xr:uid="{00000000-0005-0000-0000-000055050000}"/>
    <cellStyle name="Normal 3 2 54" xfId="1376" xr:uid="{00000000-0005-0000-0000-000056050000}"/>
    <cellStyle name="Normal 3 2 55" xfId="1377" xr:uid="{00000000-0005-0000-0000-000057050000}"/>
    <cellStyle name="Normal 3 2 6" xfId="1378" xr:uid="{00000000-0005-0000-0000-000058050000}"/>
    <cellStyle name="Normal 3 2 7" xfId="1379" xr:uid="{00000000-0005-0000-0000-000059050000}"/>
    <cellStyle name="Normal 3 2 8" xfId="1380" xr:uid="{00000000-0005-0000-0000-00005A050000}"/>
    <cellStyle name="Normal 3 2 9" xfId="1381" xr:uid="{00000000-0005-0000-0000-00005B050000}"/>
    <cellStyle name="Normal 3 20" xfId="1382" xr:uid="{00000000-0005-0000-0000-00005C050000}"/>
    <cellStyle name="Normal 3 20 10" xfId="1383" xr:uid="{00000000-0005-0000-0000-00005D050000}"/>
    <cellStyle name="Normal 3 20 11" xfId="1384" xr:uid="{00000000-0005-0000-0000-00005E050000}"/>
    <cellStyle name="Normal 3 20 12" xfId="1385" xr:uid="{00000000-0005-0000-0000-00005F050000}"/>
    <cellStyle name="Normal 3 20 13" xfId="1386" xr:uid="{00000000-0005-0000-0000-000060050000}"/>
    <cellStyle name="Normal 3 20 14" xfId="1387" xr:uid="{00000000-0005-0000-0000-000061050000}"/>
    <cellStyle name="Normal 3 20 15" xfId="1388" xr:uid="{00000000-0005-0000-0000-000062050000}"/>
    <cellStyle name="Normal 3 20 16" xfId="1389" xr:uid="{00000000-0005-0000-0000-000063050000}"/>
    <cellStyle name="Normal 3 20 17" xfId="1390" xr:uid="{00000000-0005-0000-0000-000064050000}"/>
    <cellStyle name="Normal 3 20 18" xfId="1391" xr:uid="{00000000-0005-0000-0000-000065050000}"/>
    <cellStyle name="Normal 3 20 19" xfId="1392" xr:uid="{00000000-0005-0000-0000-000066050000}"/>
    <cellStyle name="Normal 3 20 2" xfId="1393" xr:uid="{00000000-0005-0000-0000-000067050000}"/>
    <cellStyle name="Normal 3 20 20" xfId="1394" xr:uid="{00000000-0005-0000-0000-000068050000}"/>
    <cellStyle name="Normal 3 20 21" xfId="1395" xr:uid="{00000000-0005-0000-0000-000069050000}"/>
    <cellStyle name="Normal 3 20 22" xfId="1396" xr:uid="{00000000-0005-0000-0000-00006A050000}"/>
    <cellStyle name="Normal 3 20 23" xfId="1397" xr:uid="{00000000-0005-0000-0000-00006B050000}"/>
    <cellStyle name="Normal 3 20 3" xfId="1398" xr:uid="{00000000-0005-0000-0000-00006C050000}"/>
    <cellStyle name="Normal 3 20 4" xfId="1399" xr:uid="{00000000-0005-0000-0000-00006D050000}"/>
    <cellStyle name="Normal 3 20 5" xfId="1400" xr:uid="{00000000-0005-0000-0000-00006E050000}"/>
    <cellStyle name="Normal 3 20 6" xfId="1401" xr:uid="{00000000-0005-0000-0000-00006F050000}"/>
    <cellStyle name="Normal 3 20 7" xfId="1402" xr:uid="{00000000-0005-0000-0000-000070050000}"/>
    <cellStyle name="Normal 3 20 8" xfId="1403" xr:uid="{00000000-0005-0000-0000-000071050000}"/>
    <cellStyle name="Normal 3 20 9" xfId="1404" xr:uid="{00000000-0005-0000-0000-000072050000}"/>
    <cellStyle name="Normal 3 21" xfId="1405" xr:uid="{00000000-0005-0000-0000-000073050000}"/>
    <cellStyle name="Normal 3 21 10" xfId="1406" xr:uid="{00000000-0005-0000-0000-000074050000}"/>
    <cellStyle name="Normal 3 21 11" xfId="1407" xr:uid="{00000000-0005-0000-0000-000075050000}"/>
    <cellStyle name="Normal 3 21 12" xfId="1408" xr:uid="{00000000-0005-0000-0000-000076050000}"/>
    <cellStyle name="Normal 3 21 13" xfId="1409" xr:uid="{00000000-0005-0000-0000-000077050000}"/>
    <cellStyle name="Normal 3 21 14" xfId="1410" xr:uid="{00000000-0005-0000-0000-000078050000}"/>
    <cellStyle name="Normal 3 21 15" xfId="1411" xr:uid="{00000000-0005-0000-0000-000079050000}"/>
    <cellStyle name="Normal 3 21 16" xfId="1412" xr:uid="{00000000-0005-0000-0000-00007A050000}"/>
    <cellStyle name="Normal 3 21 17" xfId="1413" xr:uid="{00000000-0005-0000-0000-00007B050000}"/>
    <cellStyle name="Normal 3 21 18" xfId="1414" xr:uid="{00000000-0005-0000-0000-00007C050000}"/>
    <cellStyle name="Normal 3 21 19" xfId="1415" xr:uid="{00000000-0005-0000-0000-00007D050000}"/>
    <cellStyle name="Normal 3 21 2" xfId="1416" xr:uid="{00000000-0005-0000-0000-00007E050000}"/>
    <cellStyle name="Normal 3 21 20" xfId="1417" xr:uid="{00000000-0005-0000-0000-00007F050000}"/>
    <cellStyle name="Normal 3 21 21" xfId="1418" xr:uid="{00000000-0005-0000-0000-000080050000}"/>
    <cellStyle name="Normal 3 21 22" xfId="1419" xr:uid="{00000000-0005-0000-0000-000081050000}"/>
    <cellStyle name="Normal 3 21 23" xfId="1420" xr:uid="{00000000-0005-0000-0000-000082050000}"/>
    <cellStyle name="Normal 3 21 3" xfId="1421" xr:uid="{00000000-0005-0000-0000-000083050000}"/>
    <cellStyle name="Normal 3 21 4" xfId="1422" xr:uid="{00000000-0005-0000-0000-000084050000}"/>
    <cellStyle name="Normal 3 21 5" xfId="1423" xr:uid="{00000000-0005-0000-0000-000085050000}"/>
    <cellStyle name="Normal 3 21 6" xfId="1424" xr:uid="{00000000-0005-0000-0000-000086050000}"/>
    <cellStyle name="Normal 3 21 7" xfId="1425" xr:uid="{00000000-0005-0000-0000-000087050000}"/>
    <cellStyle name="Normal 3 21 8" xfId="1426" xr:uid="{00000000-0005-0000-0000-000088050000}"/>
    <cellStyle name="Normal 3 21 9" xfId="1427" xr:uid="{00000000-0005-0000-0000-000089050000}"/>
    <cellStyle name="Normal 3 22" xfId="1428" xr:uid="{00000000-0005-0000-0000-00008A050000}"/>
    <cellStyle name="Normal 3 22 10" xfId="1429" xr:uid="{00000000-0005-0000-0000-00008B050000}"/>
    <cellStyle name="Normal 3 22 11" xfId="1430" xr:uid="{00000000-0005-0000-0000-00008C050000}"/>
    <cellStyle name="Normal 3 22 12" xfId="1431" xr:uid="{00000000-0005-0000-0000-00008D050000}"/>
    <cellStyle name="Normal 3 22 13" xfId="1432" xr:uid="{00000000-0005-0000-0000-00008E050000}"/>
    <cellStyle name="Normal 3 22 14" xfId="1433" xr:uid="{00000000-0005-0000-0000-00008F050000}"/>
    <cellStyle name="Normal 3 22 15" xfId="1434" xr:uid="{00000000-0005-0000-0000-000090050000}"/>
    <cellStyle name="Normal 3 22 16" xfId="1435" xr:uid="{00000000-0005-0000-0000-000091050000}"/>
    <cellStyle name="Normal 3 22 17" xfId="1436" xr:uid="{00000000-0005-0000-0000-000092050000}"/>
    <cellStyle name="Normal 3 22 18" xfId="1437" xr:uid="{00000000-0005-0000-0000-000093050000}"/>
    <cellStyle name="Normal 3 22 19" xfId="1438" xr:uid="{00000000-0005-0000-0000-000094050000}"/>
    <cellStyle name="Normal 3 22 2" xfId="1439" xr:uid="{00000000-0005-0000-0000-000095050000}"/>
    <cellStyle name="Normal 3 22 20" xfId="1440" xr:uid="{00000000-0005-0000-0000-000096050000}"/>
    <cellStyle name="Normal 3 22 21" xfId="1441" xr:uid="{00000000-0005-0000-0000-000097050000}"/>
    <cellStyle name="Normal 3 22 22" xfId="1442" xr:uid="{00000000-0005-0000-0000-000098050000}"/>
    <cellStyle name="Normal 3 22 23" xfId="1443" xr:uid="{00000000-0005-0000-0000-000099050000}"/>
    <cellStyle name="Normal 3 22 3" xfId="1444" xr:uid="{00000000-0005-0000-0000-00009A050000}"/>
    <cellStyle name="Normal 3 22 4" xfId="1445" xr:uid="{00000000-0005-0000-0000-00009B050000}"/>
    <cellStyle name="Normal 3 22 5" xfId="1446" xr:uid="{00000000-0005-0000-0000-00009C050000}"/>
    <cellStyle name="Normal 3 22 6" xfId="1447" xr:uid="{00000000-0005-0000-0000-00009D050000}"/>
    <cellStyle name="Normal 3 22 7" xfId="1448" xr:uid="{00000000-0005-0000-0000-00009E050000}"/>
    <cellStyle name="Normal 3 22 8" xfId="1449" xr:uid="{00000000-0005-0000-0000-00009F050000}"/>
    <cellStyle name="Normal 3 22 9" xfId="1450" xr:uid="{00000000-0005-0000-0000-0000A0050000}"/>
    <cellStyle name="Normal 3 23" xfId="1451" xr:uid="{00000000-0005-0000-0000-0000A1050000}"/>
    <cellStyle name="Normal 3 23 10" xfId="1452" xr:uid="{00000000-0005-0000-0000-0000A2050000}"/>
    <cellStyle name="Normal 3 23 11" xfId="1453" xr:uid="{00000000-0005-0000-0000-0000A3050000}"/>
    <cellStyle name="Normal 3 23 12" xfId="1454" xr:uid="{00000000-0005-0000-0000-0000A4050000}"/>
    <cellStyle name="Normal 3 23 13" xfId="1455" xr:uid="{00000000-0005-0000-0000-0000A5050000}"/>
    <cellStyle name="Normal 3 23 14" xfId="1456" xr:uid="{00000000-0005-0000-0000-0000A6050000}"/>
    <cellStyle name="Normal 3 23 15" xfId="1457" xr:uid="{00000000-0005-0000-0000-0000A7050000}"/>
    <cellStyle name="Normal 3 23 16" xfId="1458" xr:uid="{00000000-0005-0000-0000-0000A8050000}"/>
    <cellStyle name="Normal 3 23 17" xfId="1459" xr:uid="{00000000-0005-0000-0000-0000A9050000}"/>
    <cellStyle name="Normal 3 23 18" xfId="1460" xr:uid="{00000000-0005-0000-0000-0000AA050000}"/>
    <cellStyle name="Normal 3 23 19" xfId="1461" xr:uid="{00000000-0005-0000-0000-0000AB050000}"/>
    <cellStyle name="Normal 3 23 2" xfId="1462" xr:uid="{00000000-0005-0000-0000-0000AC050000}"/>
    <cellStyle name="Normal 3 23 20" xfId="1463" xr:uid="{00000000-0005-0000-0000-0000AD050000}"/>
    <cellStyle name="Normal 3 23 21" xfId="1464" xr:uid="{00000000-0005-0000-0000-0000AE050000}"/>
    <cellStyle name="Normal 3 23 22" xfId="1465" xr:uid="{00000000-0005-0000-0000-0000AF050000}"/>
    <cellStyle name="Normal 3 23 23" xfId="1466" xr:uid="{00000000-0005-0000-0000-0000B0050000}"/>
    <cellStyle name="Normal 3 23 3" xfId="1467" xr:uid="{00000000-0005-0000-0000-0000B1050000}"/>
    <cellStyle name="Normal 3 23 4" xfId="1468" xr:uid="{00000000-0005-0000-0000-0000B2050000}"/>
    <cellStyle name="Normal 3 23 5" xfId="1469" xr:uid="{00000000-0005-0000-0000-0000B3050000}"/>
    <cellStyle name="Normal 3 23 6" xfId="1470" xr:uid="{00000000-0005-0000-0000-0000B4050000}"/>
    <cellStyle name="Normal 3 23 7" xfId="1471" xr:uid="{00000000-0005-0000-0000-0000B5050000}"/>
    <cellStyle name="Normal 3 23 8" xfId="1472" xr:uid="{00000000-0005-0000-0000-0000B6050000}"/>
    <cellStyle name="Normal 3 23 9" xfId="1473" xr:uid="{00000000-0005-0000-0000-0000B7050000}"/>
    <cellStyle name="Normal 3 24" xfId="1474" xr:uid="{00000000-0005-0000-0000-0000B8050000}"/>
    <cellStyle name="Normal 3 24 10" xfId="1475" xr:uid="{00000000-0005-0000-0000-0000B9050000}"/>
    <cellStyle name="Normal 3 24 11" xfId="1476" xr:uid="{00000000-0005-0000-0000-0000BA050000}"/>
    <cellStyle name="Normal 3 24 12" xfId="1477" xr:uid="{00000000-0005-0000-0000-0000BB050000}"/>
    <cellStyle name="Normal 3 24 13" xfId="1478" xr:uid="{00000000-0005-0000-0000-0000BC050000}"/>
    <cellStyle name="Normal 3 24 14" xfId="1479" xr:uid="{00000000-0005-0000-0000-0000BD050000}"/>
    <cellStyle name="Normal 3 24 15" xfId="1480" xr:uid="{00000000-0005-0000-0000-0000BE050000}"/>
    <cellStyle name="Normal 3 24 16" xfId="1481" xr:uid="{00000000-0005-0000-0000-0000BF050000}"/>
    <cellStyle name="Normal 3 24 17" xfId="1482" xr:uid="{00000000-0005-0000-0000-0000C0050000}"/>
    <cellStyle name="Normal 3 24 18" xfId="1483" xr:uid="{00000000-0005-0000-0000-0000C1050000}"/>
    <cellStyle name="Normal 3 24 19" xfId="1484" xr:uid="{00000000-0005-0000-0000-0000C2050000}"/>
    <cellStyle name="Normal 3 24 2" xfId="1485" xr:uid="{00000000-0005-0000-0000-0000C3050000}"/>
    <cellStyle name="Normal 3 24 20" xfId="1486" xr:uid="{00000000-0005-0000-0000-0000C4050000}"/>
    <cellStyle name="Normal 3 24 21" xfId="1487" xr:uid="{00000000-0005-0000-0000-0000C5050000}"/>
    <cellStyle name="Normal 3 24 22" xfId="1488" xr:uid="{00000000-0005-0000-0000-0000C6050000}"/>
    <cellStyle name="Normal 3 24 23" xfId="1489" xr:uid="{00000000-0005-0000-0000-0000C7050000}"/>
    <cellStyle name="Normal 3 24 3" xfId="1490" xr:uid="{00000000-0005-0000-0000-0000C8050000}"/>
    <cellStyle name="Normal 3 24 4" xfId="1491" xr:uid="{00000000-0005-0000-0000-0000C9050000}"/>
    <cellStyle name="Normal 3 24 5" xfId="1492" xr:uid="{00000000-0005-0000-0000-0000CA050000}"/>
    <cellStyle name="Normal 3 24 6" xfId="1493" xr:uid="{00000000-0005-0000-0000-0000CB050000}"/>
    <cellStyle name="Normal 3 24 7" xfId="1494" xr:uid="{00000000-0005-0000-0000-0000CC050000}"/>
    <cellStyle name="Normal 3 24 8" xfId="1495" xr:uid="{00000000-0005-0000-0000-0000CD050000}"/>
    <cellStyle name="Normal 3 24 9" xfId="1496" xr:uid="{00000000-0005-0000-0000-0000CE050000}"/>
    <cellStyle name="Normal 3 25" xfId="1497" xr:uid="{00000000-0005-0000-0000-0000CF050000}"/>
    <cellStyle name="Normal 3 25 10" xfId="1498" xr:uid="{00000000-0005-0000-0000-0000D0050000}"/>
    <cellStyle name="Normal 3 25 11" xfId="1499" xr:uid="{00000000-0005-0000-0000-0000D1050000}"/>
    <cellStyle name="Normal 3 25 12" xfId="1500" xr:uid="{00000000-0005-0000-0000-0000D2050000}"/>
    <cellStyle name="Normal 3 25 13" xfId="1501" xr:uid="{00000000-0005-0000-0000-0000D3050000}"/>
    <cellStyle name="Normal 3 25 14" xfId="1502" xr:uid="{00000000-0005-0000-0000-0000D4050000}"/>
    <cellStyle name="Normal 3 25 15" xfId="1503" xr:uid="{00000000-0005-0000-0000-0000D5050000}"/>
    <cellStyle name="Normal 3 25 16" xfId="1504" xr:uid="{00000000-0005-0000-0000-0000D6050000}"/>
    <cellStyle name="Normal 3 25 17" xfId="1505" xr:uid="{00000000-0005-0000-0000-0000D7050000}"/>
    <cellStyle name="Normal 3 25 18" xfId="1506" xr:uid="{00000000-0005-0000-0000-0000D8050000}"/>
    <cellStyle name="Normal 3 25 19" xfId="1507" xr:uid="{00000000-0005-0000-0000-0000D9050000}"/>
    <cellStyle name="Normal 3 25 2" xfId="1508" xr:uid="{00000000-0005-0000-0000-0000DA050000}"/>
    <cellStyle name="Normal 3 25 20" xfId="1509" xr:uid="{00000000-0005-0000-0000-0000DB050000}"/>
    <cellStyle name="Normal 3 25 21" xfId="1510" xr:uid="{00000000-0005-0000-0000-0000DC050000}"/>
    <cellStyle name="Normal 3 25 22" xfId="1511" xr:uid="{00000000-0005-0000-0000-0000DD050000}"/>
    <cellStyle name="Normal 3 25 23" xfId="1512" xr:uid="{00000000-0005-0000-0000-0000DE050000}"/>
    <cellStyle name="Normal 3 25 3" xfId="1513" xr:uid="{00000000-0005-0000-0000-0000DF050000}"/>
    <cellStyle name="Normal 3 25 4" xfId="1514" xr:uid="{00000000-0005-0000-0000-0000E0050000}"/>
    <cellStyle name="Normal 3 25 5" xfId="1515" xr:uid="{00000000-0005-0000-0000-0000E1050000}"/>
    <cellStyle name="Normal 3 25 6" xfId="1516" xr:uid="{00000000-0005-0000-0000-0000E2050000}"/>
    <cellStyle name="Normal 3 25 7" xfId="1517" xr:uid="{00000000-0005-0000-0000-0000E3050000}"/>
    <cellStyle name="Normal 3 25 8" xfId="1518" xr:uid="{00000000-0005-0000-0000-0000E4050000}"/>
    <cellStyle name="Normal 3 25 9" xfId="1519" xr:uid="{00000000-0005-0000-0000-0000E5050000}"/>
    <cellStyle name="Normal 3 26" xfId="1520" xr:uid="{00000000-0005-0000-0000-0000E6050000}"/>
    <cellStyle name="Normal 3 26 10" xfId="1521" xr:uid="{00000000-0005-0000-0000-0000E7050000}"/>
    <cellStyle name="Normal 3 26 11" xfId="1522" xr:uid="{00000000-0005-0000-0000-0000E8050000}"/>
    <cellStyle name="Normal 3 26 12" xfId="1523" xr:uid="{00000000-0005-0000-0000-0000E9050000}"/>
    <cellStyle name="Normal 3 26 13" xfId="1524" xr:uid="{00000000-0005-0000-0000-0000EA050000}"/>
    <cellStyle name="Normal 3 26 14" xfId="1525" xr:uid="{00000000-0005-0000-0000-0000EB050000}"/>
    <cellStyle name="Normal 3 26 15" xfId="1526" xr:uid="{00000000-0005-0000-0000-0000EC050000}"/>
    <cellStyle name="Normal 3 26 16" xfId="1527" xr:uid="{00000000-0005-0000-0000-0000ED050000}"/>
    <cellStyle name="Normal 3 26 17" xfId="1528" xr:uid="{00000000-0005-0000-0000-0000EE050000}"/>
    <cellStyle name="Normal 3 26 18" xfId="1529" xr:uid="{00000000-0005-0000-0000-0000EF050000}"/>
    <cellStyle name="Normal 3 26 19" xfId="1530" xr:uid="{00000000-0005-0000-0000-0000F0050000}"/>
    <cellStyle name="Normal 3 26 2" xfId="1531" xr:uid="{00000000-0005-0000-0000-0000F1050000}"/>
    <cellStyle name="Normal 3 26 20" xfId="1532" xr:uid="{00000000-0005-0000-0000-0000F2050000}"/>
    <cellStyle name="Normal 3 26 21" xfId="1533" xr:uid="{00000000-0005-0000-0000-0000F3050000}"/>
    <cellStyle name="Normal 3 26 22" xfId="1534" xr:uid="{00000000-0005-0000-0000-0000F4050000}"/>
    <cellStyle name="Normal 3 26 23" xfId="1535" xr:uid="{00000000-0005-0000-0000-0000F5050000}"/>
    <cellStyle name="Normal 3 26 3" xfId="1536" xr:uid="{00000000-0005-0000-0000-0000F6050000}"/>
    <cellStyle name="Normal 3 26 4" xfId="1537" xr:uid="{00000000-0005-0000-0000-0000F7050000}"/>
    <cellStyle name="Normal 3 26 5" xfId="1538" xr:uid="{00000000-0005-0000-0000-0000F8050000}"/>
    <cellStyle name="Normal 3 26 6" xfId="1539" xr:uid="{00000000-0005-0000-0000-0000F9050000}"/>
    <cellStyle name="Normal 3 26 7" xfId="1540" xr:uid="{00000000-0005-0000-0000-0000FA050000}"/>
    <cellStyle name="Normal 3 26 8" xfId="1541" xr:uid="{00000000-0005-0000-0000-0000FB050000}"/>
    <cellStyle name="Normal 3 26 9" xfId="1542" xr:uid="{00000000-0005-0000-0000-0000FC050000}"/>
    <cellStyle name="Normal 3 27" xfId="1543" xr:uid="{00000000-0005-0000-0000-0000FD050000}"/>
    <cellStyle name="Normal 3 27 10" xfId="1544" xr:uid="{00000000-0005-0000-0000-0000FE050000}"/>
    <cellStyle name="Normal 3 27 11" xfId="1545" xr:uid="{00000000-0005-0000-0000-0000FF050000}"/>
    <cellStyle name="Normal 3 27 12" xfId="1546" xr:uid="{00000000-0005-0000-0000-000000060000}"/>
    <cellStyle name="Normal 3 27 13" xfId="1547" xr:uid="{00000000-0005-0000-0000-000001060000}"/>
    <cellStyle name="Normal 3 27 14" xfId="1548" xr:uid="{00000000-0005-0000-0000-000002060000}"/>
    <cellStyle name="Normal 3 27 15" xfId="1549" xr:uid="{00000000-0005-0000-0000-000003060000}"/>
    <cellStyle name="Normal 3 27 16" xfId="1550" xr:uid="{00000000-0005-0000-0000-000004060000}"/>
    <cellStyle name="Normal 3 27 17" xfId="1551" xr:uid="{00000000-0005-0000-0000-000005060000}"/>
    <cellStyle name="Normal 3 27 18" xfId="1552" xr:uid="{00000000-0005-0000-0000-000006060000}"/>
    <cellStyle name="Normal 3 27 19" xfId="1553" xr:uid="{00000000-0005-0000-0000-000007060000}"/>
    <cellStyle name="Normal 3 27 2" xfId="1554" xr:uid="{00000000-0005-0000-0000-000008060000}"/>
    <cellStyle name="Normal 3 27 20" xfId="1555" xr:uid="{00000000-0005-0000-0000-000009060000}"/>
    <cellStyle name="Normal 3 27 21" xfId="1556" xr:uid="{00000000-0005-0000-0000-00000A060000}"/>
    <cellStyle name="Normal 3 27 22" xfId="1557" xr:uid="{00000000-0005-0000-0000-00000B060000}"/>
    <cellStyle name="Normal 3 27 23" xfId="1558" xr:uid="{00000000-0005-0000-0000-00000C060000}"/>
    <cellStyle name="Normal 3 27 3" xfId="1559" xr:uid="{00000000-0005-0000-0000-00000D060000}"/>
    <cellStyle name="Normal 3 27 4" xfId="1560" xr:uid="{00000000-0005-0000-0000-00000E060000}"/>
    <cellStyle name="Normal 3 27 5" xfId="1561" xr:uid="{00000000-0005-0000-0000-00000F060000}"/>
    <cellStyle name="Normal 3 27 6" xfId="1562" xr:uid="{00000000-0005-0000-0000-000010060000}"/>
    <cellStyle name="Normal 3 27 7" xfId="1563" xr:uid="{00000000-0005-0000-0000-000011060000}"/>
    <cellStyle name="Normal 3 27 8" xfId="1564" xr:uid="{00000000-0005-0000-0000-000012060000}"/>
    <cellStyle name="Normal 3 27 9" xfId="1565" xr:uid="{00000000-0005-0000-0000-000013060000}"/>
    <cellStyle name="Normal 3 28" xfId="1566" xr:uid="{00000000-0005-0000-0000-000014060000}"/>
    <cellStyle name="Normal 3 28 10" xfId="1567" xr:uid="{00000000-0005-0000-0000-000015060000}"/>
    <cellStyle name="Normal 3 28 11" xfId="1568" xr:uid="{00000000-0005-0000-0000-000016060000}"/>
    <cellStyle name="Normal 3 28 12" xfId="1569" xr:uid="{00000000-0005-0000-0000-000017060000}"/>
    <cellStyle name="Normal 3 28 13" xfId="1570" xr:uid="{00000000-0005-0000-0000-000018060000}"/>
    <cellStyle name="Normal 3 28 14" xfId="1571" xr:uid="{00000000-0005-0000-0000-000019060000}"/>
    <cellStyle name="Normal 3 28 15" xfId="1572" xr:uid="{00000000-0005-0000-0000-00001A060000}"/>
    <cellStyle name="Normal 3 28 16" xfId="1573" xr:uid="{00000000-0005-0000-0000-00001B060000}"/>
    <cellStyle name="Normal 3 28 17" xfId="1574" xr:uid="{00000000-0005-0000-0000-00001C060000}"/>
    <cellStyle name="Normal 3 28 18" xfId="1575" xr:uid="{00000000-0005-0000-0000-00001D060000}"/>
    <cellStyle name="Normal 3 28 19" xfId="1576" xr:uid="{00000000-0005-0000-0000-00001E060000}"/>
    <cellStyle name="Normal 3 28 2" xfId="1577" xr:uid="{00000000-0005-0000-0000-00001F060000}"/>
    <cellStyle name="Normal 3 28 20" xfId="1578" xr:uid="{00000000-0005-0000-0000-000020060000}"/>
    <cellStyle name="Normal 3 28 21" xfId="1579" xr:uid="{00000000-0005-0000-0000-000021060000}"/>
    <cellStyle name="Normal 3 28 22" xfId="1580" xr:uid="{00000000-0005-0000-0000-000022060000}"/>
    <cellStyle name="Normal 3 28 23" xfId="1581" xr:uid="{00000000-0005-0000-0000-000023060000}"/>
    <cellStyle name="Normal 3 28 3" xfId="1582" xr:uid="{00000000-0005-0000-0000-000024060000}"/>
    <cellStyle name="Normal 3 28 4" xfId="1583" xr:uid="{00000000-0005-0000-0000-000025060000}"/>
    <cellStyle name="Normal 3 28 5" xfId="1584" xr:uid="{00000000-0005-0000-0000-000026060000}"/>
    <cellStyle name="Normal 3 28 6" xfId="1585" xr:uid="{00000000-0005-0000-0000-000027060000}"/>
    <cellStyle name="Normal 3 28 7" xfId="1586" xr:uid="{00000000-0005-0000-0000-000028060000}"/>
    <cellStyle name="Normal 3 28 8" xfId="1587" xr:uid="{00000000-0005-0000-0000-000029060000}"/>
    <cellStyle name="Normal 3 28 9" xfId="1588" xr:uid="{00000000-0005-0000-0000-00002A060000}"/>
    <cellStyle name="Normal 3 29" xfId="1589" xr:uid="{00000000-0005-0000-0000-00002B060000}"/>
    <cellStyle name="Normal 3 29 10" xfId="1590" xr:uid="{00000000-0005-0000-0000-00002C060000}"/>
    <cellStyle name="Normal 3 29 11" xfId="1591" xr:uid="{00000000-0005-0000-0000-00002D060000}"/>
    <cellStyle name="Normal 3 29 12" xfId="1592" xr:uid="{00000000-0005-0000-0000-00002E060000}"/>
    <cellStyle name="Normal 3 29 13" xfId="1593" xr:uid="{00000000-0005-0000-0000-00002F060000}"/>
    <cellStyle name="Normal 3 29 14" xfId="1594" xr:uid="{00000000-0005-0000-0000-000030060000}"/>
    <cellStyle name="Normal 3 29 15" xfId="1595" xr:uid="{00000000-0005-0000-0000-000031060000}"/>
    <cellStyle name="Normal 3 29 16" xfId="1596" xr:uid="{00000000-0005-0000-0000-000032060000}"/>
    <cellStyle name="Normal 3 29 17" xfId="1597" xr:uid="{00000000-0005-0000-0000-000033060000}"/>
    <cellStyle name="Normal 3 29 18" xfId="1598" xr:uid="{00000000-0005-0000-0000-000034060000}"/>
    <cellStyle name="Normal 3 29 19" xfId="1599" xr:uid="{00000000-0005-0000-0000-000035060000}"/>
    <cellStyle name="Normal 3 29 2" xfId="1600" xr:uid="{00000000-0005-0000-0000-000036060000}"/>
    <cellStyle name="Normal 3 29 20" xfId="1601" xr:uid="{00000000-0005-0000-0000-000037060000}"/>
    <cellStyle name="Normal 3 29 21" xfId="1602" xr:uid="{00000000-0005-0000-0000-000038060000}"/>
    <cellStyle name="Normal 3 29 22" xfId="1603" xr:uid="{00000000-0005-0000-0000-000039060000}"/>
    <cellStyle name="Normal 3 29 23" xfId="1604" xr:uid="{00000000-0005-0000-0000-00003A060000}"/>
    <cellStyle name="Normal 3 29 3" xfId="1605" xr:uid="{00000000-0005-0000-0000-00003B060000}"/>
    <cellStyle name="Normal 3 29 4" xfId="1606" xr:uid="{00000000-0005-0000-0000-00003C060000}"/>
    <cellStyle name="Normal 3 29 5" xfId="1607" xr:uid="{00000000-0005-0000-0000-00003D060000}"/>
    <cellStyle name="Normal 3 29 6" xfId="1608" xr:uid="{00000000-0005-0000-0000-00003E060000}"/>
    <cellStyle name="Normal 3 29 7" xfId="1609" xr:uid="{00000000-0005-0000-0000-00003F060000}"/>
    <cellStyle name="Normal 3 29 8" xfId="1610" xr:uid="{00000000-0005-0000-0000-000040060000}"/>
    <cellStyle name="Normal 3 29 9" xfId="1611" xr:uid="{00000000-0005-0000-0000-000041060000}"/>
    <cellStyle name="Normal 3 3" xfId="1612" xr:uid="{00000000-0005-0000-0000-000042060000}"/>
    <cellStyle name="Normal 3 3 10" xfId="1613" xr:uid="{00000000-0005-0000-0000-000043060000}"/>
    <cellStyle name="Normal 3 3 11" xfId="1614" xr:uid="{00000000-0005-0000-0000-000044060000}"/>
    <cellStyle name="Normal 3 3 12" xfId="1615" xr:uid="{00000000-0005-0000-0000-000045060000}"/>
    <cellStyle name="Normal 3 3 13" xfId="1616" xr:uid="{00000000-0005-0000-0000-000046060000}"/>
    <cellStyle name="Normal 3 3 14" xfId="1617" xr:uid="{00000000-0005-0000-0000-000047060000}"/>
    <cellStyle name="Normal 3 3 15" xfId="1618" xr:uid="{00000000-0005-0000-0000-000048060000}"/>
    <cellStyle name="Normal 3 3 16" xfId="1619" xr:uid="{00000000-0005-0000-0000-000049060000}"/>
    <cellStyle name="Normal 3 3 17" xfId="1620" xr:uid="{00000000-0005-0000-0000-00004A060000}"/>
    <cellStyle name="Normal 3 3 18" xfId="1621" xr:uid="{00000000-0005-0000-0000-00004B060000}"/>
    <cellStyle name="Normal 3 3 19" xfId="1622" xr:uid="{00000000-0005-0000-0000-00004C060000}"/>
    <cellStyle name="Normal 3 3 2" xfId="1623" xr:uid="{00000000-0005-0000-0000-00004D060000}"/>
    <cellStyle name="Normal 3 3 20" xfId="1624" xr:uid="{00000000-0005-0000-0000-00004E060000}"/>
    <cellStyle name="Normal 3 3 21" xfId="1625" xr:uid="{00000000-0005-0000-0000-00004F060000}"/>
    <cellStyle name="Normal 3 3 22" xfId="1626" xr:uid="{00000000-0005-0000-0000-000050060000}"/>
    <cellStyle name="Normal 3 3 23" xfId="1627" xr:uid="{00000000-0005-0000-0000-000051060000}"/>
    <cellStyle name="Normal 3 3 3" xfId="1628" xr:uid="{00000000-0005-0000-0000-000052060000}"/>
    <cellStyle name="Normal 3 3 4" xfId="1629" xr:uid="{00000000-0005-0000-0000-000053060000}"/>
    <cellStyle name="Normal 3 3 5" xfId="1630" xr:uid="{00000000-0005-0000-0000-000054060000}"/>
    <cellStyle name="Normal 3 3 6" xfId="1631" xr:uid="{00000000-0005-0000-0000-000055060000}"/>
    <cellStyle name="Normal 3 3 7" xfId="1632" xr:uid="{00000000-0005-0000-0000-000056060000}"/>
    <cellStyle name="Normal 3 3 8" xfId="1633" xr:uid="{00000000-0005-0000-0000-000057060000}"/>
    <cellStyle name="Normal 3 3 9" xfId="1634" xr:uid="{00000000-0005-0000-0000-000058060000}"/>
    <cellStyle name="Normal 3 30" xfId="1635" xr:uid="{00000000-0005-0000-0000-000059060000}"/>
    <cellStyle name="Normal 3 30 10" xfId="1636" xr:uid="{00000000-0005-0000-0000-00005A060000}"/>
    <cellStyle name="Normal 3 30 11" xfId="1637" xr:uid="{00000000-0005-0000-0000-00005B060000}"/>
    <cellStyle name="Normal 3 30 12" xfId="1638" xr:uid="{00000000-0005-0000-0000-00005C060000}"/>
    <cellStyle name="Normal 3 30 13" xfId="1639" xr:uid="{00000000-0005-0000-0000-00005D060000}"/>
    <cellStyle name="Normal 3 30 14" xfId="1640" xr:uid="{00000000-0005-0000-0000-00005E060000}"/>
    <cellStyle name="Normal 3 30 15" xfId="1641" xr:uid="{00000000-0005-0000-0000-00005F060000}"/>
    <cellStyle name="Normal 3 30 16" xfId="1642" xr:uid="{00000000-0005-0000-0000-000060060000}"/>
    <cellStyle name="Normal 3 30 17" xfId="1643" xr:uid="{00000000-0005-0000-0000-000061060000}"/>
    <cellStyle name="Normal 3 30 18" xfId="1644" xr:uid="{00000000-0005-0000-0000-000062060000}"/>
    <cellStyle name="Normal 3 30 19" xfId="1645" xr:uid="{00000000-0005-0000-0000-000063060000}"/>
    <cellStyle name="Normal 3 30 2" xfId="1646" xr:uid="{00000000-0005-0000-0000-000064060000}"/>
    <cellStyle name="Normal 3 30 20" xfId="1647" xr:uid="{00000000-0005-0000-0000-000065060000}"/>
    <cellStyle name="Normal 3 30 21" xfId="1648" xr:uid="{00000000-0005-0000-0000-000066060000}"/>
    <cellStyle name="Normal 3 30 22" xfId="1649" xr:uid="{00000000-0005-0000-0000-000067060000}"/>
    <cellStyle name="Normal 3 30 23" xfId="1650" xr:uid="{00000000-0005-0000-0000-000068060000}"/>
    <cellStyle name="Normal 3 30 3" xfId="1651" xr:uid="{00000000-0005-0000-0000-000069060000}"/>
    <cellStyle name="Normal 3 30 4" xfId="1652" xr:uid="{00000000-0005-0000-0000-00006A060000}"/>
    <cellStyle name="Normal 3 30 5" xfId="1653" xr:uid="{00000000-0005-0000-0000-00006B060000}"/>
    <cellStyle name="Normal 3 30 6" xfId="1654" xr:uid="{00000000-0005-0000-0000-00006C060000}"/>
    <cellStyle name="Normal 3 30 7" xfId="1655" xr:uid="{00000000-0005-0000-0000-00006D060000}"/>
    <cellStyle name="Normal 3 30 8" xfId="1656" xr:uid="{00000000-0005-0000-0000-00006E060000}"/>
    <cellStyle name="Normal 3 30 9" xfId="1657" xr:uid="{00000000-0005-0000-0000-00006F060000}"/>
    <cellStyle name="Normal 3 31" xfId="1658" xr:uid="{00000000-0005-0000-0000-000070060000}"/>
    <cellStyle name="Normal 3 31 10" xfId="1659" xr:uid="{00000000-0005-0000-0000-000071060000}"/>
    <cellStyle name="Normal 3 31 11" xfId="1660" xr:uid="{00000000-0005-0000-0000-000072060000}"/>
    <cellStyle name="Normal 3 31 12" xfId="1661" xr:uid="{00000000-0005-0000-0000-000073060000}"/>
    <cellStyle name="Normal 3 31 13" xfId="1662" xr:uid="{00000000-0005-0000-0000-000074060000}"/>
    <cellStyle name="Normal 3 31 14" xfId="1663" xr:uid="{00000000-0005-0000-0000-000075060000}"/>
    <cellStyle name="Normal 3 31 15" xfId="1664" xr:uid="{00000000-0005-0000-0000-000076060000}"/>
    <cellStyle name="Normal 3 31 16" xfId="1665" xr:uid="{00000000-0005-0000-0000-000077060000}"/>
    <cellStyle name="Normal 3 31 17" xfId="1666" xr:uid="{00000000-0005-0000-0000-000078060000}"/>
    <cellStyle name="Normal 3 31 18" xfId="1667" xr:uid="{00000000-0005-0000-0000-000079060000}"/>
    <cellStyle name="Normal 3 31 19" xfId="1668" xr:uid="{00000000-0005-0000-0000-00007A060000}"/>
    <cellStyle name="Normal 3 31 2" xfId="1669" xr:uid="{00000000-0005-0000-0000-00007B060000}"/>
    <cellStyle name="Normal 3 31 20" xfId="1670" xr:uid="{00000000-0005-0000-0000-00007C060000}"/>
    <cellStyle name="Normal 3 31 21" xfId="1671" xr:uid="{00000000-0005-0000-0000-00007D060000}"/>
    <cellStyle name="Normal 3 31 22" xfId="1672" xr:uid="{00000000-0005-0000-0000-00007E060000}"/>
    <cellStyle name="Normal 3 31 23" xfId="1673" xr:uid="{00000000-0005-0000-0000-00007F060000}"/>
    <cellStyle name="Normal 3 31 3" xfId="1674" xr:uid="{00000000-0005-0000-0000-000080060000}"/>
    <cellStyle name="Normal 3 31 4" xfId="1675" xr:uid="{00000000-0005-0000-0000-000081060000}"/>
    <cellStyle name="Normal 3 31 5" xfId="1676" xr:uid="{00000000-0005-0000-0000-000082060000}"/>
    <cellStyle name="Normal 3 31 6" xfId="1677" xr:uid="{00000000-0005-0000-0000-000083060000}"/>
    <cellStyle name="Normal 3 31 7" xfId="1678" xr:uid="{00000000-0005-0000-0000-000084060000}"/>
    <cellStyle name="Normal 3 31 8" xfId="1679" xr:uid="{00000000-0005-0000-0000-000085060000}"/>
    <cellStyle name="Normal 3 31 9" xfId="1680" xr:uid="{00000000-0005-0000-0000-000086060000}"/>
    <cellStyle name="Normal 3 32" xfId="1681" xr:uid="{00000000-0005-0000-0000-000087060000}"/>
    <cellStyle name="Normal 3 32 10" xfId="1682" xr:uid="{00000000-0005-0000-0000-000088060000}"/>
    <cellStyle name="Normal 3 32 11" xfId="1683" xr:uid="{00000000-0005-0000-0000-000089060000}"/>
    <cellStyle name="Normal 3 32 12" xfId="1684" xr:uid="{00000000-0005-0000-0000-00008A060000}"/>
    <cellStyle name="Normal 3 32 13" xfId="1685" xr:uid="{00000000-0005-0000-0000-00008B060000}"/>
    <cellStyle name="Normal 3 32 14" xfId="1686" xr:uid="{00000000-0005-0000-0000-00008C060000}"/>
    <cellStyle name="Normal 3 32 15" xfId="1687" xr:uid="{00000000-0005-0000-0000-00008D060000}"/>
    <cellStyle name="Normal 3 32 16" xfId="1688" xr:uid="{00000000-0005-0000-0000-00008E060000}"/>
    <cellStyle name="Normal 3 32 17" xfId="1689" xr:uid="{00000000-0005-0000-0000-00008F060000}"/>
    <cellStyle name="Normal 3 32 18" xfId="1690" xr:uid="{00000000-0005-0000-0000-000090060000}"/>
    <cellStyle name="Normal 3 32 19" xfId="1691" xr:uid="{00000000-0005-0000-0000-000091060000}"/>
    <cellStyle name="Normal 3 32 2" xfId="1692" xr:uid="{00000000-0005-0000-0000-000092060000}"/>
    <cellStyle name="Normal 3 32 20" xfId="1693" xr:uid="{00000000-0005-0000-0000-000093060000}"/>
    <cellStyle name="Normal 3 32 21" xfId="1694" xr:uid="{00000000-0005-0000-0000-000094060000}"/>
    <cellStyle name="Normal 3 32 22" xfId="1695" xr:uid="{00000000-0005-0000-0000-000095060000}"/>
    <cellStyle name="Normal 3 32 23" xfId="1696" xr:uid="{00000000-0005-0000-0000-000096060000}"/>
    <cellStyle name="Normal 3 32 3" xfId="1697" xr:uid="{00000000-0005-0000-0000-000097060000}"/>
    <cellStyle name="Normal 3 32 4" xfId="1698" xr:uid="{00000000-0005-0000-0000-000098060000}"/>
    <cellStyle name="Normal 3 32 5" xfId="1699" xr:uid="{00000000-0005-0000-0000-000099060000}"/>
    <cellStyle name="Normal 3 32 6" xfId="1700" xr:uid="{00000000-0005-0000-0000-00009A060000}"/>
    <cellStyle name="Normal 3 32 7" xfId="1701" xr:uid="{00000000-0005-0000-0000-00009B060000}"/>
    <cellStyle name="Normal 3 32 8" xfId="1702" xr:uid="{00000000-0005-0000-0000-00009C060000}"/>
    <cellStyle name="Normal 3 32 9" xfId="1703" xr:uid="{00000000-0005-0000-0000-00009D060000}"/>
    <cellStyle name="Normal 3 33" xfId="1704" xr:uid="{00000000-0005-0000-0000-00009E060000}"/>
    <cellStyle name="Normal 3 33 10" xfId="1705" xr:uid="{00000000-0005-0000-0000-00009F060000}"/>
    <cellStyle name="Normal 3 33 11" xfId="1706" xr:uid="{00000000-0005-0000-0000-0000A0060000}"/>
    <cellStyle name="Normal 3 33 12" xfId="1707" xr:uid="{00000000-0005-0000-0000-0000A1060000}"/>
    <cellStyle name="Normal 3 33 13" xfId="1708" xr:uid="{00000000-0005-0000-0000-0000A2060000}"/>
    <cellStyle name="Normal 3 33 14" xfId="1709" xr:uid="{00000000-0005-0000-0000-0000A3060000}"/>
    <cellStyle name="Normal 3 33 15" xfId="1710" xr:uid="{00000000-0005-0000-0000-0000A4060000}"/>
    <cellStyle name="Normal 3 33 16" xfId="1711" xr:uid="{00000000-0005-0000-0000-0000A5060000}"/>
    <cellStyle name="Normal 3 33 17" xfId="1712" xr:uid="{00000000-0005-0000-0000-0000A6060000}"/>
    <cellStyle name="Normal 3 33 18" xfId="1713" xr:uid="{00000000-0005-0000-0000-0000A7060000}"/>
    <cellStyle name="Normal 3 33 19" xfId="1714" xr:uid="{00000000-0005-0000-0000-0000A8060000}"/>
    <cellStyle name="Normal 3 33 2" xfId="1715" xr:uid="{00000000-0005-0000-0000-0000A9060000}"/>
    <cellStyle name="Normal 3 33 20" xfId="1716" xr:uid="{00000000-0005-0000-0000-0000AA060000}"/>
    <cellStyle name="Normal 3 33 21" xfId="1717" xr:uid="{00000000-0005-0000-0000-0000AB060000}"/>
    <cellStyle name="Normal 3 33 22" xfId="1718" xr:uid="{00000000-0005-0000-0000-0000AC060000}"/>
    <cellStyle name="Normal 3 33 23" xfId="1719" xr:uid="{00000000-0005-0000-0000-0000AD060000}"/>
    <cellStyle name="Normal 3 33 3" xfId="1720" xr:uid="{00000000-0005-0000-0000-0000AE060000}"/>
    <cellStyle name="Normal 3 33 4" xfId="1721" xr:uid="{00000000-0005-0000-0000-0000AF060000}"/>
    <cellStyle name="Normal 3 33 5" xfId="1722" xr:uid="{00000000-0005-0000-0000-0000B0060000}"/>
    <cellStyle name="Normal 3 33 6" xfId="1723" xr:uid="{00000000-0005-0000-0000-0000B1060000}"/>
    <cellStyle name="Normal 3 33 7" xfId="1724" xr:uid="{00000000-0005-0000-0000-0000B2060000}"/>
    <cellStyle name="Normal 3 33 8" xfId="1725" xr:uid="{00000000-0005-0000-0000-0000B3060000}"/>
    <cellStyle name="Normal 3 33 9" xfId="1726" xr:uid="{00000000-0005-0000-0000-0000B4060000}"/>
    <cellStyle name="Normal 3 34" xfId="1727" xr:uid="{00000000-0005-0000-0000-0000B5060000}"/>
    <cellStyle name="Normal 3 35" xfId="1728" xr:uid="{00000000-0005-0000-0000-0000B6060000}"/>
    <cellStyle name="Normal 3 36" xfId="1729" xr:uid="{00000000-0005-0000-0000-0000B7060000}"/>
    <cellStyle name="Normal 3 37" xfId="1730" xr:uid="{00000000-0005-0000-0000-0000B8060000}"/>
    <cellStyle name="Normal 3 38" xfId="1731" xr:uid="{00000000-0005-0000-0000-0000B9060000}"/>
    <cellStyle name="Normal 3 39" xfId="1732" xr:uid="{00000000-0005-0000-0000-0000BA060000}"/>
    <cellStyle name="Normal 3 4" xfId="1733" xr:uid="{00000000-0005-0000-0000-0000BB060000}"/>
    <cellStyle name="Normal 3 4 10" xfId="1734" xr:uid="{00000000-0005-0000-0000-0000BC060000}"/>
    <cellStyle name="Normal 3 4 11" xfId="1735" xr:uid="{00000000-0005-0000-0000-0000BD060000}"/>
    <cellStyle name="Normal 3 4 12" xfId="1736" xr:uid="{00000000-0005-0000-0000-0000BE060000}"/>
    <cellStyle name="Normal 3 4 13" xfId="1737" xr:uid="{00000000-0005-0000-0000-0000BF060000}"/>
    <cellStyle name="Normal 3 4 14" xfId="1738" xr:uid="{00000000-0005-0000-0000-0000C0060000}"/>
    <cellStyle name="Normal 3 4 15" xfId="1739" xr:uid="{00000000-0005-0000-0000-0000C1060000}"/>
    <cellStyle name="Normal 3 4 16" xfId="1740" xr:uid="{00000000-0005-0000-0000-0000C2060000}"/>
    <cellStyle name="Normal 3 4 17" xfId="1741" xr:uid="{00000000-0005-0000-0000-0000C3060000}"/>
    <cellStyle name="Normal 3 4 18" xfId="1742" xr:uid="{00000000-0005-0000-0000-0000C4060000}"/>
    <cellStyle name="Normal 3 4 19" xfId="1743" xr:uid="{00000000-0005-0000-0000-0000C5060000}"/>
    <cellStyle name="Normal 3 4 2" xfId="1744" xr:uid="{00000000-0005-0000-0000-0000C6060000}"/>
    <cellStyle name="Normal 3 4 20" xfId="1745" xr:uid="{00000000-0005-0000-0000-0000C7060000}"/>
    <cellStyle name="Normal 3 4 21" xfId="1746" xr:uid="{00000000-0005-0000-0000-0000C8060000}"/>
    <cellStyle name="Normal 3 4 22" xfId="1747" xr:uid="{00000000-0005-0000-0000-0000C9060000}"/>
    <cellStyle name="Normal 3 4 23" xfId="1748" xr:uid="{00000000-0005-0000-0000-0000CA060000}"/>
    <cellStyle name="Normal 3 4 3" xfId="1749" xr:uid="{00000000-0005-0000-0000-0000CB060000}"/>
    <cellStyle name="Normal 3 4 4" xfId="1750" xr:uid="{00000000-0005-0000-0000-0000CC060000}"/>
    <cellStyle name="Normal 3 4 5" xfId="1751" xr:uid="{00000000-0005-0000-0000-0000CD060000}"/>
    <cellStyle name="Normal 3 4 6" xfId="1752" xr:uid="{00000000-0005-0000-0000-0000CE060000}"/>
    <cellStyle name="Normal 3 4 7" xfId="1753" xr:uid="{00000000-0005-0000-0000-0000CF060000}"/>
    <cellStyle name="Normal 3 4 8" xfId="1754" xr:uid="{00000000-0005-0000-0000-0000D0060000}"/>
    <cellStyle name="Normal 3 4 9" xfId="1755" xr:uid="{00000000-0005-0000-0000-0000D1060000}"/>
    <cellStyle name="Normal 3 40" xfId="1756" xr:uid="{00000000-0005-0000-0000-0000D2060000}"/>
    <cellStyle name="Normal 3 41" xfId="1757" xr:uid="{00000000-0005-0000-0000-0000D3060000}"/>
    <cellStyle name="Normal 3 42" xfId="1758" xr:uid="{00000000-0005-0000-0000-0000D4060000}"/>
    <cellStyle name="Normal 3 43" xfId="1759" xr:uid="{00000000-0005-0000-0000-0000D5060000}"/>
    <cellStyle name="Normal 3 44" xfId="1760" xr:uid="{00000000-0005-0000-0000-0000D6060000}"/>
    <cellStyle name="Normal 3 45" xfId="1761" xr:uid="{00000000-0005-0000-0000-0000D7060000}"/>
    <cellStyle name="Normal 3 46" xfId="1762" xr:uid="{00000000-0005-0000-0000-0000D8060000}"/>
    <cellStyle name="Normal 3 47" xfId="1763" xr:uid="{00000000-0005-0000-0000-0000D9060000}"/>
    <cellStyle name="Normal 3 48" xfId="1764" xr:uid="{00000000-0005-0000-0000-0000DA060000}"/>
    <cellStyle name="Normal 3 49" xfId="1765" xr:uid="{00000000-0005-0000-0000-0000DB060000}"/>
    <cellStyle name="Normal 3 5" xfId="1766" xr:uid="{00000000-0005-0000-0000-0000DC060000}"/>
    <cellStyle name="Normal 3 5 10" xfId="1767" xr:uid="{00000000-0005-0000-0000-0000DD060000}"/>
    <cellStyle name="Normal 3 5 11" xfId="1768" xr:uid="{00000000-0005-0000-0000-0000DE060000}"/>
    <cellStyle name="Normal 3 5 12" xfId="1769" xr:uid="{00000000-0005-0000-0000-0000DF060000}"/>
    <cellStyle name="Normal 3 5 13" xfId="1770" xr:uid="{00000000-0005-0000-0000-0000E0060000}"/>
    <cellStyle name="Normal 3 5 14" xfId="1771" xr:uid="{00000000-0005-0000-0000-0000E1060000}"/>
    <cellStyle name="Normal 3 5 15" xfId="1772" xr:uid="{00000000-0005-0000-0000-0000E2060000}"/>
    <cellStyle name="Normal 3 5 16" xfId="1773" xr:uid="{00000000-0005-0000-0000-0000E3060000}"/>
    <cellStyle name="Normal 3 5 17" xfId="1774" xr:uid="{00000000-0005-0000-0000-0000E4060000}"/>
    <cellStyle name="Normal 3 5 18" xfId="1775" xr:uid="{00000000-0005-0000-0000-0000E5060000}"/>
    <cellStyle name="Normal 3 5 19" xfId="1776" xr:uid="{00000000-0005-0000-0000-0000E6060000}"/>
    <cellStyle name="Normal 3 5 2" xfId="1777" xr:uid="{00000000-0005-0000-0000-0000E7060000}"/>
    <cellStyle name="Normal 3 5 20" xfId="1778" xr:uid="{00000000-0005-0000-0000-0000E8060000}"/>
    <cellStyle name="Normal 3 5 21" xfId="1779" xr:uid="{00000000-0005-0000-0000-0000E9060000}"/>
    <cellStyle name="Normal 3 5 22" xfId="1780" xr:uid="{00000000-0005-0000-0000-0000EA060000}"/>
    <cellStyle name="Normal 3 5 23" xfId="1781" xr:uid="{00000000-0005-0000-0000-0000EB060000}"/>
    <cellStyle name="Normal 3 5 3" xfId="1782" xr:uid="{00000000-0005-0000-0000-0000EC060000}"/>
    <cellStyle name="Normal 3 5 4" xfId="1783" xr:uid="{00000000-0005-0000-0000-0000ED060000}"/>
    <cellStyle name="Normal 3 5 5" xfId="1784" xr:uid="{00000000-0005-0000-0000-0000EE060000}"/>
    <cellStyle name="Normal 3 5 6" xfId="1785" xr:uid="{00000000-0005-0000-0000-0000EF060000}"/>
    <cellStyle name="Normal 3 5 7" xfId="1786" xr:uid="{00000000-0005-0000-0000-0000F0060000}"/>
    <cellStyle name="Normal 3 5 8" xfId="1787" xr:uid="{00000000-0005-0000-0000-0000F1060000}"/>
    <cellStyle name="Normal 3 5 9" xfId="1788" xr:uid="{00000000-0005-0000-0000-0000F2060000}"/>
    <cellStyle name="Normal 3 50" xfId="1789" xr:uid="{00000000-0005-0000-0000-0000F3060000}"/>
    <cellStyle name="Normal 3 51" xfId="1790" xr:uid="{00000000-0005-0000-0000-0000F4060000}"/>
    <cellStyle name="Normal 3 52" xfId="1791" xr:uid="{00000000-0005-0000-0000-0000F5060000}"/>
    <cellStyle name="Normal 3 53" xfId="1792" xr:uid="{00000000-0005-0000-0000-0000F6060000}"/>
    <cellStyle name="Normal 3 54" xfId="1793" xr:uid="{00000000-0005-0000-0000-0000F7060000}"/>
    <cellStyle name="Normal 3 55" xfId="1794" xr:uid="{00000000-0005-0000-0000-0000F8060000}"/>
    <cellStyle name="Normal 3 56" xfId="1795" xr:uid="{00000000-0005-0000-0000-0000F9060000}"/>
    <cellStyle name="Normal 3 57" xfId="1796" xr:uid="{00000000-0005-0000-0000-0000FA060000}"/>
    <cellStyle name="Normal 3 58" xfId="1797" xr:uid="{00000000-0005-0000-0000-0000FB060000}"/>
    <cellStyle name="Normal 3 59" xfId="1798" xr:uid="{00000000-0005-0000-0000-0000FC060000}"/>
    <cellStyle name="Normal 3 6" xfId="1799" xr:uid="{00000000-0005-0000-0000-0000FD060000}"/>
    <cellStyle name="Normal 3 6 10" xfId="1800" xr:uid="{00000000-0005-0000-0000-0000FE060000}"/>
    <cellStyle name="Normal 3 6 11" xfId="1801" xr:uid="{00000000-0005-0000-0000-0000FF060000}"/>
    <cellStyle name="Normal 3 6 12" xfId="1802" xr:uid="{00000000-0005-0000-0000-000000070000}"/>
    <cellStyle name="Normal 3 6 13" xfId="1803" xr:uid="{00000000-0005-0000-0000-000001070000}"/>
    <cellStyle name="Normal 3 6 14" xfId="1804" xr:uid="{00000000-0005-0000-0000-000002070000}"/>
    <cellStyle name="Normal 3 6 15" xfId="1805" xr:uid="{00000000-0005-0000-0000-000003070000}"/>
    <cellStyle name="Normal 3 6 16" xfId="1806" xr:uid="{00000000-0005-0000-0000-000004070000}"/>
    <cellStyle name="Normal 3 6 17" xfId="1807" xr:uid="{00000000-0005-0000-0000-000005070000}"/>
    <cellStyle name="Normal 3 6 18" xfId="1808" xr:uid="{00000000-0005-0000-0000-000006070000}"/>
    <cellStyle name="Normal 3 6 19" xfId="1809" xr:uid="{00000000-0005-0000-0000-000007070000}"/>
    <cellStyle name="Normal 3 6 2" xfId="1810" xr:uid="{00000000-0005-0000-0000-000008070000}"/>
    <cellStyle name="Normal 3 6 20" xfId="1811" xr:uid="{00000000-0005-0000-0000-000009070000}"/>
    <cellStyle name="Normal 3 6 21" xfId="1812" xr:uid="{00000000-0005-0000-0000-00000A070000}"/>
    <cellStyle name="Normal 3 6 22" xfId="1813" xr:uid="{00000000-0005-0000-0000-00000B070000}"/>
    <cellStyle name="Normal 3 6 23" xfId="1814" xr:uid="{00000000-0005-0000-0000-00000C070000}"/>
    <cellStyle name="Normal 3 6 3" xfId="1815" xr:uid="{00000000-0005-0000-0000-00000D070000}"/>
    <cellStyle name="Normal 3 6 4" xfId="1816" xr:uid="{00000000-0005-0000-0000-00000E070000}"/>
    <cellStyle name="Normal 3 6 5" xfId="1817" xr:uid="{00000000-0005-0000-0000-00000F070000}"/>
    <cellStyle name="Normal 3 6 6" xfId="1818" xr:uid="{00000000-0005-0000-0000-000010070000}"/>
    <cellStyle name="Normal 3 6 7" xfId="1819" xr:uid="{00000000-0005-0000-0000-000011070000}"/>
    <cellStyle name="Normal 3 6 8" xfId="1820" xr:uid="{00000000-0005-0000-0000-000012070000}"/>
    <cellStyle name="Normal 3 6 9" xfId="1821" xr:uid="{00000000-0005-0000-0000-000013070000}"/>
    <cellStyle name="Normal 3 60" xfId="1822" xr:uid="{00000000-0005-0000-0000-000014070000}"/>
    <cellStyle name="Normal 3 61" xfId="1823" xr:uid="{00000000-0005-0000-0000-000015070000}"/>
    <cellStyle name="Normal 3 62" xfId="1824" xr:uid="{00000000-0005-0000-0000-000016070000}"/>
    <cellStyle name="Normal 3 63" xfId="1825" xr:uid="{00000000-0005-0000-0000-000017070000}"/>
    <cellStyle name="Normal 3 64" xfId="1826" xr:uid="{00000000-0005-0000-0000-000018070000}"/>
    <cellStyle name="Normal 3 65" xfId="1827" xr:uid="{00000000-0005-0000-0000-000019070000}"/>
    <cellStyle name="Normal 3 66" xfId="1064" xr:uid="{00000000-0005-0000-0000-00001A070000}"/>
    <cellStyle name="Normal 3 7" xfId="1828" xr:uid="{00000000-0005-0000-0000-00001B070000}"/>
    <cellStyle name="Normal 3 7 10" xfId="1829" xr:uid="{00000000-0005-0000-0000-00001C070000}"/>
    <cellStyle name="Normal 3 7 11" xfId="1830" xr:uid="{00000000-0005-0000-0000-00001D070000}"/>
    <cellStyle name="Normal 3 7 12" xfId="1831" xr:uid="{00000000-0005-0000-0000-00001E070000}"/>
    <cellStyle name="Normal 3 7 13" xfId="1832" xr:uid="{00000000-0005-0000-0000-00001F070000}"/>
    <cellStyle name="Normal 3 7 14" xfId="1833" xr:uid="{00000000-0005-0000-0000-000020070000}"/>
    <cellStyle name="Normal 3 7 15" xfId="1834" xr:uid="{00000000-0005-0000-0000-000021070000}"/>
    <cellStyle name="Normal 3 7 16" xfId="1835" xr:uid="{00000000-0005-0000-0000-000022070000}"/>
    <cellStyle name="Normal 3 7 17" xfId="1836" xr:uid="{00000000-0005-0000-0000-000023070000}"/>
    <cellStyle name="Normal 3 7 18" xfId="1837" xr:uid="{00000000-0005-0000-0000-000024070000}"/>
    <cellStyle name="Normal 3 7 19" xfId="1838" xr:uid="{00000000-0005-0000-0000-000025070000}"/>
    <cellStyle name="Normal 3 7 2" xfId="1839" xr:uid="{00000000-0005-0000-0000-000026070000}"/>
    <cellStyle name="Normal 3 7 20" xfId="1840" xr:uid="{00000000-0005-0000-0000-000027070000}"/>
    <cellStyle name="Normal 3 7 21" xfId="1841" xr:uid="{00000000-0005-0000-0000-000028070000}"/>
    <cellStyle name="Normal 3 7 22" xfId="1842" xr:uid="{00000000-0005-0000-0000-000029070000}"/>
    <cellStyle name="Normal 3 7 23" xfId="1843" xr:uid="{00000000-0005-0000-0000-00002A070000}"/>
    <cellStyle name="Normal 3 7 3" xfId="1844" xr:uid="{00000000-0005-0000-0000-00002B070000}"/>
    <cellStyle name="Normal 3 7 4" xfId="1845" xr:uid="{00000000-0005-0000-0000-00002C070000}"/>
    <cellStyle name="Normal 3 7 5" xfId="1846" xr:uid="{00000000-0005-0000-0000-00002D070000}"/>
    <cellStyle name="Normal 3 7 6" xfId="1847" xr:uid="{00000000-0005-0000-0000-00002E070000}"/>
    <cellStyle name="Normal 3 7 7" xfId="1848" xr:uid="{00000000-0005-0000-0000-00002F070000}"/>
    <cellStyle name="Normal 3 7 8" xfId="1849" xr:uid="{00000000-0005-0000-0000-000030070000}"/>
    <cellStyle name="Normal 3 7 9" xfId="1850" xr:uid="{00000000-0005-0000-0000-000031070000}"/>
    <cellStyle name="Normal 3 8" xfId="1851" xr:uid="{00000000-0005-0000-0000-000032070000}"/>
    <cellStyle name="Normal 3 8 10" xfId="1852" xr:uid="{00000000-0005-0000-0000-000033070000}"/>
    <cellStyle name="Normal 3 8 11" xfId="1853" xr:uid="{00000000-0005-0000-0000-000034070000}"/>
    <cellStyle name="Normal 3 8 12" xfId="1854" xr:uid="{00000000-0005-0000-0000-000035070000}"/>
    <cellStyle name="Normal 3 8 13" xfId="1855" xr:uid="{00000000-0005-0000-0000-000036070000}"/>
    <cellStyle name="Normal 3 8 14" xfId="1856" xr:uid="{00000000-0005-0000-0000-000037070000}"/>
    <cellStyle name="Normal 3 8 15" xfId="1857" xr:uid="{00000000-0005-0000-0000-000038070000}"/>
    <cellStyle name="Normal 3 8 16" xfId="1858" xr:uid="{00000000-0005-0000-0000-000039070000}"/>
    <cellStyle name="Normal 3 8 17" xfId="1859" xr:uid="{00000000-0005-0000-0000-00003A070000}"/>
    <cellStyle name="Normal 3 8 18" xfId="1860" xr:uid="{00000000-0005-0000-0000-00003B070000}"/>
    <cellStyle name="Normal 3 8 19" xfId="1861" xr:uid="{00000000-0005-0000-0000-00003C070000}"/>
    <cellStyle name="Normal 3 8 2" xfId="1862" xr:uid="{00000000-0005-0000-0000-00003D070000}"/>
    <cellStyle name="Normal 3 8 20" xfId="1863" xr:uid="{00000000-0005-0000-0000-00003E070000}"/>
    <cellStyle name="Normal 3 8 21" xfId="1864" xr:uid="{00000000-0005-0000-0000-00003F070000}"/>
    <cellStyle name="Normal 3 8 22" xfId="1865" xr:uid="{00000000-0005-0000-0000-000040070000}"/>
    <cellStyle name="Normal 3 8 23" xfId="1866" xr:uid="{00000000-0005-0000-0000-000041070000}"/>
    <cellStyle name="Normal 3 8 3" xfId="1867" xr:uid="{00000000-0005-0000-0000-000042070000}"/>
    <cellStyle name="Normal 3 8 4" xfId="1868" xr:uid="{00000000-0005-0000-0000-000043070000}"/>
    <cellStyle name="Normal 3 8 5" xfId="1869" xr:uid="{00000000-0005-0000-0000-000044070000}"/>
    <cellStyle name="Normal 3 8 6" xfId="1870" xr:uid="{00000000-0005-0000-0000-000045070000}"/>
    <cellStyle name="Normal 3 8 7" xfId="1871" xr:uid="{00000000-0005-0000-0000-000046070000}"/>
    <cellStyle name="Normal 3 8 8" xfId="1872" xr:uid="{00000000-0005-0000-0000-000047070000}"/>
    <cellStyle name="Normal 3 8 9" xfId="1873" xr:uid="{00000000-0005-0000-0000-000048070000}"/>
    <cellStyle name="Normal 3 9" xfId="1874" xr:uid="{00000000-0005-0000-0000-000049070000}"/>
    <cellStyle name="Normal 3 9 10" xfId="1875" xr:uid="{00000000-0005-0000-0000-00004A070000}"/>
    <cellStyle name="Normal 3 9 11" xfId="1876" xr:uid="{00000000-0005-0000-0000-00004B070000}"/>
    <cellStyle name="Normal 3 9 12" xfId="1877" xr:uid="{00000000-0005-0000-0000-00004C070000}"/>
    <cellStyle name="Normal 3 9 13" xfId="1878" xr:uid="{00000000-0005-0000-0000-00004D070000}"/>
    <cellStyle name="Normal 3 9 14" xfId="1879" xr:uid="{00000000-0005-0000-0000-00004E070000}"/>
    <cellStyle name="Normal 3 9 15" xfId="1880" xr:uid="{00000000-0005-0000-0000-00004F070000}"/>
    <cellStyle name="Normal 3 9 16" xfId="1881" xr:uid="{00000000-0005-0000-0000-000050070000}"/>
    <cellStyle name="Normal 3 9 17" xfId="1882" xr:uid="{00000000-0005-0000-0000-000051070000}"/>
    <cellStyle name="Normal 3 9 18" xfId="1883" xr:uid="{00000000-0005-0000-0000-000052070000}"/>
    <cellStyle name="Normal 3 9 19" xfId="1884" xr:uid="{00000000-0005-0000-0000-000053070000}"/>
    <cellStyle name="Normal 3 9 2" xfId="1885" xr:uid="{00000000-0005-0000-0000-000054070000}"/>
    <cellStyle name="Normal 3 9 20" xfId="1886" xr:uid="{00000000-0005-0000-0000-000055070000}"/>
    <cellStyle name="Normal 3 9 21" xfId="1887" xr:uid="{00000000-0005-0000-0000-000056070000}"/>
    <cellStyle name="Normal 3 9 22" xfId="1888" xr:uid="{00000000-0005-0000-0000-000057070000}"/>
    <cellStyle name="Normal 3 9 23" xfId="1889" xr:uid="{00000000-0005-0000-0000-000058070000}"/>
    <cellStyle name="Normal 3 9 3" xfId="1890" xr:uid="{00000000-0005-0000-0000-000059070000}"/>
    <cellStyle name="Normal 3 9 4" xfId="1891" xr:uid="{00000000-0005-0000-0000-00005A070000}"/>
    <cellStyle name="Normal 3 9 5" xfId="1892" xr:uid="{00000000-0005-0000-0000-00005B070000}"/>
    <cellStyle name="Normal 3 9 6" xfId="1893" xr:uid="{00000000-0005-0000-0000-00005C070000}"/>
    <cellStyle name="Normal 3 9 7" xfId="1894" xr:uid="{00000000-0005-0000-0000-00005D070000}"/>
    <cellStyle name="Normal 3 9 8" xfId="1895" xr:uid="{00000000-0005-0000-0000-00005E070000}"/>
    <cellStyle name="Normal 3 9 9" xfId="1896" xr:uid="{00000000-0005-0000-0000-00005F070000}"/>
    <cellStyle name="Normal 4" xfId="52" xr:uid="{00000000-0005-0000-0000-000060070000}"/>
    <cellStyle name="Normal 4 2" xfId="1898" xr:uid="{00000000-0005-0000-0000-000061070000}"/>
    <cellStyle name="Normal 4 3" xfId="1897" xr:uid="{00000000-0005-0000-0000-000062070000}"/>
    <cellStyle name="Normal 5" xfId="43" xr:uid="{00000000-0005-0000-0000-000063070000}"/>
    <cellStyle name="Normal 5 10" xfId="1899" xr:uid="{00000000-0005-0000-0000-000064070000}"/>
    <cellStyle name="Normal 5 11" xfId="1900" xr:uid="{00000000-0005-0000-0000-000065070000}"/>
    <cellStyle name="Normal 5 12" xfId="1901" xr:uid="{00000000-0005-0000-0000-000066070000}"/>
    <cellStyle name="Normal 5 13" xfId="1902" xr:uid="{00000000-0005-0000-0000-000067070000}"/>
    <cellStyle name="Normal 5 14" xfId="1903" xr:uid="{00000000-0005-0000-0000-000068070000}"/>
    <cellStyle name="Normal 5 15" xfId="1904" xr:uid="{00000000-0005-0000-0000-000069070000}"/>
    <cellStyle name="Normal 5 16" xfId="1905" xr:uid="{00000000-0005-0000-0000-00006A070000}"/>
    <cellStyle name="Normal 5 17" xfId="1906" xr:uid="{00000000-0005-0000-0000-00006B070000}"/>
    <cellStyle name="Normal 5 18" xfId="1907" xr:uid="{00000000-0005-0000-0000-00006C070000}"/>
    <cellStyle name="Normal 5 19" xfId="1908" xr:uid="{00000000-0005-0000-0000-00006D070000}"/>
    <cellStyle name="Normal 5 2" xfId="1909" xr:uid="{00000000-0005-0000-0000-00006E070000}"/>
    <cellStyle name="Normal 5 2 10" xfId="1910" xr:uid="{00000000-0005-0000-0000-00006F070000}"/>
    <cellStyle name="Normal 5 2 11" xfId="1911" xr:uid="{00000000-0005-0000-0000-000070070000}"/>
    <cellStyle name="Normal 5 2 12" xfId="1912" xr:uid="{00000000-0005-0000-0000-000071070000}"/>
    <cellStyle name="Normal 5 2 13" xfId="1913" xr:uid="{00000000-0005-0000-0000-000072070000}"/>
    <cellStyle name="Normal 5 2 14" xfId="1914" xr:uid="{00000000-0005-0000-0000-000073070000}"/>
    <cellStyle name="Normal 5 2 15" xfId="1915" xr:uid="{00000000-0005-0000-0000-000074070000}"/>
    <cellStyle name="Normal 5 2 16" xfId="1916" xr:uid="{00000000-0005-0000-0000-000075070000}"/>
    <cellStyle name="Normal 5 2 17" xfId="1917" xr:uid="{00000000-0005-0000-0000-000076070000}"/>
    <cellStyle name="Normal 5 2 18" xfId="1918" xr:uid="{00000000-0005-0000-0000-000077070000}"/>
    <cellStyle name="Normal 5 2 19" xfId="1919" xr:uid="{00000000-0005-0000-0000-000078070000}"/>
    <cellStyle name="Normal 5 2 2" xfId="1920" xr:uid="{00000000-0005-0000-0000-000079070000}"/>
    <cellStyle name="Normal 5 2 20" xfId="1921" xr:uid="{00000000-0005-0000-0000-00007A070000}"/>
    <cellStyle name="Normal 5 2 21" xfId="1922" xr:uid="{00000000-0005-0000-0000-00007B070000}"/>
    <cellStyle name="Normal 5 2 22" xfId="1923" xr:uid="{00000000-0005-0000-0000-00007C070000}"/>
    <cellStyle name="Normal 5 2 23" xfId="1924" xr:uid="{00000000-0005-0000-0000-00007D070000}"/>
    <cellStyle name="Normal 5 2 3" xfId="1925" xr:uid="{00000000-0005-0000-0000-00007E070000}"/>
    <cellStyle name="Normal 5 2 4" xfId="1926" xr:uid="{00000000-0005-0000-0000-00007F070000}"/>
    <cellStyle name="Normal 5 2 5" xfId="1927" xr:uid="{00000000-0005-0000-0000-000080070000}"/>
    <cellStyle name="Normal 5 2 6" xfId="1928" xr:uid="{00000000-0005-0000-0000-000081070000}"/>
    <cellStyle name="Normal 5 2 7" xfId="1929" xr:uid="{00000000-0005-0000-0000-000082070000}"/>
    <cellStyle name="Normal 5 2 8" xfId="1930" xr:uid="{00000000-0005-0000-0000-000083070000}"/>
    <cellStyle name="Normal 5 2 9" xfId="1931" xr:uid="{00000000-0005-0000-0000-000084070000}"/>
    <cellStyle name="Normal 5 20" xfId="1932" xr:uid="{00000000-0005-0000-0000-000085070000}"/>
    <cellStyle name="Normal 5 21" xfId="1933" xr:uid="{00000000-0005-0000-0000-000086070000}"/>
    <cellStyle name="Normal 5 22" xfId="1934" xr:uid="{00000000-0005-0000-0000-000087070000}"/>
    <cellStyle name="Normal 5 23" xfId="1935" xr:uid="{00000000-0005-0000-0000-000088070000}"/>
    <cellStyle name="Normal 5 24" xfId="1936" xr:uid="{00000000-0005-0000-0000-000089070000}"/>
    <cellStyle name="Normal 5 3" xfId="1937" xr:uid="{00000000-0005-0000-0000-00008A070000}"/>
    <cellStyle name="Normal 5 4" xfId="1938" xr:uid="{00000000-0005-0000-0000-00008B070000}"/>
    <cellStyle name="Normal 5 5" xfId="1939" xr:uid="{00000000-0005-0000-0000-00008C070000}"/>
    <cellStyle name="Normal 5 6" xfId="1940" xr:uid="{00000000-0005-0000-0000-00008D070000}"/>
    <cellStyle name="Normal 5 7" xfId="1941" xr:uid="{00000000-0005-0000-0000-00008E070000}"/>
    <cellStyle name="Normal 5 8" xfId="1942" xr:uid="{00000000-0005-0000-0000-00008F070000}"/>
    <cellStyle name="Normal 5 9" xfId="1943" xr:uid="{00000000-0005-0000-0000-000090070000}"/>
    <cellStyle name="Normal 6" xfId="1944" xr:uid="{00000000-0005-0000-0000-000091070000}"/>
    <cellStyle name="Normal 7" xfId="1945" xr:uid="{00000000-0005-0000-0000-000092070000}"/>
    <cellStyle name="Normal 7 10" xfId="1946" xr:uid="{00000000-0005-0000-0000-000093070000}"/>
    <cellStyle name="Normal 7 11" xfId="1947" xr:uid="{00000000-0005-0000-0000-000094070000}"/>
    <cellStyle name="Normal 7 12" xfId="1948" xr:uid="{00000000-0005-0000-0000-000095070000}"/>
    <cellStyle name="Normal 7 13" xfId="1949" xr:uid="{00000000-0005-0000-0000-000096070000}"/>
    <cellStyle name="Normal 7 14" xfId="1950" xr:uid="{00000000-0005-0000-0000-000097070000}"/>
    <cellStyle name="Normal 7 15" xfId="1951" xr:uid="{00000000-0005-0000-0000-000098070000}"/>
    <cellStyle name="Normal 7 16" xfId="1952" xr:uid="{00000000-0005-0000-0000-000099070000}"/>
    <cellStyle name="Normal 7 17" xfId="1953" xr:uid="{00000000-0005-0000-0000-00009A070000}"/>
    <cellStyle name="Normal 7 18" xfId="1954" xr:uid="{00000000-0005-0000-0000-00009B070000}"/>
    <cellStyle name="Normal 7 19" xfId="1955" xr:uid="{00000000-0005-0000-0000-00009C070000}"/>
    <cellStyle name="Normal 7 2" xfId="1956" xr:uid="{00000000-0005-0000-0000-00009D070000}"/>
    <cellStyle name="Normal 7 2 10" xfId="1957" xr:uid="{00000000-0005-0000-0000-00009E070000}"/>
    <cellStyle name="Normal 7 2 11" xfId="1958" xr:uid="{00000000-0005-0000-0000-00009F070000}"/>
    <cellStyle name="Normal 7 2 12" xfId="1959" xr:uid="{00000000-0005-0000-0000-0000A0070000}"/>
    <cellStyle name="Normal 7 2 13" xfId="1960" xr:uid="{00000000-0005-0000-0000-0000A1070000}"/>
    <cellStyle name="Normal 7 2 14" xfId="1961" xr:uid="{00000000-0005-0000-0000-0000A2070000}"/>
    <cellStyle name="Normal 7 2 15" xfId="1962" xr:uid="{00000000-0005-0000-0000-0000A3070000}"/>
    <cellStyle name="Normal 7 2 16" xfId="1963" xr:uid="{00000000-0005-0000-0000-0000A4070000}"/>
    <cellStyle name="Normal 7 2 17" xfId="1964" xr:uid="{00000000-0005-0000-0000-0000A5070000}"/>
    <cellStyle name="Normal 7 2 18" xfId="1965" xr:uid="{00000000-0005-0000-0000-0000A6070000}"/>
    <cellStyle name="Normal 7 2 19" xfId="1966" xr:uid="{00000000-0005-0000-0000-0000A7070000}"/>
    <cellStyle name="Normal 7 2 2" xfId="1967" xr:uid="{00000000-0005-0000-0000-0000A8070000}"/>
    <cellStyle name="Normal 7 2 20" xfId="1968" xr:uid="{00000000-0005-0000-0000-0000A9070000}"/>
    <cellStyle name="Normal 7 2 21" xfId="1969" xr:uid="{00000000-0005-0000-0000-0000AA070000}"/>
    <cellStyle name="Normal 7 2 22" xfId="1970" xr:uid="{00000000-0005-0000-0000-0000AB070000}"/>
    <cellStyle name="Normal 7 2 23" xfId="1971" xr:uid="{00000000-0005-0000-0000-0000AC070000}"/>
    <cellStyle name="Normal 7 2 3" xfId="1972" xr:uid="{00000000-0005-0000-0000-0000AD070000}"/>
    <cellStyle name="Normal 7 2 4" xfId="1973" xr:uid="{00000000-0005-0000-0000-0000AE070000}"/>
    <cellStyle name="Normal 7 2 5" xfId="1974" xr:uid="{00000000-0005-0000-0000-0000AF070000}"/>
    <cellStyle name="Normal 7 2 6" xfId="1975" xr:uid="{00000000-0005-0000-0000-0000B0070000}"/>
    <cellStyle name="Normal 7 2 7" xfId="1976" xr:uid="{00000000-0005-0000-0000-0000B1070000}"/>
    <cellStyle name="Normal 7 2 8" xfId="1977" xr:uid="{00000000-0005-0000-0000-0000B2070000}"/>
    <cellStyle name="Normal 7 2 9" xfId="1978" xr:uid="{00000000-0005-0000-0000-0000B3070000}"/>
    <cellStyle name="Normal 7 20" xfId="1979" xr:uid="{00000000-0005-0000-0000-0000B4070000}"/>
    <cellStyle name="Normal 7 21" xfId="1980" xr:uid="{00000000-0005-0000-0000-0000B5070000}"/>
    <cellStyle name="Normal 7 22" xfId="1981" xr:uid="{00000000-0005-0000-0000-0000B6070000}"/>
    <cellStyle name="Normal 7 23" xfId="1982" xr:uid="{00000000-0005-0000-0000-0000B7070000}"/>
    <cellStyle name="Normal 7 24" xfId="1983" xr:uid="{00000000-0005-0000-0000-0000B8070000}"/>
    <cellStyle name="Normal 7 3" xfId="1984" xr:uid="{00000000-0005-0000-0000-0000B9070000}"/>
    <cellStyle name="Normal 7 4" xfId="1985" xr:uid="{00000000-0005-0000-0000-0000BA070000}"/>
    <cellStyle name="Normal 7 5" xfId="1986" xr:uid="{00000000-0005-0000-0000-0000BB070000}"/>
    <cellStyle name="Normal 7 6" xfId="1987" xr:uid="{00000000-0005-0000-0000-0000BC070000}"/>
    <cellStyle name="Normal 7 7" xfId="1988" xr:uid="{00000000-0005-0000-0000-0000BD070000}"/>
    <cellStyle name="Normal 7 8" xfId="1989" xr:uid="{00000000-0005-0000-0000-0000BE070000}"/>
    <cellStyle name="Normal 7 9" xfId="1990" xr:uid="{00000000-0005-0000-0000-0000BF070000}"/>
    <cellStyle name="Normal 8" xfId="1991" xr:uid="{00000000-0005-0000-0000-0000C0070000}"/>
    <cellStyle name="Normal 9" xfId="1999" xr:uid="{7431DA46-F342-4F48-A974-F6F942DCFE81}"/>
    <cellStyle name="Note" xfId="16" builtinId="10" customBuiltin="1"/>
    <cellStyle name="Note 2" xfId="1992" xr:uid="{00000000-0005-0000-0000-0000C2070000}"/>
    <cellStyle name="Output" xfId="11" builtinId="21" customBuiltin="1"/>
    <cellStyle name="Output 2" xfId="1993" xr:uid="{00000000-0005-0000-0000-0000C4070000}"/>
    <cellStyle name="Percent" xfId="1998" builtinId="5"/>
    <cellStyle name="Percent 2" xfId="54" xr:uid="{00000000-0005-0000-0000-0000C5070000}"/>
    <cellStyle name="Percent 3" xfId="53" xr:uid="{00000000-0005-0000-0000-0000C6070000}"/>
    <cellStyle name="Percent 4" xfId="1994" xr:uid="{00000000-0005-0000-0000-0000C7070000}"/>
    <cellStyle name="Title" xfId="2" builtinId="15" customBuiltin="1"/>
    <cellStyle name="Title 2" xfId="1995" xr:uid="{00000000-0005-0000-0000-0000C9070000}"/>
    <cellStyle name="Total" xfId="18" builtinId="25" customBuiltin="1"/>
    <cellStyle name="Total 2" xfId="1996" xr:uid="{00000000-0005-0000-0000-0000CB070000}"/>
    <cellStyle name="Warning Text" xfId="15" builtinId="11" customBuiltin="1"/>
    <cellStyle name="Warning Text 2" xfId="1997" xr:uid="{00000000-0005-0000-0000-0000CD070000}"/>
  </cellStyles>
  <dxfs count="9">
    <dxf>
      <fill>
        <patternFill>
          <bgColor rgb="FF001489"/>
        </patternFill>
      </fill>
    </dxf>
    <dxf>
      <fill>
        <patternFill>
          <bgColor rgb="FF6E06C1"/>
        </patternFill>
      </fill>
    </dxf>
    <dxf>
      <fill>
        <patternFill>
          <bgColor rgb="FF1E427C"/>
        </patternFill>
      </fill>
    </dxf>
    <dxf>
      <font>
        <color theme="0" tint="-0.499984740745262"/>
      </font>
      <fill>
        <patternFill>
          <bgColor theme="0" tint="-0.499984740745262"/>
        </patternFill>
      </fill>
    </dxf>
    <dxf>
      <fill>
        <patternFill>
          <bgColor theme="8" tint="0.79998168889431442"/>
        </patternFill>
      </fill>
    </dxf>
    <dxf>
      <font>
        <strike val="0"/>
      </font>
      <fill>
        <patternFill>
          <bgColor theme="8" tint="0.79998168889431442"/>
        </patternFill>
      </fill>
    </dxf>
    <dxf>
      <fill>
        <patternFill>
          <bgColor rgb="FF001489"/>
        </patternFill>
      </fill>
    </dxf>
    <dxf>
      <fill>
        <patternFill>
          <bgColor rgb="FF6E06C1"/>
        </patternFill>
      </fill>
    </dxf>
    <dxf>
      <fill>
        <patternFill>
          <bgColor rgb="FF1E427C"/>
        </patternFill>
      </fill>
    </dxf>
  </dxfs>
  <tableStyles count="0" defaultTableStyle="TableStyleMedium2" defaultPivotStyle="PivotStyleLight16"/>
  <colors>
    <mruColors>
      <color rgb="FF001489"/>
      <color rgb="FFD7F9FD"/>
      <color rgb="FF054B5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Structure" Target="richData/rdrichvaluestructure.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image" Target="../media/image6.png"/><Relationship Id="rId7" Type="http://schemas.openxmlformats.org/officeDocument/2006/relationships/image" Target="../media/image10.png"/><Relationship Id="rId12" Type="http://schemas.openxmlformats.org/officeDocument/2006/relationships/image" Target="../media/image15.tmp"/><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11" Type="http://schemas.openxmlformats.org/officeDocument/2006/relationships/image" Target="../media/image14.png"/><Relationship Id="rId5" Type="http://schemas.openxmlformats.org/officeDocument/2006/relationships/image" Target="../media/image8.png"/><Relationship Id="rId10" Type="http://schemas.openxmlformats.org/officeDocument/2006/relationships/image" Target="../media/image13.png"/><Relationship Id="rId4" Type="http://schemas.openxmlformats.org/officeDocument/2006/relationships/image" Target="../media/image7.png"/><Relationship Id="rId9" Type="http://schemas.openxmlformats.org/officeDocument/2006/relationships/image" Target="../media/image12.png"/></Relationships>
</file>

<file path=xl/drawings/_rels/drawing5.xml.rels><?xml version="1.0" encoding="UTF-8" standalone="yes"?>
<Relationships xmlns="http://schemas.openxmlformats.org/package/2006/relationships"><Relationship Id="rId8" Type="http://schemas.openxmlformats.org/officeDocument/2006/relationships/image" Target="../media/image22.png"/><Relationship Id="rId3" Type="http://schemas.openxmlformats.org/officeDocument/2006/relationships/image" Target="../media/image18.png"/><Relationship Id="rId7" Type="http://schemas.openxmlformats.org/officeDocument/2006/relationships/image" Target="../media/image2.emf"/><Relationship Id="rId2" Type="http://schemas.openxmlformats.org/officeDocument/2006/relationships/image" Target="../media/image17.png"/><Relationship Id="rId1" Type="http://schemas.openxmlformats.org/officeDocument/2006/relationships/image" Target="../media/image16.png"/><Relationship Id="rId6" Type="http://schemas.openxmlformats.org/officeDocument/2006/relationships/image" Target="../media/image21.jpeg"/><Relationship Id="rId5" Type="http://schemas.openxmlformats.org/officeDocument/2006/relationships/image" Target="../media/image20.png"/><Relationship Id="rId4" Type="http://schemas.openxmlformats.org/officeDocument/2006/relationships/image" Target="../media/image19.png"/><Relationship Id="rId9" Type="http://schemas.openxmlformats.org/officeDocument/2006/relationships/image" Target="../media/image23.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0</xdr:row>
          <xdr:rowOff>1</xdr:rowOff>
        </xdr:from>
        <xdr:to>
          <xdr:col>1</xdr:col>
          <xdr:colOff>1196340</xdr:colOff>
          <xdr:row>0</xdr:row>
          <xdr:rowOff>577978</xdr:rowOff>
        </xdr:to>
        <xdr:pic>
          <xdr:nvPicPr>
            <xdr:cNvPr id="4" name="Picture 3">
              <a:extLst>
                <a:ext uri="{FF2B5EF4-FFF2-40B4-BE49-F238E27FC236}">
                  <a16:creationId xmlns:a16="http://schemas.microsoft.com/office/drawing/2014/main" id="{5EB03BD9-72F9-42C1-B04C-7BA5A2CEFDC5}"/>
                </a:ext>
              </a:extLst>
            </xdr:cNvPr>
            <xdr:cNvPicPr>
              <a:picLocks noChangeAspect="1"/>
              <a:extLst>
                <a:ext uri="{84589F7E-364E-4C9E-8A38-B11213B215E9}">
                  <a14:cameraTool cellRange="Logo" spid="_x0000_s1074"/>
                </a:ext>
              </a:extLst>
            </xdr:cNvPicPr>
          </xdr:nvPicPr>
          <xdr:blipFill>
            <a:blip xmlns:r="http://schemas.openxmlformats.org/officeDocument/2006/relationships" r:embed="rId1"/>
            <a:stretch>
              <a:fillRect/>
            </a:stretch>
          </xdr:blipFill>
          <xdr:spPr>
            <a:xfrm>
              <a:off x="243840" y="1"/>
              <a:ext cx="1200150" cy="576072"/>
            </a:xfrm>
            <a:prstGeom prst="rect">
              <a:avLst/>
            </a:prstGeom>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27</xdr:col>
      <xdr:colOff>338667</xdr:colOff>
      <xdr:row>6</xdr:row>
      <xdr:rowOff>95249</xdr:rowOff>
    </xdr:from>
    <xdr:to>
      <xdr:col>32</xdr:col>
      <xdr:colOff>190500</xdr:colOff>
      <xdr:row>19</xdr:row>
      <xdr:rowOff>201083</xdr:rowOff>
    </xdr:to>
    <xdr:sp macro="" textlink="">
      <xdr:nvSpPr>
        <xdr:cNvPr id="2" name="TextBox 1">
          <a:extLst>
            <a:ext uri="{FF2B5EF4-FFF2-40B4-BE49-F238E27FC236}">
              <a16:creationId xmlns:a16="http://schemas.microsoft.com/office/drawing/2014/main" id="{F84382CD-5A96-15E0-C77E-820B12F90126}"/>
            </a:ext>
          </a:extLst>
        </xdr:cNvPr>
        <xdr:cNvSpPr txBox="1"/>
      </xdr:nvSpPr>
      <xdr:spPr>
        <a:xfrm>
          <a:off x="16308917" y="1725082"/>
          <a:ext cx="3185583" cy="38311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hangingPunct="0"/>
          <a:r>
            <a:rPr lang="en-US" sz="1100" b="0" u="sng">
              <a:solidFill>
                <a:srgbClr val="001489"/>
              </a:solidFill>
              <a:effectLst/>
              <a:latin typeface="+mn-lt"/>
              <a:ea typeface="+mn-ea"/>
              <a:cs typeface="+mn-cs"/>
            </a:rPr>
            <a:t>Eligibility:</a:t>
          </a:r>
        </a:p>
        <a:p>
          <a:pPr hangingPunct="0"/>
          <a:r>
            <a:rPr lang="en-US" sz="1100" b="0">
              <a:solidFill>
                <a:srgbClr val="001489"/>
              </a:solidFill>
              <a:effectLst/>
              <a:latin typeface="+mn-lt"/>
              <a:ea typeface="+mn-ea"/>
              <a:cs typeface="+mn-cs"/>
            </a:rPr>
            <a:t>The following protocol for the measurement of energy and demand savings applies to the installation of Variable Frequency Drives (VFDs) in standard commercial building applications – supply and return fans, cooling tower fans, chilled water pumps, and heating water pumps. The baseline condition is a motor without a VFD control. The efficient condition is a motor with a VFD control.</a:t>
          </a:r>
          <a:endParaRPr lang="en-US" sz="1100" b="1">
            <a:solidFill>
              <a:srgbClr val="001489"/>
            </a:solidFill>
            <a:effectLst/>
            <a:latin typeface="+mn-lt"/>
            <a:ea typeface="+mn-ea"/>
            <a:cs typeface="+mn-cs"/>
          </a:endParaRPr>
        </a:p>
        <a:p>
          <a:pPr hangingPunct="0"/>
          <a:r>
            <a:rPr lang="en-US" sz="1100" b="0">
              <a:solidFill>
                <a:srgbClr val="001489"/>
              </a:solidFill>
              <a:effectLst/>
              <a:latin typeface="+mn-lt"/>
              <a:ea typeface="+mn-ea"/>
              <a:cs typeface="+mn-cs"/>
            </a:rPr>
            <a:t> </a:t>
          </a:r>
          <a:endParaRPr lang="en-US" sz="1100" b="1">
            <a:solidFill>
              <a:srgbClr val="001489"/>
            </a:solidFill>
            <a:effectLst/>
            <a:latin typeface="+mn-lt"/>
            <a:ea typeface="+mn-ea"/>
            <a:cs typeface="+mn-cs"/>
          </a:endParaRPr>
        </a:p>
        <a:p>
          <a:pPr hangingPunct="0"/>
          <a:r>
            <a:rPr lang="en-US" sz="1100" b="0">
              <a:solidFill>
                <a:srgbClr val="001489"/>
              </a:solidFill>
              <a:effectLst/>
              <a:latin typeface="+mn-lt"/>
              <a:ea typeface="+mn-ea"/>
              <a:cs typeface="+mn-cs"/>
            </a:rPr>
            <a:t>Installations of new equipment with VFDs which are required by energy codes adopted by the State of Pennsylvania are not eligible for incentives. </a:t>
          </a:r>
          <a:endParaRPr lang="en-US" sz="1100" b="1">
            <a:solidFill>
              <a:srgbClr val="001489"/>
            </a:solidFill>
            <a:effectLst/>
            <a:latin typeface="+mn-lt"/>
            <a:ea typeface="+mn-ea"/>
            <a:cs typeface="+mn-cs"/>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33</xdr:col>
      <xdr:colOff>452439</xdr:colOff>
      <xdr:row>7</xdr:row>
      <xdr:rowOff>35718</xdr:rowOff>
    </xdr:from>
    <xdr:ext cx="5203031" cy="2525691"/>
    <xdr:sp macro="" textlink="">
      <xdr:nvSpPr>
        <xdr:cNvPr id="2" name="TextBox 1">
          <a:extLst>
            <a:ext uri="{FF2B5EF4-FFF2-40B4-BE49-F238E27FC236}">
              <a16:creationId xmlns:a16="http://schemas.microsoft.com/office/drawing/2014/main" id="{52E0F33C-35B1-49DA-8A54-94C36ED90059}"/>
            </a:ext>
          </a:extLst>
        </xdr:cNvPr>
        <xdr:cNvSpPr txBox="1"/>
      </xdr:nvSpPr>
      <xdr:spPr>
        <a:xfrm>
          <a:off x="13656470" y="1774031"/>
          <a:ext cx="5203031" cy="25256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hangingPunct="0"/>
          <a:r>
            <a:rPr lang="en-US" sz="1100" u="sng">
              <a:solidFill>
                <a:srgbClr val="054B56"/>
              </a:solidFill>
              <a:effectLst/>
              <a:latin typeface="+mn-lt"/>
              <a:ea typeface="+mn-ea"/>
              <a:cs typeface="+mn-cs"/>
            </a:rPr>
            <a:t>Eligibility:</a:t>
          </a:r>
        </a:p>
        <a:p>
          <a:pPr hangingPunct="0"/>
          <a:r>
            <a:rPr lang="en-US" sz="1100">
              <a:solidFill>
                <a:srgbClr val="054B56"/>
              </a:solidFill>
              <a:effectLst/>
              <a:latin typeface="+mn-lt"/>
              <a:ea typeface="+mn-ea"/>
              <a:cs typeface="+mn-cs"/>
            </a:rPr>
            <a:t>This measure is targeted to non-residential customers whose air handling equipment currently uses a SP or PSC fan motor rather than an ECM. </a:t>
          </a:r>
          <a:r>
            <a:rPr lang="en-US" sz="1100" u="sng">
              <a:solidFill>
                <a:srgbClr val="054B56"/>
              </a:solidFill>
              <a:effectLst/>
              <a:latin typeface="+mn-lt"/>
              <a:ea typeface="+mn-ea"/>
              <a:cs typeface="+mn-cs"/>
            </a:rPr>
            <a:t>This measure applies only to circulating fan motors of 1 HP or less</a:t>
          </a:r>
          <a:r>
            <a:rPr lang="en-US" sz="1100">
              <a:solidFill>
                <a:srgbClr val="054B56"/>
              </a:solidFill>
              <a:effectLst/>
              <a:latin typeface="+mn-lt"/>
              <a:ea typeface="+mn-ea"/>
              <a:cs typeface="+mn-cs"/>
            </a:rPr>
            <a:t>. Motors larger than 1 HP are governed by NEMA standards and would see little to no efficiency benefit by adding an ECM. Additionally, new construction and replace-on-burnout vintages are not eligible to participate, as ECM technology is required in new equipment by federal efficiency standards</a:t>
          </a:r>
        </a:p>
        <a:p>
          <a:pPr hangingPunct="0"/>
          <a:r>
            <a:rPr lang="en-US" sz="1100">
              <a:solidFill>
                <a:srgbClr val="054B56"/>
              </a:solidFill>
              <a:effectLst/>
              <a:latin typeface="+mn-lt"/>
              <a:ea typeface="+mn-ea"/>
              <a:cs typeface="+mn-cs"/>
            </a:rPr>
            <a:t> </a:t>
          </a:r>
        </a:p>
        <a:p>
          <a:pPr hangingPunct="0"/>
          <a:r>
            <a:rPr lang="en-US" sz="1100">
              <a:solidFill>
                <a:srgbClr val="054B56"/>
              </a:solidFill>
              <a:effectLst/>
              <a:latin typeface="+mn-lt"/>
              <a:ea typeface="+mn-ea"/>
              <a:cs typeface="+mn-cs"/>
            </a:rPr>
            <a:t>The targeted fan can supply heating, cooling, ventilation, or any combination of these. A default savings option is offered if motor input wattage is not known. However, these parameters should be collected by EDCs for greatest accuracy. Acceptable baseline conditions are an existing circulating fan with a SP or PSC fan motor 1 HP or less. Efficient conditions are a circulating fan with an ECM.</a:t>
          </a:r>
        </a:p>
        <a:p>
          <a:endParaRPr lang="en-US" sz="1100"/>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7</xdr:row>
      <xdr:rowOff>0</xdr:rowOff>
    </xdr:from>
    <xdr:to>
      <xdr:col>2</xdr:col>
      <xdr:colOff>3325642</xdr:colOff>
      <xdr:row>24</xdr:row>
      <xdr:rowOff>161925</xdr:rowOff>
    </xdr:to>
    <xdr:pic>
      <xdr:nvPicPr>
        <xdr:cNvPr id="9" name="Picture 8">
          <a:extLst>
            <a:ext uri="{FF2B5EF4-FFF2-40B4-BE49-F238E27FC236}">
              <a16:creationId xmlns:a16="http://schemas.microsoft.com/office/drawing/2014/main" id="{63CB1CD4-995A-4580-A846-604BA7A48B64}"/>
            </a:ext>
          </a:extLst>
        </xdr:cNvPr>
        <xdr:cNvPicPr>
          <a:picLocks noChangeAspect="1"/>
        </xdr:cNvPicPr>
      </xdr:nvPicPr>
      <xdr:blipFill>
        <a:blip xmlns:r="http://schemas.openxmlformats.org/officeDocument/2006/relationships" r:embed="rId1"/>
        <a:stretch>
          <a:fillRect/>
        </a:stretch>
      </xdr:blipFill>
      <xdr:spPr>
        <a:xfrm>
          <a:off x="247650" y="2143125"/>
          <a:ext cx="3992392" cy="3238500"/>
        </a:xfrm>
        <a:prstGeom prst="rect">
          <a:avLst/>
        </a:prstGeom>
      </xdr:spPr>
    </xdr:pic>
    <xdr:clientData/>
  </xdr:twoCellAnchor>
  <xdr:twoCellAnchor editAs="oneCell">
    <xdr:from>
      <xdr:col>1</xdr:col>
      <xdr:colOff>0</xdr:colOff>
      <xdr:row>41</xdr:row>
      <xdr:rowOff>0</xdr:rowOff>
    </xdr:from>
    <xdr:to>
      <xdr:col>2</xdr:col>
      <xdr:colOff>3280766</xdr:colOff>
      <xdr:row>47</xdr:row>
      <xdr:rowOff>38100</xdr:rowOff>
    </xdr:to>
    <xdr:pic>
      <xdr:nvPicPr>
        <xdr:cNvPr id="11" name="Picture 10">
          <a:extLst>
            <a:ext uri="{FF2B5EF4-FFF2-40B4-BE49-F238E27FC236}">
              <a16:creationId xmlns:a16="http://schemas.microsoft.com/office/drawing/2014/main" id="{DB98FDEB-08EB-4131-89B8-D91568613355}"/>
            </a:ext>
          </a:extLst>
        </xdr:cNvPr>
        <xdr:cNvPicPr>
          <a:picLocks noChangeAspect="1"/>
        </xdr:cNvPicPr>
      </xdr:nvPicPr>
      <xdr:blipFill>
        <a:blip xmlns:r="http://schemas.openxmlformats.org/officeDocument/2006/relationships" r:embed="rId2"/>
        <a:stretch>
          <a:fillRect/>
        </a:stretch>
      </xdr:blipFill>
      <xdr:spPr>
        <a:xfrm>
          <a:off x="247650" y="8343900"/>
          <a:ext cx="3947516" cy="1123950"/>
        </a:xfrm>
        <a:prstGeom prst="rect">
          <a:avLst/>
        </a:prstGeom>
      </xdr:spPr>
    </xdr:pic>
    <xdr:clientData/>
  </xdr:twoCellAnchor>
  <xdr:twoCellAnchor editAs="oneCell">
    <xdr:from>
      <xdr:col>1</xdr:col>
      <xdr:colOff>0</xdr:colOff>
      <xdr:row>46</xdr:row>
      <xdr:rowOff>0</xdr:rowOff>
    </xdr:from>
    <xdr:to>
      <xdr:col>2</xdr:col>
      <xdr:colOff>2779869</xdr:colOff>
      <xdr:row>54</xdr:row>
      <xdr:rowOff>4235</xdr:rowOff>
    </xdr:to>
    <xdr:pic>
      <xdr:nvPicPr>
        <xdr:cNvPr id="12" name="Picture 11">
          <a:extLst>
            <a:ext uri="{FF2B5EF4-FFF2-40B4-BE49-F238E27FC236}">
              <a16:creationId xmlns:a16="http://schemas.microsoft.com/office/drawing/2014/main" id="{1D00C4AD-790A-4601-8A8D-948515DEA2AF}"/>
            </a:ext>
          </a:extLst>
        </xdr:cNvPr>
        <xdr:cNvPicPr>
          <a:picLocks noChangeAspect="1"/>
        </xdr:cNvPicPr>
      </xdr:nvPicPr>
      <xdr:blipFill>
        <a:blip xmlns:r="http://schemas.openxmlformats.org/officeDocument/2006/relationships" r:embed="rId3"/>
        <a:stretch>
          <a:fillRect/>
        </a:stretch>
      </xdr:blipFill>
      <xdr:spPr>
        <a:xfrm>
          <a:off x="247650" y="9248775"/>
          <a:ext cx="3446619" cy="1452035"/>
        </a:xfrm>
        <a:prstGeom prst="rect">
          <a:avLst/>
        </a:prstGeom>
      </xdr:spPr>
    </xdr:pic>
    <xdr:clientData/>
  </xdr:twoCellAnchor>
  <xdr:twoCellAnchor editAs="oneCell">
    <xdr:from>
      <xdr:col>1</xdr:col>
      <xdr:colOff>28575</xdr:colOff>
      <xdr:row>54</xdr:row>
      <xdr:rowOff>38100</xdr:rowOff>
    </xdr:from>
    <xdr:to>
      <xdr:col>2</xdr:col>
      <xdr:colOff>2765425</xdr:colOff>
      <xdr:row>66</xdr:row>
      <xdr:rowOff>1178</xdr:rowOff>
    </xdr:to>
    <xdr:pic>
      <xdr:nvPicPr>
        <xdr:cNvPr id="13" name="Picture 12">
          <a:extLst>
            <a:ext uri="{FF2B5EF4-FFF2-40B4-BE49-F238E27FC236}">
              <a16:creationId xmlns:a16="http://schemas.microsoft.com/office/drawing/2014/main" id="{F1855841-C8C6-4053-858A-F6C432BF156F}"/>
            </a:ext>
          </a:extLst>
        </xdr:cNvPr>
        <xdr:cNvPicPr>
          <a:picLocks noChangeAspect="1"/>
        </xdr:cNvPicPr>
      </xdr:nvPicPr>
      <xdr:blipFill>
        <a:blip xmlns:r="http://schemas.openxmlformats.org/officeDocument/2006/relationships" r:embed="rId4"/>
        <a:stretch>
          <a:fillRect/>
        </a:stretch>
      </xdr:blipFill>
      <xdr:spPr>
        <a:xfrm>
          <a:off x="276225" y="10734675"/>
          <a:ext cx="3403600" cy="2125253"/>
        </a:xfrm>
        <a:prstGeom prst="rect">
          <a:avLst/>
        </a:prstGeom>
      </xdr:spPr>
    </xdr:pic>
    <xdr:clientData/>
  </xdr:twoCellAnchor>
  <xdr:twoCellAnchor editAs="oneCell">
    <xdr:from>
      <xdr:col>2</xdr:col>
      <xdr:colOff>3267075</xdr:colOff>
      <xdr:row>48</xdr:row>
      <xdr:rowOff>38100</xdr:rowOff>
    </xdr:from>
    <xdr:to>
      <xdr:col>2</xdr:col>
      <xdr:colOff>6945323</xdr:colOff>
      <xdr:row>61</xdr:row>
      <xdr:rowOff>118104</xdr:rowOff>
    </xdr:to>
    <xdr:pic>
      <xdr:nvPicPr>
        <xdr:cNvPr id="14" name="Picture 13">
          <a:extLst>
            <a:ext uri="{FF2B5EF4-FFF2-40B4-BE49-F238E27FC236}">
              <a16:creationId xmlns:a16="http://schemas.microsoft.com/office/drawing/2014/main" id="{640EC787-728F-416F-AE1B-55C718B1EC5B}"/>
            </a:ext>
          </a:extLst>
        </xdr:cNvPr>
        <xdr:cNvPicPr>
          <a:picLocks noChangeAspect="1"/>
        </xdr:cNvPicPr>
      </xdr:nvPicPr>
      <xdr:blipFill>
        <a:blip xmlns:r="http://schemas.openxmlformats.org/officeDocument/2006/relationships" r:embed="rId5"/>
        <a:stretch>
          <a:fillRect/>
        </a:stretch>
      </xdr:blipFill>
      <xdr:spPr>
        <a:xfrm>
          <a:off x="4181475" y="9648825"/>
          <a:ext cx="3678248" cy="2432679"/>
        </a:xfrm>
        <a:prstGeom prst="rect">
          <a:avLst/>
        </a:prstGeom>
      </xdr:spPr>
    </xdr:pic>
    <xdr:clientData/>
  </xdr:twoCellAnchor>
  <xdr:twoCellAnchor editAs="oneCell">
    <xdr:from>
      <xdr:col>0</xdr:col>
      <xdr:colOff>247649</xdr:colOff>
      <xdr:row>69</xdr:row>
      <xdr:rowOff>180974</xdr:rowOff>
    </xdr:from>
    <xdr:to>
      <xdr:col>2</xdr:col>
      <xdr:colOff>3136934</xdr:colOff>
      <xdr:row>75</xdr:row>
      <xdr:rowOff>76199</xdr:rowOff>
    </xdr:to>
    <xdr:pic>
      <xdr:nvPicPr>
        <xdr:cNvPr id="16" name="Picture 15">
          <a:extLst>
            <a:ext uri="{FF2B5EF4-FFF2-40B4-BE49-F238E27FC236}">
              <a16:creationId xmlns:a16="http://schemas.microsoft.com/office/drawing/2014/main" id="{DE696294-1DAE-4FD9-89CE-A6C69CF7BF61}"/>
            </a:ext>
          </a:extLst>
        </xdr:cNvPr>
        <xdr:cNvPicPr>
          <a:picLocks noChangeAspect="1"/>
        </xdr:cNvPicPr>
      </xdr:nvPicPr>
      <xdr:blipFill>
        <a:blip xmlns:r="http://schemas.openxmlformats.org/officeDocument/2006/relationships" r:embed="rId6"/>
        <a:stretch>
          <a:fillRect/>
        </a:stretch>
      </xdr:blipFill>
      <xdr:spPr>
        <a:xfrm>
          <a:off x="247649" y="13458824"/>
          <a:ext cx="3803685" cy="981075"/>
        </a:xfrm>
        <a:prstGeom prst="rect">
          <a:avLst/>
        </a:prstGeom>
      </xdr:spPr>
    </xdr:pic>
    <xdr:clientData/>
  </xdr:twoCellAnchor>
  <xdr:twoCellAnchor editAs="oneCell">
    <xdr:from>
      <xdr:col>0</xdr:col>
      <xdr:colOff>238125</xdr:colOff>
      <xdr:row>74</xdr:row>
      <xdr:rowOff>142875</xdr:rowOff>
    </xdr:from>
    <xdr:to>
      <xdr:col>2</xdr:col>
      <xdr:colOff>3913111</xdr:colOff>
      <xdr:row>87</xdr:row>
      <xdr:rowOff>0</xdr:rowOff>
    </xdr:to>
    <xdr:pic>
      <xdr:nvPicPr>
        <xdr:cNvPr id="17" name="Picture 16">
          <a:extLst>
            <a:ext uri="{FF2B5EF4-FFF2-40B4-BE49-F238E27FC236}">
              <a16:creationId xmlns:a16="http://schemas.microsoft.com/office/drawing/2014/main" id="{A85C2D65-16A2-40CE-9A15-618F0A59E236}"/>
            </a:ext>
          </a:extLst>
        </xdr:cNvPr>
        <xdr:cNvPicPr>
          <a:picLocks noChangeAspect="1"/>
        </xdr:cNvPicPr>
      </xdr:nvPicPr>
      <xdr:blipFill>
        <a:blip xmlns:r="http://schemas.openxmlformats.org/officeDocument/2006/relationships" r:embed="rId7"/>
        <a:stretch>
          <a:fillRect/>
        </a:stretch>
      </xdr:blipFill>
      <xdr:spPr>
        <a:xfrm>
          <a:off x="238125" y="14325600"/>
          <a:ext cx="4589386" cy="2209800"/>
        </a:xfrm>
        <a:prstGeom prst="rect">
          <a:avLst/>
        </a:prstGeom>
      </xdr:spPr>
    </xdr:pic>
    <xdr:clientData/>
  </xdr:twoCellAnchor>
  <xdr:twoCellAnchor editAs="oneCell">
    <xdr:from>
      <xdr:col>2</xdr:col>
      <xdr:colOff>4048125</xdr:colOff>
      <xdr:row>71</xdr:row>
      <xdr:rowOff>85725</xdr:rowOff>
    </xdr:from>
    <xdr:to>
      <xdr:col>2</xdr:col>
      <xdr:colOff>7310258</xdr:colOff>
      <xdr:row>89</xdr:row>
      <xdr:rowOff>88622</xdr:rowOff>
    </xdr:to>
    <xdr:pic>
      <xdr:nvPicPr>
        <xdr:cNvPr id="18" name="Picture 17">
          <a:extLst>
            <a:ext uri="{FF2B5EF4-FFF2-40B4-BE49-F238E27FC236}">
              <a16:creationId xmlns:a16="http://schemas.microsoft.com/office/drawing/2014/main" id="{CD7A86D2-BBB0-4A63-88E1-034ACD162D71}"/>
            </a:ext>
          </a:extLst>
        </xdr:cNvPr>
        <xdr:cNvPicPr>
          <a:picLocks noChangeAspect="1"/>
        </xdr:cNvPicPr>
      </xdr:nvPicPr>
      <xdr:blipFill>
        <a:blip xmlns:r="http://schemas.openxmlformats.org/officeDocument/2006/relationships" r:embed="rId8"/>
        <a:stretch>
          <a:fillRect/>
        </a:stretch>
      </xdr:blipFill>
      <xdr:spPr>
        <a:xfrm>
          <a:off x="4962525" y="13954125"/>
          <a:ext cx="3262133" cy="3260447"/>
        </a:xfrm>
        <a:prstGeom prst="rect">
          <a:avLst/>
        </a:prstGeom>
      </xdr:spPr>
    </xdr:pic>
    <xdr:clientData/>
  </xdr:twoCellAnchor>
  <xdr:twoCellAnchor editAs="oneCell">
    <xdr:from>
      <xdr:col>1</xdr:col>
      <xdr:colOff>581025</xdr:colOff>
      <xdr:row>87</xdr:row>
      <xdr:rowOff>66675</xdr:rowOff>
    </xdr:from>
    <xdr:to>
      <xdr:col>2</xdr:col>
      <xdr:colOff>3771403</xdr:colOff>
      <xdr:row>93</xdr:row>
      <xdr:rowOff>73027</xdr:rowOff>
    </xdr:to>
    <xdr:pic>
      <xdr:nvPicPr>
        <xdr:cNvPr id="19" name="Picture 18">
          <a:extLst>
            <a:ext uri="{FF2B5EF4-FFF2-40B4-BE49-F238E27FC236}">
              <a16:creationId xmlns:a16="http://schemas.microsoft.com/office/drawing/2014/main" id="{FD037B2E-28C8-41FB-8D5D-0B0C4EEF71E8}"/>
            </a:ext>
          </a:extLst>
        </xdr:cNvPr>
        <xdr:cNvPicPr>
          <a:picLocks noChangeAspect="1"/>
        </xdr:cNvPicPr>
      </xdr:nvPicPr>
      <xdr:blipFill>
        <a:blip xmlns:r="http://schemas.openxmlformats.org/officeDocument/2006/relationships" r:embed="rId9"/>
        <a:stretch>
          <a:fillRect/>
        </a:stretch>
      </xdr:blipFill>
      <xdr:spPr>
        <a:xfrm>
          <a:off x="828675" y="16830675"/>
          <a:ext cx="3857128" cy="1092202"/>
        </a:xfrm>
        <a:prstGeom prst="rect">
          <a:avLst/>
        </a:prstGeom>
      </xdr:spPr>
    </xdr:pic>
    <xdr:clientData/>
  </xdr:twoCellAnchor>
  <xdr:twoCellAnchor editAs="oneCell">
    <xdr:from>
      <xdr:col>1</xdr:col>
      <xdr:colOff>0</xdr:colOff>
      <xdr:row>98</xdr:row>
      <xdr:rowOff>0</xdr:rowOff>
    </xdr:from>
    <xdr:to>
      <xdr:col>2</xdr:col>
      <xdr:colOff>1961960</xdr:colOff>
      <xdr:row>102</xdr:row>
      <xdr:rowOff>93132</xdr:rowOff>
    </xdr:to>
    <xdr:pic>
      <xdr:nvPicPr>
        <xdr:cNvPr id="20" name="Picture 19">
          <a:extLst>
            <a:ext uri="{FF2B5EF4-FFF2-40B4-BE49-F238E27FC236}">
              <a16:creationId xmlns:a16="http://schemas.microsoft.com/office/drawing/2014/main" id="{1BC4A71B-B40A-45DC-A305-9DEAB9D7FF8E}"/>
            </a:ext>
          </a:extLst>
        </xdr:cNvPr>
        <xdr:cNvPicPr>
          <a:picLocks noChangeAspect="1"/>
        </xdr:cNvPicPr>
      </xdr:nvPicPr>
      <xdr:blipFill>
        <a:blip xmlns:r="http://schemas.openxmlformats.org/officeDocument/2006/relationships" r:embed="rId10"/>
        <a:stretch>
          <a:fillRect/>
        </a:stretch>
      </xdr:blipFill>
      <xdr:spPr>
        <a:xfrm>
          <a:off x="247650" y="18802350"/>
          <a:ext cx="2628710" cy="817032"/>
        </a:xfrm>
        <a:prstGeom prst="rect">
          <a:avLst/>
        </a:prstGeom>
      </xdr:spPr>
    </xdr:pic>
    <xdr:clientData/>
  </xdr:twoCellAnchor>
  <xdr:twoCellAnchor editAs="oneCell">
    <xdr:from>
      <xdr:col>2</xdr:col>
      <xdr:colOff>2486025</xdr:colOff>
      <xdr:row>98</xdr:row>
      <xdr:rowOff>9525</xdr:rowOff>
    </xdr:from>
    <xdr:to>
      <xdr:col>2</xdr:col>
      <xdr:colOff>6238161</xdr:colOff>
      <xdr:row>105</xdr:row>
      <xdr:rowOff>110067</xdr:rowOff>
    </xdr:to>
    <xdr:pic>
      <xdr:nvPicPr>
        <xdr:cNvPr id="21" name="Picture 20">
          <a:extLst>
            <a:ext uri="{FF2B5EF4-FFF2-40B4-BE49-F238E27FC236}">
              <a16:creationId xmlns:a16="http://schemas.microsoft.com/office/drawing/2014/main" id="{F3C655F9-C611-4881-AB51-4BC9ADC5465A}"/>
            </a:ext>
          </a:extLst>
        </xdr:cNvPr>
        <xdr:cNvPicPr>
          <a:picLocks noChangeAspect="1"/>
        </xdr:cNvPicPr>
      </xdr:nvPicPr>
      <xdr:blipFill>
        <a:blip xmlns:r="http://schemas.openxmlformats.org/officeDocument/2006/relationships" r:embed="rId11"/>
        <a:stretch>
          <a:fillRect/>
        </a:stretch>
      </xdr:blipFill>
      <xdr:spPr>
        <a:xfrm>
          <a:off x="3400425" y="18811875"/>
          <a:ext cx="3752136" cy="1367367"/>
        </a:xfrm>
        <a:prstGeom prst="rect">
          <a:avLst/>
        </a:prstGeom>
      </xdr:spPr>
    </xdr:pic>
    <xdr:clientData/>
  </xdr:twoCellAnchor>
  <xdr:twoCellAnchor editAs="oneCell">
    <xdr:from>
      <xdr:col>2</xdr:col>
      <xdr:colOff>3429000</xdr:colOff>
      <xdr:row>7</xdr:row>
      <xdr:rowOff>52917</xdr:rowOff>
    </xdr:from>
    <xdr:to>
      <xdr:col>3</xdr:col>
      <xdr:colOff>102204</xdr:colOff>
      <xdr:row>35</xdr:row>
      <xdr:rowOff>16573</xdr:rowOff>
    </xdr:to>
    <xdr:pic>
      <xdr:nvPicPr>
        <xdr:cNvPr id="3" name="Picture 2">
          <a:extLst>
            <a:ext uri="{FF2B5EF4-FFF2-40B4-BE49-F238E27FC236}">
              <a16:creationId xmlns:a16="http://schemas.microsoft.com/office/drawing/2014/main" id="{351317BE-A08B-4C7C-98DA-3C8BD9B75256}"/>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4339167" y="1809750"/>
          <a:ext cx="4324954" cy="500132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333375</xdr:colOff>
      <xdr:row>6</xdr:row>
      <xdr:rowOff>87480</xdr:rowOff>
    </xdr:from>
    <xdr:to>
      <xdr:col>11</xdr:col>
      <xdr:colOff>372222</xdr:colOff>
      <xdr:row>14</xdr:row>
      <xdr:rowOff>68655</xdr:rowOff>
    </xdr:to>
    <xdr:pic>
      <xdr:nvPicPr>
        <xdr:cNvPr id="2" name="Picture 1">
          <a:extLst>
            <a:ext uri="{FF2B5EF4-FFF2-40B4-BE49-F238E27FC236}">
              <a16:creationId xmlns:a16="http://schemas.microsoft.com/office/drawing/2014/main" id="{82B24E04-DC41-46E7-B5AF-CCCEA46EF2D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27320" y="1651485"/>
          <a:ext cx="2705847" cy="1368015"/>
        </a:xfrm>
        <a:prstGeom prst="rect">
          <a:avLst/>
        </a:prstGeom>
        <a:ln>
          <a:noFill/>
        </a:ln>
      </xdr:spPr>
    </xdr:pic>
    <xdr:clientData/>
  </xdr:twoCellAnchor>
  <xdr:twoCellAnchor>
    <xdr:from>
      <xdr:col>14</xdr:col>
      <xdr:colOff>331132</xdr:colOff>
      <xdr:row>7</xdr:row>
      <xdr:rowOff>35149</xdr:rowOff>
    </xdr:from>
    <xdr:to>
      <xdr:col>18</xdr:col>
      <xdr:colOff>264272</xdr:colOff>
      <xdr:row>13</xdr:row>
      <xdr:rowOff>155405</xdr:rowOff>
    </xdr:to>
    <xdr:pic>
      <xdr:nvPicPr>
        <xdr:cNvPr id="3" name="PPLReport">
          <a:extLst>
            <a:ext uri="{FF2B5EF4-FFF2-40B4-BE49-F238E27FC236}">
              <a16:creationId xmlns:a16="http://schemas.microsoft.com/office/drawing/2014/main" id="{D8A585AD-B475-45F5-A5CE-A59FEFA7CB6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956972" y="1778224"/>
          <a:ext cx="2603950" cy="1158481"/>
        </a:xfrm>
        <a:prstGeom prst="rect">
          <a:avLst/>
        </a:prstGeom>
      </xdr:spPr>
    </xdr:pic>
    <xdr:clientData/>
  </xdr:twoCellAnchor>
  <xdr:twoCellAnchor>
    <xdr:from>
      <xdr:col>14</xdr:col>
      <xdr:colOff>189003</xdr:colOff>
      <xdr:row>16</xdr:row>
      <xdr:rowOff>11394</xdr:rowOff>
    </xdr:from>
    <xdr:to>
      <xdr:col>16</xdr:col>
      <xdr:colOff>278092</xdr:colOff>
      <xdr:row>24</xdr:row>
      <xdr:rowOff>128488</xdr:rowOff>
    </xdr:to>
    <xdr:pic>
      <xdr:nvPicPr>
        <xdr:cNvPr id="4" name="PECOReport">
          <a:extLst>
            <a:ext uri="{FF2B5EF4-FFF2-40B4-BE49-F238E27FC236}">
              <a16:creationId xmlns:a16="http://schemas.microsoft.com/office/drawing/2014/main" id="{75753D01-6B2E-4C83-8EFE-5D81C4BEDEE4}"/>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22987" t="9316" r="17047" b="17169"/>
        <a:stretch>
          <a:fillRect/>
        </a:stretch>
      </xdr:blipFill>
      <xdr:spPr>
        <a:xfrm>
          <a:off x="8818653" y="3308949"/>
          <a:ext cx="1424494" cy="1490599"/>
        </a:xfrm>
        <a:prstGeom prst="rect">
          <a:avLst/>
        </a:prstGeom>
        <a:ln>
          <a:noFill/>
        </a:ln>
      </xdr:spPr>
    </xdr:pic>
    <xdr:clientData/>
  </xdr:twoCellAnchor>
  <xdr:twoCellAnchor>
    <xdr:from>
      <xdr:col>7</xdr:col>
      <xdr:colOff>395941</xdr:colOff>
      <xdr:row>15</xdr:row>
      <xdr:rowOff>178726</xdr:rowOff>
    </xdr:from>
    <xdr:to>
      <xdr:col>9</xdr:col>
      <xdr:colOff>605116</xdr:colOff>
      <xdr:row>24</xdr:row>
      <xdr:rowOff>171823</xdr:rowOff>
    </xdr:to>
    <xdr:pic>
      <xdr:nvPicPr>
        <xdr:cNvPr id="5" name="Picture 4">
          <a:extLst>
            <a:ext uri="{FF2B5EF4-FFF2-40B4-BE49-F238E27FC236}">
              <a16:creationId xmlns:a16="http://schemas.microsoft.com/office/drawing/2014/main" id="{AF2637A9-B7CA-4554-B5AF-9B65E8F02DD2}"/>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695" r="-1954" b="-3362"/>
        <a:stretch>
          <a:fillRect/>
        </a:stretch>
      </xdr:blipFill>
      <xdr:spPr>
        <a:xfrm>
          <a:off x="5295601" y="3299116"/>
          <a:ext cx="1536960" cy="1536147"/>
        </a:xfrm>
        <a:prstGeom prst="rect">
          <a:avLst/>
        </a:prstGeom>
        <a:ln>
          <a:noFill/>
        </a:ln>
      </xdr:spPr>
    </xdr:pic>
    <xdr:clientData/>
  </xdr:twoCellAnchor>
  <xdr:twoCellAnchor>
    <xdr:from>
      <xdr:col>7</xdr:col>
      <xdr:colOff>14941</xdr:colOff>
      <xdr:row>27</xdr:row>
      <xdr:rowOff>48330</xdr:rowOff>
    </xdr:from>
    <xdr:to>
      <xdr:col>11</xdr:col>
      <xdr:colOff>605118</xdr:colOff>
      <xdr:row>34</xdr:row>
      <xdr:rowOff>9524</xdr:rowOff>
    </xdr:to>
    <xdr:pic>
      <xdr:nvPicPr>
        <xdr:cNvPr id="6" name="Picture 5">
          <a:extLst>
            <a:ext uri="{FF2B5EF4-FFF2-40B4-BE49-F238E27FC236}">
              <a16:creationId xmlns:a16="http://schemas.microsoft.com/office/drawing/2014/main" id="{650CF448-ABB3-4885-A368-A4D215EE3363}"/>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7403" r="5327"/>
        <a:stretch>
          <a:fillRect/>
        </a:stretch>
      </xdr:blipFill>
      <xdr:spPr>
        <a:xfrm>
          <a:off x="4914601" y="5231835"/>
          <a:ext cx="3251462" cy="1161344"/>
        </a:xfrm>
        <a:prstGeom prst="rect">
          <a:avLst/>
        </a:prstGeom>
      </xdr:spPr>
    </xdr:pic>
    <xdr:clientData/>
  </xdr:twoCellAnchor>
  <xdr:twoCellAnchor>
    <xdr:from>
      <xdr:col>14</xdr:col>
      <xdr:colOff>59764</xdr:colOff>
      <xdr:row>27</xdr:row>
      <xdr:rowOff>57150</xdr:rowOff>
    </xdr:from>
    <xdr:to>
      <xdr:col>18</xdr:col>
      <xdr:colOff>567764</xdr:colOff>
      <xdr:row>34</xdr:row>
      <xdr:rowOff>18415</xdr:rowOff>
    </xdr:to>
    <xdr:pic>
      <xdr:nvPicPr>
        <xdr:cNvPr id="7" name="Picture 6">
          <a:extLst>
            <a:ext uri="{FF2B5EF4-FFF2-40B4-BE49-F238E27FC236}">
              <a16:creationId xmlns:a16="http://schemas.microsoft.com/office/drawing/2014/main" id="{8AA62C04-9110-4377-BB94-EA0E3A7B7C47}"/>
            </a:ext>
          </a:extLst>
        </xdr:cNvPr>
        <xdr:cNvPicPr>
          <a:picLocks noChangeAspect="1"/>
        </xdr:cNvPicPr>
      </xdr:nvPicPr>
      <xdr:blipFill rotWithShape="1">
        <a:blip xmlns:r="http://schemas.openxmlformats.org/officeDocument/2006/relationships" r:embed="rId6" cstate="print">
          <a:extLst>
            <a:ext uri="{28A0092B-C50C-407E-A947-70E740481C1C}">
              <a14:useLocalDpi xmlns:a14="http://schemas.microsoft.com/office/drawing/2010/main" val="0"/>
            </a:ext>
          </a:extLst>
        </a:blip>
        <a:srcRect l="8226" r="8248"/>
        <a:stretch>
          <a:fillRect/>
        </a:stretch>
      </xdr:blipFill>
      <xdr:spPr>
        <a:xfrm>
          <a:off x="8685604" y="5234940"/>
          <a:ext cx="3178810" cy="116903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37355</xdr:colOff>
          <xdr:row>0</xdr:row>
          <xdr:rowOff>23906</xdr:rowOff>
        </xdr:from>
        <xdr:to>
          <xdr:col>2</xdr:col>
          <xdr:colOff>90023</xdr:colOff>
          <xdr:row>1</xdr:row>
          <xdr:rowOff>17272</xdr:rowOff>
        </xdr:to>
        <xdr:pic>
          <xdr:nvPicPr>
            <xdr:cNvPr id="8" name="Picture 7">
              <a:extLst>
                <a:ext uri="{FF2B5EF4-FFF2-40B4-BE49-F238E27FC236}">
                  <a16:creationId xmlns:a16="http://schemas.microsoft.com/office/drawing/2014/main" id="{644D5D28-1D8A-4F09-A7AB-31E1F3500D85}"/>
                </a:ext>
              </a:extLst>
            </xdr:cNvPr>
            <xdr:cNvPicPr>
              <a:picLocks noChangeAspect="1" noChangeArrowheads="1"/>
              <a:extLst>
                <a:ext uri="{84589F7E-364E-4C9E-8A38-B11213B215E9}">
                  <a14:cameraTool cellRange="Logo" spid="_x0000_s9270"/>
                </a:ext>
              </a:extLst>
            </xdr:cNvPicPr>
          </xdr:nvPicPr>
          <xdr:blipFill>
            <a:blip xmlns:r="http://schemas.openxmlformats.org/officeDocument/2006/relationships" r:embed="rId7"/>
            <a:srcRect/>
            <a:stretch>
              <a:fillRect/>
            </a:stretch>
          </xdr:blipFill>
          <xdr:spPr bwMode="auto">
            <a:xfrm>
              <a:off x="288367" y="23906"/>
              <a:ext cx="1200150" cy="576072"/>
            </a:xfrm>
            <a:prstGeom prst="rect">
              <a:avLst/>
            </a:prstGeom>
            <a:noFill/>
            <a:ln w="9525">
              <a:noFill/>
              <a:miter lim="800000"/>
              <a:headEnd/>
              <a:tailEnd/>
            </a:ln>
          </xdr:spPr>
        </xdr:pic>
        <xdr:clientData/>
      </xdr:twoCellAnchor>
    </mc:Choice>
    <mc:Fallback/>
  </mc:AlternateContent>
  <xdr:twoCellAnchor editAs="oneCell">
    <xdr:from>
      <xdr:col>0</xdr:col>
      <xdr:colOff>231589</xdr:colOff>
      <xdr:row>11</xdr:row>
      <xdr:rowOff>7470</xdr:rowOff>
    </xdr:from>
    <xdr:to>
      <xdr:col>5</xdr:col>
      <xdr:colOff>8250</xdr:colOff>
      <xdr:row>16</xdr:row>
      <xdr:rowOff>53750</xdr:rowOff>
    </xdr:to>
    <xdr:pic>
      <xdr:nvPicPr>
        <xdr:cNvPr id="9" name="Picture 8">
          <a:extLst>
            <a:ext uri="{FF2B5EF4-FFF2-40B4-BE49-F238E27FC236}">
              <a16:creationId xmlns:a16="http://schemas.microsoft.com/office/drawing/2014/main" id="{55A837F4-56D4-4D87-83C9-9201CEDE951A}"/>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231589" y="2447775"/>
          <a:ext cx="4089581" cy="9225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16</xdr:row>
      <xdr:rowOff>96405</xdr:rowOff>
    </xdr:from>
    <xdr:to>
      <xdr:col>5</xdr:col>
      <xdr:colOff>274840</xdr:colOff>
      <xdr:row>28</xdr:row>
      <xdr:rowOff>166130</xdr:rowOff>
    </xdr:to>
    <xdr:pic>
      <xdr:nvPicPr>
        <xdr:cNvPr id="10" name="Picture 9">
          <a:extLst>
            <a:ext uri="{FF2B5EF4-FFF2-40B4-BE49-F238E27FC236}">
              <a16:creationId xmlns:a16="http://schemas.microsoft.com/office/drawing/2014/main" id="{FAAC6066-5836-414F-8BD4-A5C0242E71D5}"/>
            </a:ext>
          </a:extLst>
        </xdr:cNvPr>
        <xdr:cNvPicPr>
          <a:picLocks noChangeAspect="1" noChangeArrowheads="1"/>
        </xdr:cNvPicPr>
      </xdr:nvPicPr>
      <xdr:blipFill rotWithShape="1">
        <a:blip xmlns:r="http://schemas.openxmlformats.org/officeDocument/2006/relationships" r:embed="rId9">
          <a:extLst>
            <a:ext uri="{28A0092B-C50C-407E-A947-70E740481C1C}">
              <a14:useLocalDpi xmlns:a14="http://schemas.microsoft.com/office/drawing/2010/main" val="0"/>
            </a:ext>
          </a:extLst>
        </a:blip>
        <a:srcRect r="10973"/>
        <a:stretch>
          <a:fillRect/>
        </a:stretch>
      </xdr:blipFill>
      <xdr:spPr bwMode="auto">
        <a:xfrm>
          <a:off x="0" y="3388245"/>
          <a:ext cx="4587760" cy="21728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Concourse">
  <a:themeElements>
    <a:clrScheme name="CLEAResult">
      <a:dk1>
        <a:sysClr val="windowText" lastClr="000000"/>
      </a:dk1>
      <a:lt1>
        <a:sysClr val="window" lastClr="FFFFFF"/>
      </a:lt1>
      <a:dk2>
        <a:srgbClr val="404040"/>
      </a:dk2>
      <a:lt2>
        <a:srgbClr val="EFE9E5"/>
      </a:lt2>
      <a:accent1>
        <a:srgbClr val="F50000"/>
      </a:accent1>
      <a:accent2>
        <a:srgbClr val="054B56"/>
      </a:accent2>
      <a:accent3>
        <a:srgbClr val="007299"/>
      </a:accent3>
      <a:accent4>
        <a:srgbClr val="92B7BC"/>
      </a:accent4>
      <a:accent5>
        <a:srgbClr val="F4CE00"/>
      </a:accent5>
      <a:accent6>
        <a:srgbClr val="EFE9E5"/>
      </a:accent6>
      <a:hlink>
        <a:srgbClr val="44B9E8"/>
      </a:hlink>
      <a:folHlink>
        <a:srgbClr val="44B9E8"/>
      </a:folHlink>
    </a:clrScheme>
    <a:fontScheme name="CLEAResult">
      <a:majorFont>
        <a:latin typeface="Arial"/>
        <a:ea typeface=""/>
        <a:cs typeface=""/>
      </a:majorFont>
      <a:minorFont>
        <a:latin typeface="Arial"/>
        <a:ea typeface=""/>
        <a:cs typeface=""/>
      </a:minorFont>
    </a:fontScheme>
    <a:fmtScheme name="Concourse">
      <a:fillStyleLst>
        <a:solidFill>
          <a:schemeClr val="phClr"/>
        </a:solidFill>
        <a:gradFill rotWithShape="1">
          <a:gsLst>
            <a:gs pos="0">
              <a:schemeClr val="phClr">
                <a:tint val="62000"/>
                <a:satMod val="180000"/>
              </a:schemeClr>
            </a:gs>
            <a:gs pos="65000">
              <a:schemeClr val="phClr">
                <a:tint val="32000"/>
                <a:satMod val="250000"/>
              </a:schemeClr>
            </a:gs>
            <a:gs pos="100000">
              <a:schemeClr val="phClr">
                <a:tint val="23000"/>
                <a:satMod val="300000"/>
              </a:schemeClr>
            </a:gs>
          </a:gsLst>
          <a:lin ang="16200000" scaled="0"/>
        </a:gradFill>
        <a:gradFill rotWithShape="1">
          <a:gsLst>
            <a:gs pos="0">
              <a:schemeClr val="phClr">
                <a:shade val="15000"/>
                <a:satMod val="180000"/>
              </a:schemeClr>
            </a:gs>
            <a:gs pos="50000">
              <a:schemeClr val="phClr">
                <a:shade val="45000"/>
                <a:satMod val="170000"/>
              </a:schemeClr>
            </a:gs>
            <a:gs pos="70000">
              <a:schemeClr val="phClr">
                <a:tint val="99000"/>
                <a:shade val="65000"/>
                <a:satMod val="155000"/>
              </a:schemeClr>
            </a:gs>
            <a:gs pos="100000">
              <a:schemeClr val="phClr">
                <a:tint val="95500"/>
                <a:shade val="100000"/>
                <a:satMod val="155000"/>
              </a:schemeClr>
            </a:gs>
          </a:gsLst>
          <a:lin ang="16200000" scaled="0"/>
        </a:gradFill>
      </a:fillStyleLst>
      <a:lnStyleLst>
        <a:ln w="9525" cap="flat" cmpd="sng" algn="ctr">
          <a:solidFill>
            <a:schemeClr val="phClr"/>
          </a:solidFill>
          <a:prstDash val="solid"/>
        </a:ln>
        <a:ln w="55000" cap="flat" cmpd="thickThin" algn="ctr">
          <a:solidFill>
            <a:schemeClr val="phClr"/>
          </a:solidFill>
          <a:prstDash val="solid"/>
        </a:ln>
        <a:ln w="63500" cap="flat" cmpd="thickThin" algn="ctr">
          <a:solidFill>
            <a:schemeClr val="phClr"/>
          </a:solidFill>
          <a:prstDash val="solid"/>
        </a:ln>
      </a:lnStyleLst>
      <a:effectStyleLst>
        <a:effectStyle>
          <a:effectLst>
            <a:outerShdw blurRad="50800" dist="38100" dir="5400000" rotWithShape="0">
              <a:srgbClr val="000000">
                <a:alpha val="35000"/>
              </a:srgbClr>
            </a:outerShdw>
          </a:effectLst>
        </a:effectStyle>
        <a:effectStyle>
          <a:effectLst>
            <a:outerShdw blurRad="50800" dist="38100" dir="5400000" rotWithShape="0">
              <a:srgbClr val="000000">
                <a:alpha val="35000"/>
              </a:srgbClr>
            </a:outerShdw>
          </a:effectLst>
        </a:effectStyle>
        <a:effectStyle>
          <a:effectLst>
            <a:outerShdw blurRad="63500" dist="38100" dir="5400000" rotWithShape="0">
              <a:srgbClr val="000000">
                <a:alpha val="45000"/>
              </a:srgbClr>
            </a:outerShdw>
          </a:effectLst>
          <a:scene3d>
            <a:camera prst="orthographicFront" fov="0">
              <a:rot lat="0" lon="0" rev="0"/>
            </a:camera>
            <a:lightRig rig="glow" dir="t">
              <a:rot lat="0" lon="0" rev="6360000"/>
            </a:lightRig>
          </a:scene3d>
          <a:sp3d contourW="1000" prstMaterial="flat">
            <a:bevelT w="95250" h="101600"/>
            <a:contourClr>
              <a:schemeClr val="phClr">
                <a:satMod val="300000"/>
              </a:schemeClr>
            </a:contourClr>
          </a:sp3d>
        </a:effectStyle>
      </a:effectStyleLst>
      <a:bgFillStyleLst>
        <a:solidFill>
          <a:schemeClr val="phClr"/>
        </a:solidFill>
        <a:gradFill rotWithShape="1">
          <a:gsLst>
            <a:gs pos="0">
              <a:schemeClr val="phClr">
                <a:tint val="55000"/>
                <a:satMod val="300000"/>
              </a:schemeClr>
            </a:gs>
            <a:gs pos="40000">
              <a:schemeClr val="phClr">
                <a:tint val="65000"/>
                <a:satMod val="300000"/>
              </a:schemeClr>
            </a:gs>
            <a:gs pos="100000">
              <a:schemeClr val="phClr">
                <a:shade val="65000"/>
                <a:satMod val="300000"/>
              </a:schemeClr>
            </a:gs>
          </a:gsLst>
          <a:path path="circle">
            <a:fillToRect l="65000" b="98000"/>
          </a:path>
        </a:gradFill>
        <a:blipFill>
          <a:blip xmlns:r="http://schemas.openxmlformats.org/officeDocument/2006/relationships" r:embed="rId1">
            <a:duotone>
              <a:schemeClr val="phClr">
                <a:shade val="60000"/>
                <a:satMod val="110000"/>
              </a:schemeClr>
              <a:schemeClr val="phClr">
                <a:tint val="95000"/>
              </a:schemeClr>
            </a:duotone>
          </a:blip>
          <a:tile tx="0" ty="0" sx="50000" sy="50000" flip="none" algn="tl"/>
        </a:blip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drawing" Target="../drawings/drawing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9960D-76A9-4FCD-8DB9-D6104E6D81E4}">
  <dimension ref="A1:C2223"/>
  <sheetViews>
    <sheetView topLeftCell="A1672" workbookViewId="0">
      <selection activeCell="A1682" sqref="A1682"/>
    </sheetView>
  </sheetViews>
  <sheetFormatPr defaultRowHeight="14.25" x14ac:dyDescent="0.2"/>
  <cols>
    <col min="1" max="1" width="6.75" bestFit="1" customWidth="1"/>
    <col min="2" max="2" width="15.75" bestFit="1" customWidth="1"/>
    <col min="3" max="3" width="20" bestFit="1" customWidth="1"/>
  </cols>
  <sheetData>
    <row r="1" spans="1:3" ht="15.75" x14ac:dyDescent="0.25">
      <c r="A1" s="308" t="s">
        <v>0</v>
      </c>
      <c r="B1" s="309" t="s">
        <v>1</v>
      </c>
      <c r="C1" s="308" t="s">
        <v>2</v>
      </c>
    </row>
    <row r="2" spans="1:3" ht="15" x14ac:dyDescent="0.2">
      <c r="A2" s="310">
        <v>15001</v>
      </c>
      <c r="B2" s="311" t="s">
        <v>3</v>
      </c>
      <c r="C2" s="310" t="s">
        <v>4</v>
      </c>
    </row>
    <row r="3" spans="1:3" ht="15" x14ac:dyDescent="0.2">
      <c r="A3" s="310">
        <v>15003</v>
      </c>
      <c r="B3" s="311" t="s">
        <v>3</v>
      </c>
      <c r="C3" s="310" t="s">
        <v>4</v>
      </c>
    </row>
    <row r="4" spans="1:3" ht="15" x14ac:dyDescent="0.2">
      <c r="A4" s="310">
        <v>15004</v>
      </c>
      <c r="B4" s="311" t="s">
        <v>3</v>
      </c>
      <c r="C4" s="310" t="s">
        <v>4</v>
      </c>
    </row>
    <row r="5" spans="1:3" ht="15" x14ac:dyDescent="0.2">
      <c r="A5" s="310">
        <v>15005</v>
      </c>
      <c r="B5" s="311" t="s">
        <v>3</v>
      </c>
      <c r="C5" s="310" t="s">
        <v>4</v>
      </c>
    </row>
    <row r="6" spans="1:3" ht="15" x14ac:dyDescent="0.2">
      <c r="A6" s="310">
        <v>15006</v>
      </c>
      <c r="B6" s="311" t="s">
        <v>3</v>
      </c>
      <c r="C6" s="310" t="s">
        <v>4</v>
      </c>
    </row>
    <row r="7" spans="1:3" ht="15" x14ac:dyDescent="0.2">
      <c r="A7" s="310">
        <v>15007</v>
      </c>
      <c r="B7" s="311" t="s">
        <v>3</v>
      </c>
      <c r="C7" s="310" t="s">
        <v>4</v>
      </c>
    </row>
    <row r="8" spans="1:3" ht="15" x14ac:dyDescent="0.2">
      <c r="A8" s="310">
        <v>15009</v>
      </c>
      <c r="B8" s="311" t="s">
        <v>3</v>
      </c>
      <c r="C8" s="310" t="s">
        <v>4</v>
      </c>
    </row>
    <row r="9" spans="1:3" ht="15" x14ac:dyDescent="0.2">
      <c r="A9" s="310">
        <v>15010</v>
      </c>
      <c r="B9" s="311" t="s">
        <v>3</v>
      </c>
      <c r="C9" s="310" t="s">
        <v>4</v>
      </c>
    </row>
    <row r="10" spans="1:3" ht="15" x14ac:dyDescent="0.2">
      <c r="A10" s="310">
        <v>15012</v>
      </c>
      <c r="B10" s="311" t="s">
        <v>3</v>
      </c>
      <c r="C10" s="310" t="s">
        <v>4</v>
      </c>
    </row>
    <row r="11" spans="1:3" ht="15" x14ac:dyDescent="0.2">
      <c r="A11" s="310">
        <v>15014</v>
      </c>
      <c r="B11" s="311" t="s">
        <v>3</v>
      </c>
      <c r="C11" s="310" t="s">
        <v>4</v>
      </c>
    </row>
    <row r="12" spans="1:3" ht="15" x14ac:dyDescent="0.2">
      <c r="A12" s="310">
        <v>15015</v>
      </c>
      <c r="B12" s="311" t="s">
        <v>3</v>
      </c>
      <c r="C12" s="310" t="s">
        <v>4</v>
      </c>
    </row>
    <row r="13" spans="1:3" ht="15" x14ac:dyDescent="0.2">
      <c r="A13" s="310">
        <v>15017</v>
      </c>
      <c r="B13" s="311" t="s">
        <v>3</v>
      </c>
      <c r="C13" s="310" t="s">
        <v>4</v>
      </c>
    </row>
    <row r="14" spans="1:3" ht="15" x14ac:dyDescent="0.2">
      <c r="A14" s="310">
        <v>15018</v>
      </c>
      <c r="B14" s="311" t="s">
        <v>3</v>
      </c>
      <c r="C14" s="310" t="s">
        <v>4</v>
      </c>
    </row>
    <row r="15" spans="1:3" ht="15" x14ac:dyDescent="0.2">
      <c r="A15" s="310">
        <v>15019</v>
      </c>
      <c r="B15" s="311" t="s">
        <v>3</v>
      </c>
      <c r="C15" s="310" t="s">
        <v>4</v>
      </c>
    </row>
    <row r="16" spans="1:3" ht="15" x14ac:dyDescent="0.2">
      <c r="A16" s="310">
        <v>15020</v>
      </c>
      <c r="B16" s="311" t="s">
        <v>3</v>
      </c>
      <c r="C16" s="310" t="s">
        <v>4</v>
      </c>
    </row>
    <row r="17" spans="1:3" ht="15" x14ac:dyDescent="0.2">
      <c r="A17" s="310">
        <v>15021</v>
      </c>
      <c r="B17" s="311" t="s">
        <v>3</v>
      </c>
      <c r="C17" s="310" t="s">
        <v>4</v>
      </c>
    </row>
    <row r="18" spans="1:3" ht="15" x14ac:dyDescent="0.2">
      <c r="A18" s="310">
        <v>15022</v>
      </c>
      <c r="B18" s="311" t="s">
        <v>3</v>
      </c>
      <c r="C18" s="310" t="s">
        <v>4</v>
      </c>
    </row>
    <row r="19" spans="1:3" ht="15" x14ac:dyDescent="0.2">
      <c r="A19" s="310">
        <v>15024</v>
      </c>
      <c r="B19" s="311" t="s">
        <v>3</v>
      </c>
      <c r="C19" s="310" t="s">
        <v>4</v>
      </c>
    </row>
    <row r="20" spans="1:3" ht="15" x14ac:dyDescent="0.2">
      <c r="A20" s="310">
        <v>15025</v>
      </c>
      <c r="B20" s="311" t="s">
        <v>3</v>
      </c>
      <c r="C20" s="310" t="s">
        <v>4</v>
      </c>
    </row>
    <row r="21" spans="1:3" ht="15" x14ac:dyDescent="0.2">
      <c r="A21" s="310">
        <v>15026</v>
      </c>
      <c r="B21" s="311" t="s">
        <v>3</v>
      </c>
      <c r="C21" s="310" t="s">
        <v>4</v>
      </c>
    </row>
    <row r="22" spans="1:3" ht="15" x14ac:dyDescent="0.2">
      <c r="A22" s="310">
        <v>15027</v>
      </c>
      <c r="B22" s="311" t="s">
        <v>3</v>
      </c>
      <c r="C22" s="310" t="s">
        <v>4</v>
      </c>
    </row>
    <row r="23" spans="1:3" ht="15" x14ac:dyDescent="0.2">
      <c r="A23" s="310">
        <v>15028</v>
      </c>
      <c r="B23" s="311" t="s">
        <v>3</v>
      </c>
      <c r="C23" s="310" t="s">
        <v>4</v>
      </c>
    </row>
    <row r="24" spans="1:3" ht="15" x14ac:dyDescent="0.2">
      <c r="A24" s="310">
        <v>15030</v>
      </c>
      <c r="B24" s="311" t="s">
        <v>3</v>
      </c>
      <c r="C24" s="310" t="s">
        <v>4</v>
      </c>
    </row>
    <row r="25" spans="1:3" ht="15" x14ac:dyDescent="0.2">
      <c r="A25" s="310">
        <v>15031</v>
      </c>
      <c r="B25" s="311" t="s">
        <v>3</v>
      </c>
      <c r="C25" s="310" t="s">
        <v>4</v>
      </c>
    </row>
    <row r="26" spans="1:3" ht="15" x14ac:dyDescent="0.2">
      <c r="A26" s="310">
        <v>15032</v>
      </c>
      <c r="B26" s="311" t="s">
        <v>3</v>
      </c>
      <c r="C26" s="310" t="s">
        <v>4</v>
      </c>
    </row>
    <row r="27" spans="1:3" ht="15" x14ac:dyDescent="0.2">
      <c r="A27" s="310">
        <v>15033</v>
      </c>
      <c r="B27" s="311" t="s">
        <v>3</v>
      </c>
      <c r="C27" s="310" t="s">
        <v>4</v>
      </c>
    </row>
    <row r="28" spans="1:3" ht="15" x14ac:dyDescent="0.2">
      <c r="A28" s="310">
        <v>15034</v>
      </c>
      <c r="B28" s="311" t="s">
        <v>3</v>
      </c>
      <c r="C28" s="310" t="s">
        <v>4</v>
      </c>
    </row>
    <row r="29" spans="1:3" ht="15" x14ac:dyDescent="0.2">
      <c r="A29" s="310">
        <v>15035</v>
      </c>
      <c r="B29" s="311" t="s">
        <v>3</v>
      </c>
      <c r="C29" s="310" t="s">
        <v>4</v>
      </c>
    </row>
    <row r="30" spans="1:3" ht="15" x14ac:dyDescent="0.2">
      <c r="A30" s="310">
        <v>15036</v>
      </c>
      <c r="B30" s="311" t="s">
        <v>3</v>
      </c>
      <c r="C30" s="310" t="s">
        <v>4</v>
      </c>
    </row>
    <row r="31" spans="1:3" ht="15" x14ac:dyDescent="0.2">
      <c r="A31" s="310">
        <v>15037</v>
      </c>
      <c r="B31" s="311" t="s">
        <v>3</v>
      </c>
      <c r="C31" s="310" t="s">
        <v>4</v>
      </c>
    </row>
    <row r="32" spans="1:3" ht="15" x14ac:dyDescent="0.2">
      <c r="A32" s="310">
        <v>15038</v>
      </c>
      <c r="B32" s="311" t="s">
        <v>3</v>
      </c>
      <c r="C32" s="310" t="s">
        <v>4</v>
      </c>
    </row>
    <row r="33" spans="1:3" ht="15" x14ac:dyDescent="0.2">
      <c r="A33" s="310">
        <v>15042</v>
      </c>
      <c r="B33" s="311" t="s">
        <v>3</v>
      </c>
      <c r="C33" s="310" t="s">
        <v>4</v>
      </c>
    </row>
    <row r="34" spans="1:3" ht="15" x14ac:dyDescent="0.2">
      <c r="A34" s="310">
        <v>15043</v>
      </c>
      <c r="B34" s="311" t="s">
        <v>3</v>
      </c>
      <c r="C34" s="310" t="s">
        <v>4</v>
      </c>
    </row>
    <row r="35" spans="1:3" ht="15" x14ac:dyDescent="0.2">
      <c r="A35" s="310">
        <v>15044</v>
      </c>
      <c r="B35" s="311" t="s">
        <v>3</v>
      </c>
      <c r="C35" s="310" t="s">
        <v>4</v>
      </c>
    </row>
    <row r="36" spans="1:3" ht="15" x14ac:dyDescent="0.2">
      <c r="A36" s="310">
        <v>15045</v>
      </c>
      <c r="B36" s="311" t="s">
        <v>3</v>
      </c>
      <c r="C36" s="310" t="s">
        <v>4</v>
      </c>
    </row>
    <row r="37" spans="1:3" ht="15" x14ac:dyDescent="0.2">
      <c r="A37" s="310">
        <v>15046</v>
      </c>
      <c r="B37" s="311" t="s">
        <v>3</v>
      </c>
      <c r="C37" s="310" t="s">
        <v>4</v>
      </c>
    </row>
    <row r="38" spans="1:3" ht="15" x14ac:dyDescent="0.2">
      <c r="A38" s="310">
        <v>15047</v>
      </c>
      <c r="B38" s="311" t="s">
        <v>3</v>
      </c>
      <c r="C38" s="310" t="s">
        <v>4</v>
      </c>
    </row>
    <row r="39" spans="1:3" ht="15" x14ac:dyDescent="0.2">
      <c r="A39" s="310">
        <v>15049</v>
      </c>
      <c r="B39" s="311" t="s">
        <v>3</v>
      </c>
      <c r="C39" s="310" t="s">
        <v>4</v>
      </c>
    </row>
    <row r="40" spans="1:3" ht="15" x14ac:dyDescent="0.2">
      <c r="A40" s="310">
        <v>15050</v>
      </c>
      <c r="B40" s="311" t="s">
        <v>3</v>
      </c>
      <c r="C40" s="310" t="s">
        <v>4</v>
      </c>
    </row>
    <row r="41" spans="1:3" ht="15" x14ac:dyDescent="0.2">
      <c r="A41" s="310">
        <v>15051</v>
      </c>
      <c r="B41" s="311" t="s">
        <v>3</v>
      </c>
      <c r="C41" s="310" t="s">
        <v>4</v>
      </c>
    </row>
    <row r="42" spans="1:3" ht="15" x14ac:dyDescent="0.2">
      <c r="A42" s="310">
        <v>15052</v>
      </c>
      <c r="B42" s="311" t="s">
        <v>3</v>
      </c>
      <c r="C42" s="310" t="s">
        <v>4</v>
      </c>
    </row>
    <row r="43" spans="1:3" ht="15" x14ac:dyDescent="0.2">
      <c r="A43" s="310">
        <v>15053</v>
      </c>
      <c r="B43" s="311" t="s">
        <v>3</v>
      </c>
      <c r="C43" s="310" t="s">
        <v>4</v>
      </c>
    </row>
    <row r="44" spans="1:3" ht="15" x14ac:dyDescent="0.2">
      <c r="A44" s="310">
        <v>15054</v>
      </c>
      <c r="B44" s="311" t="s">
        <v>3</v>
      </c>
      <c r="C44" s="310" t="s">
        <v>4</v>
      </c>
    </row>
    <row r="45" spans="1:3" ht="15" x14ac:dyDescent="0.2">
      <c r="A45" s="310">
        <v>15055</v>
      </c>
      <c r="B45" s="311" t="s">
        <v>3</v>
      </c>
      <c r="C45" s="310" t="s">
        <v>4</v>
      </c>
    </row>
    <row r="46" spans="1:3" ht="15" x14ac:dyDescent="0.2">
      <c r="A46" s="310">
        <v>15056</v>
      </c>
      <c r="B46" s="311" t="s">
        <v>3</v>
      </c>
      <c r="C46" s="310" t="s">
        <v>4</v>
      </c>
    </row>
    <row r="47" spans="1:3" ht="15" x14ac:dyDescent="0.2">
      <c r="A47" s="310">
        <v>15057</v>
      </c>
      <c r="B47" s="311" t="s">
        <v>3</v>
      </c>
      <c r="C47" s="310" t="s">
        <v>4</v>
      </c>
    </row>
    <row r="48" spans="1:3" ht="15" x14ac:dyDescent="0.2">
      <c r="A48" s="310">
        <v>15059</v>
      </c>
      <c r="B48" s="311" t="s">
        <v>3</v>
      </c>
      <c r="C48" s="310" t="s">
        <v>4</v>
      </c>
    </row>
    <row r="49" spans="1:3" ht="15" x14ac:dyDescent="0.2">
      <c r="A49" s="310">
        <v>15060</v>
      </c>
      <c r="B49" s="311" t="s">
        <v>3</v>
      </c>
      <c r="C49" s="310" t="s">
        <v>4</v>
      </c>
    </row>
    <row r="50" spans="1:3" ht="15" x14ac:dyDescent="0.2">
      <c r="A50" s="310">
        <v>15061</v>
      </c>
      <c r="B50" s="311" t="s">
        <v>3</v>
      </c>
      <c r="C50" s="310" t="s">
        <v>4</v>
      </c>
    </row>
    <row r="51" spans="1:3" ht="15" x14ac:dyDescent="0.2">
      <c r="A51" s="310">
        <v>15062</v>
      </c>
      <c r="B51" s="311" t="s">
        <v>3</v>
      </c>
      <c r="C51" s="310" t="s">
        <v>4</v>
      </c>
    </row>
    <row r="52" spans="1:3" ht="15" x14ac:dyDescent="0.2">
      <c r="A52" s="310">
        <v>15063</v>
      </c>
      <c r="B52" s="311" t="s">
        <v>3</v>
      </c>
      <c r="C52" s="310" t="s">
        <v>4</v>
      </c>
    </row>
    <row r="53" spans="1:3" ht="15" x14ac:dyDescent="0.2">
      <c r="A53" s="310">
        <v>15064</v>
      </c>
      <c r="B53" s="311" t="s">
        <v>3</v>
      </c>
      <c r="C53" s="310" t="s">
        <v>4</v>
      </c>
    </row>
    <row r="54" spans="1:3" ht="15" x14ac:dyDescent="0.2">
      <c r="A54" s="310">
        <v>15065</v>
      </c>
      <c r="B54" s="311" t="s">
        <v>3</v>
      </c>
      <c r="C54" s="310" t="s">
        <v>4</v>
      </c>
    </row>
    <row r="55" spans="1:3" ht="15" x14ac:dyDescent="0.2">
      <c r="A55" s="310">
        <v>15066</v>
      </c>
      <c r="B55" s="311" t="s">
        <v>3</v>
      </c>
      <c r="C55" s="310" t="s">
        <v>4</v>
      </c>
    </row>
    <row r="56" spans="1:3" ht="15" x14ac:dyDescent="0.2">
      <c r="A56" s="310">
        <v>15067</v>
      </c>
      <c r="B56" s="311" t="s">
        <v>3</v>
      </c>
      <c r="C56" s="310" t="s">
        <v>4</v>
      </c>
    </row>
    <row r="57" spans="1:3" ht="15" x14ac:dyDescent="0.2">
      <c r="A57" s="310">
        <v>15068</v>
      </c>
      <c r="B57" s="311" t="s">
        <v>3</v>
      </c>
      <c r="C57" s="310" t="s">
        <v>4</v>
      </c>
    </row>
    <row r="58" spans="1:3" ht="15" x14ac:dyDescent="0.2">
      <c r="A58" s="310">
        <v>15069</v>
      </c>
      <c r="B58" s="311" t="s">
        <v>3</v>
      </c>
      <c r="C58" s="310" t="s">
        <v>4</v>
      </c>
    </row>
    <row r="59" spans="1:3" ht="15" x14ac:dyDescent="0.2">
      <c r="A59" s="310">
        <v>15071</v>
      </c>
      <c r="B59" s="311" t="s">
        <v>3</v>
      </c>
      <c r="C59" s="310" t="s">
        <v>4</v>
      </c>
    </row>
    <row r="60" spans="1:3" ht="15" x14ac:dyDescent="0.2">
      <c r="A60" s="310">
        <v>15072</v>
      </c>
      <c r="B60" s="311" t="s">
        <v>3</v>
      </c>
      <c r="C60" s="310" t="s">
        <v>4</v>
      </c>
    </row>
    <row r="61" spans="1:3" ht="15" x14ac:dyDescent="0.2">
      <c r="A61" s="310">
        <v>15074</v>
      </c>
      <c r="B61" s="311" t="s">
        <v>3</v>
      </c>
      <c r="C61" s="310" t="s">
        <v>4</v>
      </c>
    </row>
    <row r="62" spans="1:3" ht="15" x14ac:dyDescent="0.2">
      <c r="A62" s="310">
        <v>15075</v>
      </c>
      <c r="B62" s="311" t="s">
        <v>3</v>
      </c>
      <c r="C62" s="310" t="s">
        <v>4</v>
      </c>
    </row>
    <row r="63" spans="1:3" ht="15" x14ac:dyDescent="0.2">
      <c r="A63" s="310">
        <v>15076</v>
      </c>
      <c r="B63" s="311" t="s">
        <v>3</v>
      </c>
      <c r="C63" s="310" t="s">
        <v>4</v>
      </c>
    </row>
    <row r="64" spans="1:3" ht="15" x14ac:dyDescent="0.2">
      <c r="A64" s="310">
        <v>15077</v>
      </c>
      <c r="B64" s="311" t="s">
        <v>3</v>
      </c>
      <c r="C64" s="310" t="s">
        <v>4</v>
      </c>
    </row>
    <row r="65" spans="1:3" ht="15" x14ac:dyDescent="0.2">
      <c r="A65" s="310">
        <v>15078</v>
      </c>
      <c r="B65" s="311" t="s">
        <v>3</v>
      </c>
      <c r="C65" s="310" t="s">
        <v>4</v>
      </c>
    </row>
    <row r="66" spans="1:3" ht="15" x14ac:dyDescent="0.2">
      <c r="A66" s="310">
        <v>15081</v>
      </c>
      <c r="B66" s="311" t="s">
        <v>3</v>
      </c>
      <c r="C66" s="310" t="s">
        <v>4</v>
      </c>
    </row>
    <row r="67" spans="1:3" ht="15" x14ac:dyDescent="0.2">
      <c r="A67" s="310">
        <v>15082</v>
      </c>
      <c r="B67" s="311" t="s">
        <v>3</v>
      </c>
      <c r="C67" s="310" t="s">
        <v>4</v>
      </c>
    </row>
    <row r="68" spans="1:3" ht="15" x14ac:dyDescent="0.2">
      <c r="A68" s="310">
        <v>15083</v>
      </c>
      <c r="B68" s="311" t="s">
        <v>3</v>
      </c>
      <c r="C68" s="310" t="s">
        <v>4</v>
      </c>
    </row>
    <row r="69" spans="1:3" ht="15" x14ac:dyDescent="0.2">
      <c r="A69" s="310">
        <v>15084</v>
      </c>
      <c r="B69" s="311" t="s">
        <v>3</v>
      </c>
      <c r="C69" s="310" t="s">
        <v>4</v>
      </c>
    </row>
    <row r="70" spans="1:3" ht="15" x14ac:dyDescent="0.2">
      <c r="A70" s="310">
        <v>15085</v>
      </c>
      <c r="B70" s="311" t="s">
        <v>3</v>
      </c>
      <c r="C70" s="310" t="s">
        <v>4</v>
      </c>
    </row>
    <row r="71" spans="1:3" ht="15" x14ac:dyDescent="0.2">
      <c r="A71" s="310">
        <v>15086</v>
      </c>
      <c r="B71" s="311" t="s">
        <v>3</v>
      </c>
      <c r="C71" s="310" t="s">
        <v>4</v>
      </c>
    </row>
    <row r="72" spans="1:3" ht="15" x14ac:dyDescent="0.2">
      <c r="A72" s="310">
        <v>15087</v>
      </c>
      <c r="B72" s="311" t="s">
        <v>3</v>
      </c>
      <c r="C72" s="310" t="s">
        <v>4</v>
      </c>
    </row>
    <row r="73" spans="1:3" ht="15" x14ac:dyDescent="0.2">
      <c r="A73" s="310">
        <v>15088</v>
      </c>
      <c r="B73" s="311" t="s">
        <v>3</v>
      </c>
      <c r="C73" s="310" t="s">
        <v>4</v>
      </c>
    </row>
    <row r="74" spans="1:3" ht="15" x14ac:dyDescent="0.2">
      <c r="A74" s="310">
        <v>15089</v>
      </c>
      <c r="B74" s="311" t="s">
        <v>3</v>
      </c>
      <c r="C74" s="310" t="s">
        <v>4</v>
      </c>
    </row>
    <row r="75" spans="1:3" ht="15" x14ac:dyDescent="0.2">
      <c r="A75" s="310">
        <v>15090</v>
      </c>
      <c r="B75" s="311" t="s">
        <v>3</v>
      </c>
      <c r="C75" s="310" t="s">
        <v>4</v>
      </c>
    </row>
    <row r="76" spans="1:3" ht="15" x14ac:dyDescent="0.2">
      <c r="A76" s="310">
        <v>15091</v>
      </c>
      <c r="B76" s="311" t="s">
        <v>3</v>
      </c>
      <c r="C76" s="310" t="s">
        <v>4</v>
      </c>
    </row>
    <row r="77" spans="1:3" ht="15" x14ac:dyDescent="0.2">
      <c r="A77" s="310">
        <v>15095</v>
      </c>
      <c r="B77" s="311" t="s">
        <v>3</v>
      </c>
      <c r="C77" s="310" t="s">
        <v>4</v>
      </c>
    </row>
    <row r="78" spans="1:3" ht="15" x14ac:dyDescent="0.2">
      <c r="A78" s="310">
        <v>15096</v>
      </c>
      <c r="B78" s="311" t="s">
        <v>3</v>
      </c>
      <c r="C78" s="310" t="s">
        <v>4</v>
      </c>
    </row>
    <row r="79" spans="1:3" ht="15" x14ac:dyDescent="0.2">
      <c r="A79" s="310">
        <v>15101</v>
      </c>
      <c r="B79" s="311" t="s">
        <v>3</v>
      </c>
      <c r="C79" s="310" t="s">
        <v>4</v>
      </c>
    </row>
    <row r="80" spans="1:3" ht="15" x14ac:dyDescent="0.2">
      <c r="A80" s="310">
        <v>15102</v>
      </c>
      <c r="B80" s="311" t="s">
        <v>3</v>
      </c>
      <c r="C80" s="310" t="s">
        <v>4</v>
      </c>
    </row>
    <row r="81" spans="1:3" ht="15" x14ac:dyDescent="0.2">
      <c r="A81" s="310">
        <v>15104</v>
      </c>
      <c r="B81" s="311" t="s">
        <v>3</v>
      </c>
      <c r="C81" s="310" t="s">
        <v>4</v>
      </c>
    </row>
    <row r="82" spans="1:3" ht="15" x14ac:dyDescent="0.2">
      <c r="A82" s="310">
        <v>15106</v>
      </c>
      <c r="B82" s="311" t="s">
        <v>3</v>
      </c>
      <c r="C82" s="310" t="s">
        <v>4</v>
      </c>
    </row>
    <row r="83" spans="1:3" ht="15" x14ac:dyDescent="0.2">
      <c r="A83" s="310">
        <v>15108</v>
      </c>
      <c r="B83" s="311" t="s">
        <v>3</v>
      </c>
      <c r="C83" s="310" t="s">
        <v>4</v>
      </c>
    </row>
    <row r="84" spans="1:3" ht="15" x14ac:dyDescent="0.2">
      <c r="A84" s="310">
        <v>15110</v>
      </c>
      <c r="B84" s="311" t="s">
        <v>3</v>
      </c>
      <c r="C84" s="310" t="s">
        <v>4</v>
      </c>
    </row>
    <row r="85" spans="1:3" ht="15" x14ac:dyDescent="0.2">
      <c r="A85" s="310">
        <v>15112</v>
      </c>
      <c r="B85" s="311" t="s">
        <v>3</v>
      </c>
      <c r="C85" s="310" t="s">
        <v>4</v>
      </c>
    </row>
    <row r="86" spans="1:3" ht="15" x14ac:dyDescent="0.2">
      <c r="A86" s="310">
        <v>15116</v>
      </c>
      <c r="B86" s="311" t="s">
        <v>3</v>
      </c>
      <c r="C86" s="310" t="s">
        <v>4</v>
      </c>
    </row>
    <row r="87" spans="1:3" ht="15" x14ac:dyDescent="0.2">
      <c r="A87" s="310">
        <v>15120</v>
      </c>
      <c r="B87" s="311" t="s">
        <v>3</v>
      </c>
      <c r="C87" s="310" t="s">
        <v>4</v>
      </c>
    </row>
    <row r="88" spans="1:3" ht="15" x14ac:dyDescent="0.2">
      <c r="A88" s="310">
        <v>15122</v>
      </c>
      <c r="B88" s="311" t="s">
        <v>3</v>
      </c>
      <c r="C88" s="310" t="s">
        <v>4</v>
      </c>
    </row>
    <row r="89" spans="1:3" ht="15" x14ac:dyDescent="0.2">
      <c r="A89" s="310">
        <v>15123</v>
      </c>
      <c r="B89" s="311" t="s">
        <v>3</v>
      </c>
      <c r="C89" s="310" t="s">
        <v>4</v>
      </c>
    </row>
    <row r="90" spans="1:3" ht="15" x14ac:dyDescent="0.2">
      <c r="A90" s="310">
        <v>15126</v>
      </c>
      <c r="B90" s="311" t="s">
        <v>3</v>
      </c>
      <c r="C90" s="310" t="s">
        <v>4</v>
      </c>
    </row>
    <row r="91" spans="1:3" ht="15" x14ac:dyDescent="0.2">
      <c r="A91" s="310">
        <v>15127</v>
      </c>
      <c r="B91" s="311" t="s">
        <v>3</v>
      </c>
      <c r="C91" s="310" t="s">
        <v>4</v>
      </c>
    </row>
    <row r="92" spans="1:3" ht="15" x14ac:dyDescent="0.2">
      <c r="A92" s="310">
        <v>15129</v>
      </c>
      <c r="B92" s="311" t="s">
        <v>3</v>
      </c>
      <c r="C92" s="310" t="s">
        <v>4</v>
      </c>
    </row>
    <row r="93" spans="1:3" ht="15" x14ac:dyDescent="0.2">
      <c r="A93" s="310">
        <v>15130</v>
      </c>
      <c r="B93" s="311" t="s">
        <v>3</v>
      </c>
      <c r="C93" s="310" t="s">
        <v>4</v>
      </c>
    </row>
    <row r="94" spans="1:3" ht="15" x14ac:dyDescent="0.2">
      <c r="A94" s="310">
        <v>15131</v>
      </c>
      <c r="B94" s="311" t="s">
        <v>3</v>
      </c>
      <c r="C94" s="310" t="s">
        <v>4</v>
      </c>
    </row>
    <row r="95" spans="1:3" ht="15" x14ac:dyDescent="0.2">
      <c r="A95" s="310">
        <v>15132</v>
      </c>
      <c r="B95" s="311" t="s">
        <v>3</v>
      </c>
      <c r="C95" s="310" t="s">
        <v>4</v>
      </c>
    </row>
    <row r="96" spans="1:3" ht="15" x14ac:dyDescent="0.2">
      <c r="A96" s="310">
        <v>15133</v>
      </c>
      <c r="B96" s="311" t="s">
        <v>3</v>
      </c>
      <c r="C96" s="310" t="s">
        <v>4</v>
      </c>
    </row>
    <row r="97" spans="1:3" ht="15" x14ac:dyDescent="0.2">
      <c r="A97" s="310">
        <v>15134</v>
      </c>
      <c r="B97" s="311" t="s">
        <v>3</v>
      </c>
      <c r="C97" s="310" t="s">
        <v>4</v>
      </c>
    </row>
    <row r="98" spans="1:3" ht="15" x14ac:dyDescent="0.2">
      <c r="A98" s="310">
        <v>15135</v>
      </c>
      <c r="B98" s="311" t="s">
        <v>3</v>
      </c>
      <c r="C98" s="310" t="s">
        <v>4</v>
      </c>
    </row>
    <row r="99" spans="1:3" ht="15" x14ac:dyDescent="0.2">
      <c r="A99" s="310">
        <v>15136</v>
      </c>
      <c r="B99" s="311" t="s">
        <v>3</v>
      </c>
      <c r="C99" s="310" t="s">
        <v>4</v>
      </c>
    </row>
    <row r="100" spans="1:3" ht="15" x14ac:dyDescent="0.2">
      <c r="A100" s="310">
        <v>15137</v>
      </c>
      <c r="B100" s="311" t="s">
        <v>3</v>
      </c>
      <c r="C100" s="310" t="s">
        <v>4</v>
      </c>
    </row>
    <row r="101" spans="1:3" ht="15" x14ac:dyDescent="0.2">
      <c r="A101" s="310">
        <v>15139</v>
      </c>
      <c r="B101" s="311" t="s">
        <v>3</v>
      </c>
      <c r="C101" s="310" t="s">
        <v>4</v>
      </c>
    </row>
    <row r="102" spans="1:3" ht="15" x14ac:dyDescent="0.2">
      <c r="A102" s="310">
        <v>15140</v>
      </c>
      <c r="B102" s="311" t="s">
        <v>3</v>
      </c>
      <c r="C102" s="310" t="s">
        <v>4</v>
      </c>
    </row>
    <row r="103" spans="1:3" ht="15" x14ac:dyDescent="0.2">
      <c r="A103" s="310">
        <v>15142</v>
      </c>
      <c r="B103" s="311" t="s">
        <v>3</v>
      </c>
      <c r="C103" s="310" t="s">
        <v>4</v>
      </c>
    </row>
    <row r="104" spans="1:3" ht="15" x14ac:dyDescent="0.2">
      <c r="A104" s="310">
        <v>15143</v>
      </c>
      <c r="B104" s="311" t="s">
        <v>3</v>
      </c>
      <c r="C104" s="310" t="s">
        <v>4</v>
      </c>
    </row>
    <row r="105" spans="1:3" ht="15" x14ac:dyDescent="0.2">
      <c r="A105" s="310">
        <v>15144</v>
      </c>
      <c r="B105" s="311" t="s">
        <v>3</v>
      </c>
      <c r="C105" s="310" t="s">
        <v>4</v>
      </c>
    </row>
    <row r="106" spans="1:3" ht="15" x14ac:dyDescent="0.2">
      <c r="A106" s="310">
        <v>15145</v>
      </c>
      <c r="B106" s="311" t="s">
        <v>3</v>
      </c>
      <c r="C106" s="310" t="s">
        <v>4</v>
      </c>
    </row>
    <row r="107" spans="1:3" ht="15" x14ac:dyDescent="0.2">
      <c r="A107" s="310">
        <v>15146</v>
      </c>
      <c r="B107" s="311" t="s">
        <v>3</v>
      </c>
      <c r="C107" s="310" t="s">
        <v>4</v>
      </c>
    </row>
    <row r="108" spans="1:3" ht="15" x14ac:dyDescent="0.2">
      <c r="A108" s="310">
        <v>15147</v>
      </c>
      <c r="B108" s="311" t="s">
        <v>3</v>
      </c>
      <c r="C108" s="310" t="s">
        <v>4</v>
      </c>
    </row>
    <row r="109" spans="1:3" ht="15" x14ac:dyDescent="0.2">
      <c r="A109" s="310">
        <v>15148</v>
      </c>
      <c r="B109" s="311" t="s">
        <v>3</v>
      </c>
      <c r="C109" s="310" t="s">
        <v>4</v>
      </c>
    </row>
    <row r="110" spans="1:3" ht="15" x14ac:dyDescent="0.2">
      <c r="A110" s="310">
        <v>15189</v>
      </c>
      <c r="B110" s="311" t="s">
        <v>3</v>
      </c>
      <c r="C110" s="310" t="s">
        <v>4</v>
      </c>
    </row>
    <row r="111" spans="1:3" ht="15" x14ac:dyDescent="0.2">
      <c r="A111" s="310">
        <v>15201</v>
      </c>
      <c r="B111" s="311" t="s">
        <v>3</v>
      </c>
      <c r="C111" s="310" t="s">
        <v>4</v>
      </c>
    </row>
    <row r="112" spans="1:3" ht="15" x14ac:dyDescent="0.2">
      <c r="A112" s="310">
        <v>15202</v>
      </c>
      <c r="B112" s="311" t="s">
        <v>3</v>
      </c>
      <c r="C112" s="310" t="s">
        <v>4</v>
      </c>
    </row>
    <row r="113" spans="1:3" ht="15" x14ac:dyDescent="0.2">
      <c r="A113" s="310">
        <v>15203</v>
      </c>
      <c r="B113" s="311" t="s">
        <v>3</v>
      </c>
      <c r="C113" s="310" t="s">
        <v>4</v>
      </c>
    </row>
    <row r="114" spans="1:3" ht="15" x14ac:dyDescent="0.2">
      <c r="A114" s="310">
        <v>15204</v>
      </c>
      <c r="B114" s="311" t="s">
        <v>3</v>
      </c>
      <c r="C114" s="310" t="s">
        <v>4</v>
      </c>
    </row>
    <row r="115" spans="1:3" ht="15" x14ac:dyDescent="0.2">
      <c r="A115" s="310">
        <v>15205</v>
      </c>
      <c r="B115" s="311" t="s">
        <v>3</v>
      </c>
      <c r="C115" s="310" t="s">
        <v>4</v>
      </c>
    </row>
    <row r="116" spans="1:3" ht="15" x14ac:dyDescent="0.2">
      <c r="A116" s="310">
        <v>15206</v>
      </c>
      <c r="B116" s="311" t="s">
        <v>3</v>
      </c>
      <c r="C116" s="310" t="s">
        <v>4</v>
      </c>
    </row>
    <row r="117" spans="1:3" ht="15" x14ac:dyDescent="0.2">
      <c r="A117" s="310">
        <v>15207</v>
      </c>
      <c r="B117" s="311" t="s">
        <v>3</v>
      </c>
      <c r="C117" s="310" t="s">
        <v>4</v>
      </c>
    </row>
    <row r="118" spans="1:3" ht="15" x14ac:dyDescent="0.2">
      <c r="A118" s="310">
        <v>15208</v>
      </c>
      <c r="B118" s="311" t="s">
        <v>3</v>
      </c>
      <c r="C118" s="310" t="s">
        <v>4</v>
      </c>
    </row>
    <row r="119" spans="1:3" ht="15" x14ac:dyDescent="0.2">
      <c r="A119" s="310">
        <v>15209</v>
      </c>
      <c r="B119" s="311" t="s">
        <v>3</v>
      </c>
      <c r="C119" s="310" t="s">
        <v>4</v>
      </c>
    </row>
    <row r="120" spans="1:3" ht="15" x14ac:dyDescent="0.2">
      <c r="A120" s="310">
        <v>15210</v>
      </c>
      <c r="B120" s="311" t="s">
        <v>3</v>
      </c>
      <c r="C120" s="310" t="s">
        <v>4</v>
      </c>
    </row>
    <row r="121" spans="1:3" ht="15" x14ac:dyDescent="0.2">
      <c r="A121" s="310">
        <v>15211</v>
      </c>
      <c r="B121" s="311" t="s">
        <v>3</v>
      </c>
      <c r="C121" s="310" t="s">
        <v>4</v>
      </c>
    </row>
    <row r="122" spans="1:3" ht="15" x14ac:dyDescent="0.2">
      <c r="A122" s="310">
        <v>15212</v>
      </c>
      <c r="B122" s="311" t="s">
        <v>3</v>
      </c>
      <c r="C122" s="310" t="s">
        <v>4</v>
      </c>
    </row>
    <row r="123" spans="1:3" ht="15" x14ac:dyDescent="0.2">
      <c r="A123" s="310">
        <v>15213</v>
      </c>
      <c r="B123" s="311" t="s">
        <v>3</v>
      </c>
      <c r="C123" s="310" t="s">
        <v>4</v>
      </c>
    </row>
    <row r="124" spans="1:3" ht="15" x14ac:dyDescent="0.2">
      <c r="A124" s="310">
        <v>15214</v>
      </c>
      <c r="B124" s="311" t="s">
        <v>3</v>
      </c>
      <c r="C124" s="310" t="s">
        <v>4</v>
      </c>
    </row>
    <row r="125" spans="1:3" ht="15" x14ac:dyDescent="0.2">
      <c r="A125" s="310">
        <v>15215</v>
      </c>
      <c r="B125" s="311" t="s">
        <v>3</v>
      </c>
      <c r="C125" s="310" t="s">
        <v>4</v>
      </c>
    </row>
    <row r="126" spans="1:3" ht="15" x14ac:dyDescent="0.2">
      <c r="A126" s="310">
        <v>15216</v>
      </c>
      <c r="B126" s="311" t="s">
        <v>3</v>
      </c>
      <c r="C126" s="310" t="s">
        <v>4</v>
      </c>
    </row>
    <row r="127" spans="1:3" ht="15" x14ac:dyDescent="0.2">
      <c r="A127" s="310">
        <v>15217</v>
      </c>
      <c r="B127" s="311" t="s">
        <v>3</v>
      </c>
      <c r="C127" s="310" t="s">
        <v>4</v>
      </c>
    </row>
    <row r="128" spans="1:3" ht="15" x14ac:dyDescent="0.2">
      <c r="A128" s="310">
        <v>15218</v>
      </c>
      <c r="B128" s="311" t="s">
        <v>3</v>
      </c>
      <c r="C128" s="310" t="s">
        <v>4</v>
      </c>
    </row>
    <row r="129" spans="1:3" ht="15" x14ac:dyDescent="0.2">
      <c r="A129" s="310">
        <v>15219</v>
      </c>
      <c r="B129" s="311" t="s">
        <v>3</v>
      </c>
      <c r="C129" s="310" t="s">
        <v>4</v>
      </c>
    </row>
    <row r="130" spans="1:3" ht="15" x14ac:dyDescent="0.2">
      <c r="A130" s="310">
        <v>15220</v>
      </c>
      <c r="B130" s="311" t="s">
        <v>3</v>
      </c>
      <c r="C130" s="310" t="s">
        <v>4</v>
      </c>
    </row>
    <row r="131" spans="1:3" ht="15" x14ac:dyDescent="0.2">
      <c r="A131" s="310">
        <v>15221</v>
      </c>
      <c r="B131" s="311" t="s">
        <v>3</v>
      </c>
      <c r="C131" s="310" t="s">
        <v>4</v>
      </c>
    </row>
    <row r="132" spans="1:3" ht="15" x14ac:dyDescent="0.2">
      <c r="A132" s="310">
        <v>15222</v>
      </c>
      <c r="B132" s="311" t="s">
        <v>3</v>
      </c>
      <c r="C132" s="310" t="s">
        <v>4</v>
      </c>
    </row>
    <row r="133" spans="1:3" ht="15" x14ac:dyDescent="0.2">
      <c r="A133" s="310">
        <v>15223</v>
      </c>
      <c r="B133" s="311" t="s">
        <v>3</v>
      </c>
      <c r="C133" s="310" t="s">
        <v>4</v>
      </c>
    </row>
    <row r="134" spans="1:3" ht="15" x14ac:dyDescent="0.2">
      <c r="A134" s="310">
        <v>15224</v>
      </c>
      <c r="B134" s="311" t="s">
        <v>3</v>
      </c>
      <c r="C134" s="310" t="s">
        <v>4</v>
      </c>
    </row>
    <row r="135" spans="1:3" ht="15" x14ac:dyDescent="0.2">
      <c r="A135" s="310">
        <v>15225</v>
      </c>
      <c r="B135" s="311" t="s">
        <v>3</v>
      </c>
      <c r="C135" s="310" t="s">
        <v>4</v>
      </c>
    </row>
    <row r="136" spans="1:3" ht="15" x14ac:dyDescent="0.2">
      <c r="A136" s="310">
        <v>15226</v>
      </c>
      <c r="B136" s="311" t="s">
        <v>3</v>
      </c>
      <c r="C136" s="310" t="s">
        <v>4</v>
      </c>
    </row>
    <row r="137" spans="1:3" ht="15" x14ac:dyDescent="0.2">
      <c r="A137" s="310">
        <v>15227</v>
      </c>
      <c r="B137" s="311" t="s">
        <v>3</v>
      </c>
      <c r="C137" s="310" t="s">
        <v>4</v>
      </c>
    </row>
    <row r="138" spans="1:3" ht="15" x14ac:dyDescent="0.2">
      <c r="A138" s="310">
        <v>15228</v>
      </c>
      <c r="B138" s="311" t="s">
        <v>3</v>
      </c>
      <c r="C138" s="310" t="s">
        <v>4</v>
      </c>
    </row>
    <row r="139" spans="1:3" ht="15" x14ac:dyDescent="0.2">
      <c r="A139" s="310">
        <v>15229</v>
      </c>
      <c r="B139" s="311" t="s">
        <v>3</v>
      </c>
      <c r="C139" s="310" t="s">
        <v>4</v>
      </c>
    </row>
    <row r="140" spans="1:3" ht="15" x14ac:dyDescent="0.2">
      <c r="A140" s="310">
        <v>15230</v>
      </c>
      <c r="B140" s="311" t="s">
        <v>3</v>
      </c>
      <c r="C140" s="310" t="s">
        <v>4</v>
      </c>
    </row>
    <row r="141" spans="1:3" ht="15" x14ac:dyDescent="0.2">
      <c r="A141" s="310">
        <v>15231</v>
      </c>
      <c r="B141" s="311" t="s">
        <v>3</v>
      </c>
      <c r="C141" s="310" t="s">
        <v>4</v>
      </c>
    </row>
    <row r="142" spans="1:3" ht="15" x14ac:dyDescent="0.2">
      <c r="A142" s="310">
        <v>15232</v>
      </c>
      <c r="B142" s="311" t="s">
        <v>3</v>
      </c>
      <c r="C142" s="310" t="s">
        <v>4</v>
      </c>
    </row>
    <row r="143" spans="1:3" ht="15" x14ac:dyDescent="0.2">
      <c r="A143" s="310">
        <v>15233</v>
      </c>
      <c r="B143" s="311" t="s">
        <v>3</v>
      </c>
      <c r="C143" s="310" t="s">
        <v>4</v>
      </c>
    </row>
    <row r="144" spans="1:3" ht="15" x14ac:dyDescent="0.2">
      <c r="A144" s="310">
        <v>15234</v>
      </c>
      <c r="B144" s="311" t="s">
        <v>3</v>
      </c>
      <c r="C144" s="310" t="s">
        <v>4</v>
      </c>
    </row>
    <row r="145" spans="1:3" ht="15" x14ac:dyDescent="0.2">
      <c r="A145" s="310">
        <v>15235</v>
      </c>
      <c r="B145" s="311" t="s">
        <v>3</v>
      </c>
      <c r="C145" s="310" t="s">
        <v>4</v>
      </c>
    </row>
    <row r="146" spans="1:3" ht="15" x14ac:dyDescent="0.2">
      <c r="A146" s="310">
        <v>15236</v>
      </c>
      <c r="B146" s="311" t="s">
        <v>3</v>
      </c>
      <c r="C146" s="310" t="s">
        <v>4</v>
      </c>
    </row>
    <row r="147" spans="1:3" ht="15" x14ac:dyDescent="0.2">
      <c r="A147" s="310">
        <v>15237</v>
      </c>
      <c r="B147" s="311" t="s">
        <v>3</v>
      </c>
      <c r="C147" s="310" t="s">
        <v>4</v>
      </c>
    </row>
    <row r="148" spans="1:3" ht="15" x14ac:dyDescent="0.2">
      <c r="A148" s="310">
        <v>15238</v>
      </c>
      <c r="B148" s="311" t="s">
        <v>3</v>
      </c>
      <c r="C148" s="310" t="s">
        <v>4</v>
      </c>
    </row>
    <row r="149" spans="1:3" ht="15" x14ac:dyDescent="0.2">
      <c r="A149" s="310">
        <v>15239</v>
      </c>
      <c r="B149" s="311" t="s">
        <v>3</v>
      </c>
      <c r="C149" s="310" t="s">
        <v>4</v>
      </c>
    </row>
    <row r="150" spans="1:3" ht="15" x14ac:dyDescent="0.2">
      <c r="A150" s="310">
        <v>15240</v>
      </c>
      <c r="B150" s="311" t="s">
        <v>3</v>
      </c>
      <c r="C150" s="310" t="s">
        <v>4</v>
      </c>
    </row>
    <row r="151" spans="1:3" ht="15" x14ac:dyDescent="0.2">
      <c r="A151" s="310">
        <v>15241</v>
      </c>
      <c r="B151" s="311" t="s">
        <v>3</v>
      </c>
      <c r="C151" s="310" t="s">
        <v>4</v>
      </c>
    </row>
    <row r="152" spans="1:3" ht="15" x14ac:dyDescent="0.2">
      <c r="A152" s="310">
        <v>15242</v>
      </c>
      <c r="B152" s="311" t="s">
        <v>3</v>
      </c>
      <c r="C152" s="310" t="s">
        <v>4</v>
      </c>
    </row>
    <row r="153" spans="1:3" ht="15" x14ac:dyDescent="0.2">
      <c r="A153" s="310">
        <v>15243</v>
      </c>
      <c r="B153" s="311" t="s">
        <v>3</v>
      </c>
      <c r="C153" s="310" t="s">
        <v>4</v>
      </c>
    </row>
    <row r="154" spans="1:3" ht="15" x14ac:dyDescent="0.2">
      <c r="A154" s="310">
        <v>15244</v>
      </c>
      <c r="B154" s="311" t="s">
        <v>3</v>
      </c>
      <c r="C154" s="310" t="s">
        <v>4</v>
      </c>
    </row>
    <row r="155" spans="1:3" ht="15" x14ac:dyDescent="0.2">
      <c r="A155" s="310">
        <v>15250</v>
      </c>
      <c r="B155" s="311" t="s">
        <v>3</v>
      </c>
      <c r="C155" s="310" t="s">
        <v>4</v>
      </c>
    </row>
    <row r="156" spans="1:3" ht="15" x14ac:dyDescent="0.2">
      <c r="A156" s="310">
        <v>15251</v>
      </c>
      <c r="B156" s="311" t="s">
        <v>3</v>
      </c>
      <c r="C156" s="310" t="s">
        <v>4</v>
      </c>
    </row>
    <row r="157" spans="1:3" ht="15" x14ac:dyDescent="0.2">
      <c r="A157" s="310">
        <v>15252</v>
      </c>
      <c r="B157" s="311" t="s">
        <v>3</v>
      </c>
      <c r="C157" s="310" t="s">
        <v>4</v>
      </c>
    </row>
    <row r="158" spans="1:3" ht="15" x14ac:dyDescent="0.2">
      <c r="A158" s="310">
        <v>15253</v>
      </c>
      <c r="B158" s="311" t="s">
        <v>3</v>
      </c>
      <c r="C158" s="310" t="s">
        <v>4</v>
      </c>
    </row>
    <row r="159" spans="1:3" ht="15" x14ac:dyDescent="0.2">
      <c r="A159" s="310">
        <v>15254</v>
      </c>
      <c r="B159" s="311" t="s">
        <v>3</v>
      </c>
      <c r="C159" s="310" t="s">
        <v>4</v>
      </c>
    </row>
    <row r="160" spans="1:3" ht="15" x14ac:dyDescent="0.2">
      <c r="A160" s="310">
        <v>15255</v>
      </c>
      <c r="B160" s="311" t="s">
        <v>3</v>
      </c>
      <c r="C160" s="310" t="s">
        <v>4</v>
      </c>
    </row>
    <row r="161" spans="1:3" ht="15" x14ac:dyDescent="0.2">
      <c r="A161" s="310">
        <v>15257</v>
      </c>
      <c r="B161" s="311" t="s">
        <v>3</v>
      </c>
      <c r="C161" s="310" t="s">
        <v>4</v>
      </c>
    </row>
    <row r="162" spans="1:3" ht="15" x14ac:dyDescent="0.2">
      <c r="A162" s="310">
        <v>15258</v>
      </c>
      <c r="B162" s="311" t="s">
        <v>3</v>
      </c>
      <c r="C162" s="310" t="s">
        <v>4</v>
      </c>
    </row>
    <row r="163" spans="1:3" ht="15" x14ac:dyDescent="0.2">
      <c r="A163" s="310">
        <v>15259</v>
      </c>
      <c r="B163" s="311" t="s">
        <v>3</v>
      </c>
      <c r="C163" s="310" t="s">
        <v>4</v>
      </c>
    </row>
    <row r="164" spans="1:3" ht="15" x14ac:dyDescent="0.2">
      <c r="A164" s="310">
        <v>15260</v>
      </c>
      <c r="B164" s="311" t="s">
        <v>3</v>
      </c>
      <c r="C164" s="310" t="s">
        <v>4</v>
      </c>
    </row>
    <row r="165" spans="1:3" ht="15" x14ac:dyDescent="0.2">
      <c r="A165" s="310">
        <v>15261</v>
      </c>
      <c r="B165" s="311" t="s">
        <v>3</v>
      </c>
      <c r="C165" s="310" t="s">
        <v>4</v>
      </c>
    </row>
    <row r="166" spans="1:3" ht="15" x14ac:dyDescent="0.2">
      <c r="A166" s="310">
        <v>15262</v>
      </c>
      <c r="B166" s="311" t="s">
        <v>3</v>
      </c>
      <c r="C166" s="310" t="s">
        <v>4</v>
      </c>
    </row>
    <row r="167" spans="1:3" ht="15" x14ac:dyDescent="0.2">
      <c r="A167" s="310">
        <v>15263</v>
      </c>
      <c r="B167" s="311" t="s">
        <v>3</v>
      </c>
      <c r="C167" s="310" t="s">
        <v>4</v>
      </c>
    </row>
    <row r="168" spans="1:3" ht="15" x14ac:dyDescent="0.2">
      <c r="A168" s="310">
        <v>15264</v>
      </c>
      <c r="B168" s="311" t="s">
        <v>3</v>
      </c>
      <c r="C168" s="310" t="s">
        <v>4</v>
      </c>
    </row>
    <row r="169" spans="1:3" ht="15" x14ac:dyDescent="0.2">
      <c r="A169" s="310">
        <v>15265</v>
      </c>
      <c r="B169" s="311" t="s">
        <v>3</v>
      </c>
      <c r="C169" s="310" t="s">
        <v>4</v>
      </c>
    </row>
    <row r="170" spans="1:3" ht="15" x14ac:dyDescent="0.2">
      <c r="A170" s="310">
        <v>15267</v>
      </c>
      <c r="B170" s="311" t="s">
        <v>3</v>
      </c>
      <c r="C170" s="310" t="s">
        <v>4</v>
      </c>
    </row>
    <row r="171" spans="1:3" ht="15" x14ac:dyDescent="0.2">
      <c r="A171" s="310">
        <v>15268</v>
      </c>
      <c r="B171" s="311" t="s">
        <v>3</v>
      </c>
      <c r="C171" s="310" t="s">
        <v>4</v>
      </c>
    </row>
    <row r="172" spans="1:3" ht="15" x14ac:dyDescent="0.2">
      <c r="A172" s="310">
        <v>15270</v>
      </c>
      <c r="B172" s="311" t="s">
        <v>3</v>
      </c>
      <c r="C172" s="310" t="s">
        <v>4</v>
      </c>
    </row>
    <row r="173" spans="1:3" ht="15" x14ac:dyDescent="0.2">
      <c r="A173" s="310">
        <v>15272</v>
      </c>
      <c r="B173" s="311" t="s">
        <v>3</v>
      </c>
      <c r="C173" s="310" t="s">
        <v>4</v>
      </c>
    </row>
    <row r="174" spans="1:3" ht="15" x14ac:dyDescent="0.2">
      <c r="A174" s="310">
        <v>15274</v>
      </c>
      <c r="B174" s="311" t="s">
        <v>3</v>
      </c>
      <c r="C174" s="310" t="s">
        <v>4</v>
      </c>
    </row>
    <row r="175" spans="1:3" ht="15" x14ac:dyDescent="0.2">
      <c r="A175" s="310">
        <v>15275</v>
      </c>
      <c r="B175" s="311" t="s">
        <v>3</v>
      </c>
      <c r="C175" s="310" t="s">
        <v>4</v>
      </c>
    </row>
    <row r="176" spans="1:3" ht="15" x14ac:dyDescent="0.2">
      <c r="A176" s="310">
        <v>15276</v>
      </c>
      <c r="B176" s="311" t="s">
        <v>3</v>
      </c>
      <c r="C176" s="310" t="s">
        <v>4</v>
      </c>
    </row>
    <row r="177" spans="1:3" ht="15" x14ac:dyDescent="0.2">
      <c r="A177" s="310">
        <v>15277</v>
      </c>
      <c r="B177" s="311" t="s">
        <v>3</v>
      </c>
      <c r="C177" s="310" t="s">
        <v>4</v>
      </c>
    </row>
    <row r="178" spans="1:3" ht="15" x14ac:dyDescent="0.2">
      <c r="A178" s="310">
        <v>15278</v>
      </c>
      <c r="B178" s="311" t="s">
        <v>3</v>
      </c>
      <c r="C178" s="310" t="s">
        <v>4</v>
      </c>
    </row>
    <row r="179" spans="1:3" ht="15" x14ac:dyDescent="0.2">
      <c r="A179" s="310">
        <v>15279</v>
      </c>
      <c r="B179" s="311" t="s">
        <v>3</v>
      </c>
      <c r="C179" s="310" t="s">
        <v>4</v>
      </c>
    </row>
    <row r="180" spans="1:3" ht="15" x14ac:dyDescent="0.2">
      <c r="A180" s="310">
        <v>15281</v>
      </c>
      <c r="B180" s="311" t="s">
        <v>3</v>
      </c>
      <c r="C180" s="310" t="s">
        <v>4</v>
      </c>
    </row>
    <row r="181" spans="1:3" ht="15" x14ac:dyDescent="0.2">
      <c r="A181" s="310">
        <v>15282</v>
      </c>
      <c r="B181" s="311" t="s">
        <v>3</v>
      </c>
      <c r="C181" s="310" t="s">
        <v>4</v>
      </c>
    </row>
    <row r="182" spans="1:3" ht="15" x14ac:dyDescent="0.2">
      <c r="A182" s="310">
        <v>15283</v>
      </c>
      <c r="B182" s="311" t="s">
        <v>3</v>
      </c>
      <c r="C182" s="310" t="s">
        <v>4</v>
      </c>
    </row>
    <row r="183" spans="1:3" ht="15" x14ac:dyDescent="0.2">
      <c r="A183" s="310">
        <v>15285</v>
      </c>
      <c r="B183" s="311" t="s">
        <v>3</v>
      </c>
      <c r="C183" s="310" t="s">
        <v>4</v>
      </c>
    </row>
    <row r="184" spans="1:3" ht="15" x14ac:dyDescent="0.2">
      <c r="A184" s="310">
        <v>15286</v>
      </c>
      <c r="B184" s="311" t="s">
        <v>3</v>
      </c>
      <c r="C184" s="310" t="s">
        <v>4</v>
      </c>
    </row>
    <row r="185" spans="1:3" ht="15" x14ac:dyDescent="0.2">
      <c r="A185" s="310">
        <v>15290</v>
      </c>
      <c r="B185" s="311" t="s">
        <v>3</v>
      </c>
      <c r="C185" s="310" t="s">
        <v>4</v>
      </c>
    </row>
    <row r="186" spans="1:3" ht="15" x14ac:dyDescent="0.2">
      <c r="A186" s="310">
        <v>15295</v>
      </c>
      <c r="B186" s="311" t="s">
        <v>3</v>
      </c>
      <c r="C186" s="310" t="s">
        <v>4</v>
      </c>
    </row>
    <row r="187" spans="1:3" ht="15" x14ac:dyDescent="0.2">
      <c r="A187" s="310">
        <v>15301</v>
      </c>
      <c r="B187" s="311" t="s">
        <v>3</v>
      </c>
      <c r="C187" s="310" t="s">
        <v>4</v>
      </c>
    </row>
    <row r="188" spans="1:3" ht="15" x14ac:dyDescent="0.2">
      <c r="A188" s="310">
        <v>15310</v>
      </c>
      <c r="B188" s="311" t="s">
        <v>3</v>
      </c>
      <c r="C188" s="310" t="s">
        <v>4</v>
      </c>
    </row>
    <row r="189" spans="1:3" ht="15" x14ac:dyDescent="0.2">
      <c r="A189" s="310">
        <v>15311</v>
      </c>
      <c r="B189" s="311" t="s">
        <v>3</v>
      </c>
      <c r="C189" s="310" t="s">
        <v>4</v>
      </c>
    </row>
    <row r="190" spans="1:3" ht="15" x14ac:dyDescent="0.2">
      <c r="A190" s="310">
        <v>15312</v>
      </c>
      <c r="B190" s="311" t="s">
        <v>3</v>
      </c>
      <c r="C190" s="310" t="s">
        <v>4</v>
      </c>
    </row>
    <row r="191" spans="1:3" ht="15" x14ac:dyDescent="0.2">
      <c r="A191" s="310">
        <v>15313</v>
      </c>
      <c r="B191" s="311" t="s">
        <v>3</v>
      </c>
      <c r="C191" s="310" t="s">
        <v>4</v>
      </c>
    </row>
    <row r="192" spans="1:3" ht="15" x14ac:dyDescent="0.2">
      <c r="A192" s="310">
        <v>15314</v>
      </c>
      <c r="B192" s="311" t="s">
        <v>3</v>
      </c>
      <c r="C192" s="310" t="s">
        <v>4</v>
      </c>
    </row>
    <row r="193" spans="1:3" ht="15" x14ac:dyDescent="0.2">
      <c r="A193" s="310">
        <v>15315</v>
      </c>
      <c r="B193" s="311" t="s">
        <v>3</v>
      </c>
      <c r="C193" s="310" t="s">
        <v>4</v>
      </c>
    </row>
    <row r="194" spans="1:3" ht="15" x14ac:dyDescent="0.2">
      <c r="A194" s="310">
        <v>15316</v>
      </c>
      <c r="B194" s="311" t="s">
        <v>3</v>
      </c>
      <c r="C194" s="310" t="s">
        <v>4</v>
      </c>
    </row>
    <row r="195" spans="1:3" ht="15" x14ac:dyDescent="0.2">
      <c r="A195" s="310">
        <v>15317</v>
      </c>
      <c r="B195" s="311" t="s">
        <v>3</v>
      </c>
      <c r="C195" s="310" t="s">
        <v>4</v>
      </c>
    </row>
    <row r="196" spans="1:3" ht="15" x14ac:dyDescent="0.2">
      <c r="A196" s="310">
        <v>15320</v>
      </c>
      <c r="B196" s="311" t="s">
        <v>3</v>
      </c>
      <c r="C196" s="310" t="s">
        <v>4</v>
      </c>
    </row>
    <row r="197" spans="1:3" ht="15" x14ac:dyDescent="0.2">
      <c r="A197" s="310">
        <v>15321</v>
      </c>
      <c r="B197" s="311" t="s">
        <v>3</v>
      </c>
      <c r="C197" s="310" t="s">
        <v>4</v>
      </c>
    </row>
    <row r="198" spans="1:3" ht="15" x14ac:dyDescent="0.2">
      <c r="A198" s="310">
        <v>15322</v>
      </c>
      <c r="B198" s="311" t="s">
        <v>3</v>
      </c>
      <c r="C198" s="310" t="s">
        <v>4</v>
      </c>
    </row>
    <row r="199" spans="1:3" ht="15" x14ac:dyDescent="0.2">
      <c r="A199" s="310">
        <v>15323</v>
      </c>
      <c r="B199" s="311" t="s">
        <v>3</v>
      </c>
      <c r="C199" s="310" t="s">
        <v>4</v>
      </c>
    </row>
    <row r="200" spans="1:3" ht="15" x14ac:dyDescent="0.2">
      <c r="A200" s="310">
        <v>15324</v>
      </c>
      <c r="B200" s="311" t="s">
        <v>3</v>
      </c>
      <c r="C200" s="310" t="s">
        <v>4</v>
      </c>
    </row>
    <row r="201" spans="1:3" ht="15" x14ac:dyDescent="0.2">
      <c r="A201" s="310">
        <v>15325</v>
      </c>
      <c r="B201" s="311" t="s">
        <v>3</v>
      </c>
      <c r="C201" s="310" t="s">
        <v>4</v>
      </c>
    </row>
    <row r="202" spans="1:3" ht="15" x14ac:dyDescent="0.2">
      <c r="A202" s="310">
        <v>15327</v>
      </c>
      <c r="B202" s="311" t="s">
        <v>3</v>
      </c>
      <c r="C202" s="310" t="s">
        <v>4</v>
      </c>
    </row>
    <row r="203" spans="1:3" ht="15" x14ac:dyDescent="0.2">
      <c r="A203" s="310">
        <v>15329</v>
      </c>
      <c r="B203" s="311" t="s">
        <v>3</v>
      </c>
      <c r="C203" s="310" t="s">
        <v>4</v>
      </c>
    </row>
    <row r="204" spans="1:3" ht="15" x14ac:dyDescent="0.2">
      <c r="A204" s="310">
        <v>15330</v>
      </c>
      <c r="B204" s="311" t="s">
        <v>3</v>
      </c>
      <c r="C204" s="310" t="s">
        <v>4</v>
      </c>
    </row>
    <row r="205" spans="1:3" ht="15" x14ac:dyDescent="0.2">
      <c r="A205" s="310">
        <v>15331</v>
      </c>
      <c r="B205" s="311" t="s">
        <v>3</v>
      </c>
      <c r="C205" s="310" t="s">
        <v>4</v>
      </c>
    </row>
    <row r="206" spans="1:3" ht="15" x14ac:dyDescent="0.2">
      <c r="A206" s="310">
        <v>15332</v>
      </c>
      <c r="B206" s="311" t="s">
        <v>3</v>
      </c>
      <c r="C206" s="310" t="s">
        <v>4</v>
      </c>
    </row>
    <row r="207" spans="1:3" ht="15" x14ac:dyDescent="0.2">
      <c r="A207" s="310">
        <v>15333</v>
      </c>
      <c r="B207" s="311" t="s">
        <v>3</v>
      </c>
      <c r="C207" s="310" t="s">
        <v>4</v>
      </c>
    </row>
    <row r="208" spans="1:3" ht="15" x14ac:dyDescent="0.2">
      <c r="A208" s="310">
        <v>15334</v>
      </c>
      <c r="B208" s="311" t="s">
        <v>3</v>
      </c>
      <c r="C208" s="310" t="s">
        <v>4</v>
      </c>
    </row>
    <row r="209" spans="1:3" ht="15" x14ac:dyDescent="0.2">
      <c r="A209" s="310">
        <v>15336</v>
      </c>
      <c r="B209" s="311" t="s">
        <v>3</v>
      </c>
      <c r="C209" s="310" t="s">
        <v>4</v>
      </c>
    </row>
    <row r="210" spans="1:3" ht="15" x14ac:dyDescent="0.2">
      <c r="A210" s="310">
        <v>15337</v>
      </c>
      <c r="B210" s="311" t="s">
        <v>3</v>
      </c>
      <c r="C210" s="310" t="s">
        <v>4</v>
      </c>
    </row>
    <row r="211" spans="1:3" ht="15" x14ac:dyDescent="0.2">
      <c r="A211" s="310">
        <v>15338</v>
      </c>
      <c r="B211" s="311" t="s">
        <v>3</v>
      </c>
      <c r="C211" s="310" t="s">
        <v>4</v>
      </c>
    </row>
    <row r="212" spans="1:3" ht="15" x14ac:dyDescent="0.2">
      <c r="A212" s="310">
        <v>15339</v>
      </c>
      <c r="B212" s="311" t="s">
        <v>3</v>
      </c>
      <c r="C212" s="310" t="s">
        <v>4</v>
      </c>
    </row>
    <row r="213" spans="1:3" ht="15" x14ac:dyDescent="0.2">
      <c r="A213" s="310">
        <v>15340</v>
      </c>
      <c r="B213" s="311" t="s">
        <v>3</v>
      </c>
      <c r="C213" s="310" t="s">
        <v>4</v>
      </c>
    </row>
    <row r="214" spans="1:3" ht="15" x14ac:dyDescent="0.2">
      <c r="A214" s="310">
        <v>15341</v>
      </c>
      <c r="B214" s="311" t="s">
        <v>3</v>
      </c>
      <c r="C214" s="310" t="s">
        <v>4</v>
      </c>
    </row>
    <row r="215" spans="1:3" ht="15" x14ac:dyDescent="0.2">
      <c r="A215" s="310">
        <v>15342</v>
      </c>
      <c r="B215" s="311" t="s">
        <v>3</v>
      </c>
      <c r="C215" s="310" t="s">
        <v>4</v>
      </c>
    </row>
    <row r="216" spans="1:3" ht="15" x14ac:dyDescent="0.2">
      <c r="A216" s="310">
        <v>15344</v>
      </c>
      <c r="B216" s="311" t="s">
        <v>3</v>
      </c>
      <c r="C216" s="310" t="s">
        <v>4</v>
      </c>
    </row>
    <row r="217" spans="1:3" ht="15" x14ac:dyDescent="0.2">
      <c r="A217" s="310">
        <v>15345</v>
      </c>
      <c r="B217" s="311" t="s">
        <v>3</v>
      </c>
      <c r="C217" s="310" t="s">
        <v>4</v>
      </c>
    </row>
    <row r="218" spans="1:3" ht="15" x14ac:dyDescent="0.2">
      <c r="A218" s="310">
        <v>15346</v>
      </c>
      <c r="B218" s="311" t="s">
        <v>3</v>
      </c>
      <c r="C218" s="310" t="s">
        <v>4</v>
      </c>
    </row>
    <row r="219" spans="1:3" ht="15" x14ac:dyDescent="0.2">
      <c r="A219" s="310">
        <v>15347</v>
      </c>
      <c r="B219" s="311" t="s">
        <v>3</v>
      </c>
      <c r="C219" s="310" t="s">
        <v>4</v>
      </c>
    </row>
    <row r="220" spans="1:3" ht="15" x14ac:dyDescent="0.2">
      <c r="A220" s="310">
        <v>15348</v>
      </c>
      <c r="B220" s="311" t="s">
        <v>3</v>
      </c>
      <c r="C220" s="310" t="s">
        <v>4</v>
      </c>
    </row>
    <row r="221" spans="1:3" ht="15" x14ac:dyDescent="0.2">
      <c r="A221" s="310">
        <v>15349</v>
      </c>
      <c r="B221" s="311" t="s">
        <v>3</v>
      </c>
      <c r="C221" s="310" t="s">
        <v>4</v>
      </c>
    </row>
    <row r="222" spans="1:3" ht="15" x14ac:dyDescent="0.2">
      <c r="A222" s="310">
        <v>15350</v>
      </c>
      <c r="B222" s="311" t="s">
        <v>3</v>
      </c>
      <c r="C222" s="310" t="s">
        <v>4</v>
      </c>
    </row>
    <row r="223" spans="1:3" ht="15" x14ac:dyDescent="0.2">
      <c r="A223" s="310">
        <v>15351</v>
      </c>
      <c r="B223" s="311" t="s">
        <v>3</v>
      </c>
      <c r="C223" s="310" t="s">
        <v>4</v>
      </c>
    </row>
    <row r="224" spans="1:3" ht="15" x14ac:dyDescent="0.2">
      <c r="A224" s="310">
        <v>15352</v>
      </c>
      <c r="B224" s="311" t="s">
        <v>3</v>
      </c>
      <c r="C224" s="310" t="s">
        <v>4</v>
      </c>
    </row>
    <row r="225" spans="1:3" ht="15" x14ac:dyDescent="0.2">
      <c r="A225" s="310">
        <v>15353</v>
      </c>
      <c r="B225" s="311" t="s">
        <v>3</v>
      </c>
      <c r="C225" s="310" t="s">
        <v>4</v>
      </c>
    </row>
    <row r="226" spans="1:3" ht="15" x14ac:dyDescent="0.2">
      <c r="A226" s="310">
        <v>15354</v>
      </c>
      <c r="B226" s="311" t="s">
        <v>3</v>
      </c>
      <c r="C226" s="310" t="s">
        <v>4</v>
      </c>
    </row>
    <row r="227" spans="1:3" ht="15" x14ac:dyDescent="0.2">
      <c r="A227" s="310">
        <v>15357</v>
      </c>
      <c r="B227" s="311" t="s">
        <v>3</v>
      </c>
      <c r="C227" s="310" t="s">
        <v>4</v>
      </c>
    </row>
    <row r="228" spans="1:3" ht="15" x14ac:dyDescent="0.2">
      <c r="A228" s="310">
        <v>15358</v>
      </c>
      <c r="B228" s="311" t="s">
        <v>3</v>
      </c>
      <c r="C228" s="310" t="s">
        <v>4</v>
      </c>
    </row>
    <row r="229" spans="1:3" ht="15" x14ac:dyDescent="0.2">
      <c r="A229" s="310">
        <v>15359</v>
      </c>
      <c r="B229" s="311" t="s">
        <v>3</v>
      </c>
      <c r="C229" s="310" t="s">
        <v>4</v>
      </c>
    </row>
    <row r="230" spans="1:3" ht="15" x14ac:dyDescent="0.2">
      <c r="A230" s="310">
        <v>15360</v>
      </c>
      <c r="B230" s="311" t="s">
        <v>3</v>
      </c>
      <c r="C230" s="310" t="s">
        <v>4</v>
      </c>
    </row>
    <row r="231" spans="1:3" ht="15" x14ac:dyDescent="0.2">
      <c r="A231" s="310">
        <v>15361</v>
      </c>
      <c r="B231" s="311" t="s">
        <v>3</v>
      </c>
      <c r="C231" s="310" t="s">
        <v>4</v>
      </c>
    </row>
    <row r="232" spans="1:3" ht="15" x14ac:dyDescent="0.2">
      <c r="A232" s="310">
        <v>15362</v>
      </c>
      <c r="B232" s="311" t="s">
        <v>3</v>
      </c>
      <c r="C232" s="310" t="s">
        <v>4</v>
      </c>
    </row>
    <row r="233" spans="1:3" ht="15" x14ac:dyDescent="0.2">
      <c r="A233" s="310">
        <v>15363</v>
      </c>
      <c r="B233" s="311" t="s">
        <v>3</v>
      </c>
      <c r="C233" s="310" t="s">
        <v>4</v>
      </c>
    </row>
    <row r="234" spans="1:3" ht="15" x14ac:dyDescent="0.2">
      <c r="A234" s="310">
        <v>15364</v>
      </c>
      <c r="B234" s="311" t="s">
        <v>3</v>
      </c>
      <c r="C234" s="310" t="s">
        <v>4</v>
      </c>
    </row>
    <row r="235" spans="1:3" ht="15" x14ac:dyDescent="0.2">
      <c r="A235" s="310">
        <v>15365</v>
      </c>
      <c r="B235" s="311" t="s">
        <v>3</v>
      </c>
      <c r="C235" s="310" t="s">
        <v>4</v>
      </c>
    </row>
    <row r="236" spans="1:3" ht="15" x14ac:dyDescent="0.2">
      <c r="A236" s="310">
        <v>15366</v>
      </c>
      <c r="B236" s="311" t="s">
        <v>3</v>
      </c>
      <c r="C236" s="310" t="s">
        <v>4</v>
      </c>
    </row>
    <row r="237" spans="1:3" ht="15" x14ac:dyDescent="0.2">
      <c r="A237" s="310">
        <v>15367</v>
      </c>
      <c r="B237" s="311" t="s">
        <v>3</v>
      </c>
      <c r="C237" s="310" t="s">
        <v>4</v>
      </c>
    </row>
    <row r="238" spans="1:3" ht="15" x14ac:dyDescent="0.2">
      <c r="A238" s="310">
        <v>15368</v>
      </c>
      <c r="B238" s="311" t="s">
        <v>3</v>
      </c>
      <c r="C238" s="310" t="s">
        <v>4</v>
      </c>
    </row>
    <row r="239" spans="1:3" ht="15" x14ac:dyDescent="0.2">
      <c r="A239" s="310">
        <v>15370</v>
      </c>
      <c r="B239" s="311" t="s">
        <v>3</v>
      </c>
      <c r="C239" s="310" t="s">
        <v>4</v>
      </c>
    </row>
    <row r="240" spans="1:3" ht="15" x14ac:dyDescent="0.2">
      <c r="A240" s="310">
        <v>15376</v>
      </c>
      <c r="B240" s="311" t="s">
        <v>3</v>
      </c>
      <c r="C240" s="310" t="s">
        <v>4</v>
      </c>
    </row>
    <row r="241" spans="1:3" ht="15" x14ac:dyDescent="0.2">
      <c r="A241" s="310">
        <v>15377</v>
      </c>
      <c r="B241" s="311" t="s">
        <v>3</v>
      </c>
      <c r="C241" s="310" t="s">
        <v>4</v>
      </c>
    </row>
    <row r="242" spans="1:3" ht="15" x14ac:dyDescent="0.2">
      <c r="A242" s="310">
        <v>15378</v>
      </c>
      <c r="B242" s="311" t="s">
        <v>3</v>
      </c>
      <c r="C242" s="310" t="s">
        <v>4</v>
      </c>
    </row>
    <row r="243" spans="1:3" ht="15" x14ac:dyDescent="0.2">
      <c r="A243" s="310">
        <v>15379</v>
      </c>
      <c r="B243" s="311" t="s">
        <v>3</v>
      </c>
      <c r="C243" s="310" t="s">
        <v>4</v>
      </c>
    </row>
    <row r="244" spans="1:3" ht="15" x14ac:dyDescent="0.2">
      <c r="A244" s="310">
        <v>15380</v>
      </c>
      <c r="B244" s="311" t="s">
        <v>3</v>
      </c>
      <c r="C244" s="310" t="s">
        <v>4</v>
      </c>
    </row>
    <row r="245" spans="1:3" ht="15" x14ac:dyDescent="0.2">
      <c r="A245" s="310">
        <v>15401</v>
      </c>
      <c r="B245" s="311" t="s">
        <v>3</v>
      </c>
      <c r="C245" s="310" t="s">
        <v>4</v>
      </c>
    </row>
    <row r="246" spans="1:3" ht="15" x14ac:dyDescent="0.2">
      <c r="A246" s="310">
        <v>15410</v>
      </c>
      <c r="B246" s="311" t="s">
        <v>3</v>
      </c>
      <c r="C246" s="310" t="s">
        <v>4</v>
      </c>
    </row>
    <row r="247" spans="1:3" ht="15" x14ac:dyDescent="0.2">
      <c r="A247" s="310">
        <v>15411</v>
      </c>
      <c r="B247" s="311" t="s">
        <v>3</v>
      </c>
      <c r="C247" s="310" t="s">
        <v>4</v>
      </c>
    </row>
    <row r="248" spans="1:3" ht="15" x14ac:dyDescent="0.2">
      <c r="A248" s="310">
        <v>15412</v>
      </c>
      <c r="B248" s="311" t="s">
        <v>3</v>
      </c>
      <c r="C248" s="310" t="s">
        <v>4</v>
      </c>
    </row>
    <row r="249" spans="1:3" ht="15" x14ac:dyDescent="0.2">
      <c r="A249" s="310">
        <v>15413</v>
      </c>
      <c r="B249" s="311" t="s">
        <v>3</v>
      </c>
      <c r="C249" s="310" t="s">
        <v>4</v>
      </c>
    </row>
    <row r="250" spans="1:3" ht="15" x14ac:dyDescent="0.2">
      <c r="A250" s="310">
        <v>15415</v>
      </c>
      <c r="B250" s="311" t="s">
        <v>3</v>
      </c>
      <c r="C250" s="310" t="s">
        <v>4</v>
      </c>
    </row>
    <row r="251" spans="1:3" ht="15" x14ac:dyDescent="0.2">
      <c r="A251" s="310">
        <v>15416</v>
      </c>
      <c r="B251" s="311" t="s">
        <v>3</v>
      </c>
      <c r="C251" s="310" t="s">
        <v>4</v>
      </c>
    </row>
    <row r="252" spans="1:3" ht="15" x14ac:dyDescent="0.2">
      <c r="A252" s="310">
        <v>15417</v>
      </c>
      <c r="B252" s="311" t="s">
        <v>3</v>
      </c>
      <c r="C252" s="310" t="s">
        <v>4</v>
      </c>
    </row>
    <row r="253" spans="1:3" ht="15" x14ac:dyDescent="0.2">
      <c r="A253" s="310">
        <v>15419</v>
      </c>
      <c r="B253" s="311" t="s">
        <v>3</v>
      </c>
      <c r="C253" s="310" t="s">
        <v>4</v>
      </c>
    </row>
    <row r="254" spans="1:3" ht="15" x14ac:dyDescent="0.2">
      <c r="A254" s="310">
        <v>15420</v>
      </c>
      <c r="B254" s="311" t="s">
        <v>3</v>
      </c>
      <c r="C254" s="310" t="s">
        <v>4</v>
      </c>
    </row>
    <row r="255" spans="1:3" ht="15" x14ac:dyDescent="0.2">
      <c r="A255" s="310">
        <v>15421</v>
      </c>
      <c r="B255" s="311" t="s">
        <v>3</v>
      </c>
      <c r="C255" s="310" t="s">
        <v>4</v>
      </c>
    </row>
    <row r="256" spans="1:3" ht="15" x14ac:dyDescent="0.2">
      <c r="A256" s="310">
        <v>15422</v>
      </c>
      <c r="B256" s="311" t="s">
        <v>3</v>
      </c>
      <c r="C256" s="310" t="s">
        <v>4</v>
      </c>
    </row>
    <row r="257" spans="1:3" ht="15" x14ac:dyDescent="0.2">
      <c r="A257" s="310">
        <v>15423</v>
      </c>
      <c r="B257" s="311" t="s">
        <v>3</v>
      </c>
      <c r="C257" s="310" t="s">
        <v>4</v>
      </c>
    </row>
    <row r="258" spans="1:3" ht="15" x14ac:dyDescent="0.2">
      <c r="A258" s="310">
        <v>15424</v>
      </c>
      <c r="B258" s="311" t="s">
        <v>3</v>
      </c>
      <c r="C258" s="310" t="s">
        <v>4</v>
      </c>
    </row>
    <row r="259" spans="1:3" ht="15" x14ac:dyDescent="0.2">
      <c r="A259" s="310">
        <v>15425</v>
      </c>
      <c r="B259" s="311" t="s">
        <v>3</v>
      </c>
      <c r="C259" s="310" t="s">
        <v>4</v>
      </c>
    </row>
    <row r="260" spans="1:3" ht="15" x14ac:dyDescent="0.2">
      <c r="A260" s="310">
        <v>15427</v>
      </c>
      <c r="B260" s="311" t="s">
        <v>3</v>
      </c>
      <c r="C260" s="310" t="s">
        <v>4</v>
      </c>
    </row>
    <row r="261" spans="1:3" ht="15" x14ac:dyDescent="0.2">
      <c r="A261" s="310">
        <v>15428</v>
      </c>
      <c r="B261" s="311" t="s">
        <v>3</v>
      </c>
      <c r="C261" s="310" t="s">
        <v>4</v>
      </c>
    </row>
    <row r="262" spans="1:3" ht="15" x14ac:dyDescent="0.2">
      <c r="A262" s="310">
        <v>15429</v>
      </c>
      <c r="B262" s="311" t="s">
        <v>3</v>
      </c>
      <c r="C262" s="310" t="s">
        <v>4</v>
      </c>
    </row>
    <row r="263" spans="1:3" ht="15" x14ac:dyDescent="0.2">
      <c r="A263" s="310">
        <v>15430</v>
      </c>
      <c r="B263" s="311" t="s">
        <v>3</v>
      </c>
      <c r="C263" s="310" t="s">
        <v>4</v>
      </c>
    </row>
    <row r="264" spans="1:3" ht="15" x14ac:dyDescent="0.2">
      <c r="A264" s="310">
        <v>15431</v>
      </c>
      <c r="B264" s="311" t="s">
        <v>3</v>
      </c>
      <c r="C264" s="310" t="s">
        <v>4</v>
      </c>
    </row>
    <row r="265" spans="1:3" ht="15" x14ac:dyDescent="0.2">
      <c r="A265" s="310">
        <v>15432</v>
      </c>
      <c r="B265" s="311" t="s">
        <v>3</v>
      </c>
      <c r="C265" s="310" t="s">
        <v>4</v>
      </c>
    </row>
    <row r="266" spans="1:3" ht="15" x14ac:dyDescent="0.2">
      <c r="A266" s="310">
        <v>15433</v>
      </c>
      <c r="B266" s="311" t="s">
        <v>3</v>
      </c>
      <c r="C266" s="310" t="s">
        <v>4</v>
      </c>
    </row>
    <row r="267" spans="1:3" ht="15" x14ac:dyDescent="0.2">
      <c r="A267" s="310">
        <v>15434</v>
      </c>
      <c r="B267" s="311" t="s">
        <v>3</v>
      </c>
      <c r="C267" s="310" t="s">
        <v>4</v>
      </c>
    </row>
    <row r="268" spans="1:3" ht="15" x14ac:dyDescent="0.2">
      <c r="A268" s="310">
        <v>15435</v>
      </c>
      <c r="B268" s="311" t="s">
        <v>3</v>
      </c>
      <c r="C268" s="310" t="s">
        <v>4</v>
      </c>
    </row>
    <row r="269" spans="1:3" ht="15" x14ac:dyDescent="0.2">
      <c r="A269" s="310">
        <v>15436</v>
      </c>
      <c r="B269" s="311" t="s">
        <v>3</v>
      </c>
      <c r="C269" s="310" t="s">
        <v>4</v>
      </c>
    </row>
    <row r="270" spans="1:3" ht="15" x14ac:dyDescent="0.2">
      <c r="A270" s="310">
        <v>15437</v>
      </c>
      <c r="B270" s="311" t="s">
        <v>3</v>
      </c>
      <c r="C270" s="310" t="s">
        <v>4</v>
      </c>
    </row>
    <row r="271" spans="1:3" ht="15" x14ac:dyDescent="0.2">
      <c r="A271" s="310">
        <v>15438</v>
      </c>
      <c r="B271" s="311" t="s">
        <v>3</v>
      </c>
      <c r="C271" s="310" t="s">
        <v>4</v>
      </c>
    </row>
    <row r="272" spans="1:3" ht="15" x14ac:dyDescent="0.2">
      <c r="A272" s="310">
        <v>15439</v>
      </c>
      <c r="B272" s="311" t="s">
        <v>3</v>
      </c>
      <c r="C272" s="310" t="s">
        <v>4</v>
      </c>
    </row>
    <row r="273" spans="1:3" ht="15" x14ac:dyDescent="0.2">
      <c r="A273" s="310">
        <v>15440</v>
      </c>
      <c r="B273" s="311" t="s">
        <v>3</v>
      </c>
      <c r="C273" s="310" t="s">
        <v>4</v>
      </c>
    </row>
    <row r="274" spans="1:3" ht="15" x14ac:dyDescent="0.2">
      <c r="A274" s="310">
        <v>15442</v>
      </c>
      <c r="B274" s="311" t="s">
        <v>3</v>
      </c>
      <c r="C274" s="310" t="s">
        <v>4</v>
      </c>
    </row>
    <row r="275" spans="1:3" ht="15" x14ac:dyDescent="0.2">
      <c r="A275" s="310">
        <v>15443</v>
      </c>
      <c r="B275" s="311" t="s">
        <v>3</v>
      </c>
      <c r="C275" s="310" t="s">
        <v>4</v>
      </c>
    </row>
    <row r="276" spans="1:3" ht="15" x14ac:dyDescent="0.2">
      <c r="A276" s="310">
        <v>15444</v>
      </c>
      <c r="B276" s="311" t="s">
        <v>3</v>
      </c>
      <c r="C276" s="310" t="s">
        <v>4</v>
      </c>
    </row>
    <row r="277" spans="1:3" ht="15" x14ac:dyDescent="0.2">
      <c r="A277" s="310">
        <v>15445</v>
      </c>
      <c r="B277" s="311" t="s">
        <v>3</v>
      </c>
      <c r="C277" s="310" t="s">
        <v>4</v>
      </c>
    </row>
    <row r="278" spans="1:3" ht="15" x14ac:dyDescent="0.2">
      <c r="A278" s="310">
        <v>15446</v>
      </c>
      <c r="B278" s="311" t="s">
        <v>3</v>
      </c>
      <c r="C278" s="310" t="s">
        <v>4</v>
      </c>
    </row>
    <row r="279" spans="1:3" ht="15" x14ac:dyDescent="0.2">
      <c r="A279" s="310">
        <v>15447</v>
      </c>
      <c r="B279" s="311" t="s">
        <v>3</v>
      </c>
      <c r="C279" s="310" t="s">
        <v>4</v>
      </c>
    </row>
    <row r="280" spans="1:3" ht="15" x14ac:dyDescent="0.2">
      <c r="A280" s="310">
        <v>15448</v>
      </c>
      <c r="B280" s="311" t="s">
        <v>3</v>
      </c>
      <c r="C280" s="310" t="s">
        <v>4</v>
      </c>
    </row>
    <row r="281" spans="1:3" ht="15" x14ac:dyDescent="0.2">
      <c r="A281" s="310">
        <v>15449</v>
      </c>
      <c r="B281" s="311" t="s">
        <v>3</v>
      </c>
      <c r="C281" s="310" t="s">
        <v>4</v>
      </c>
    </row>
    <row r="282" spans="1:3" ht="15" x14ac:dyDescent="0.2">
      <c r="A282" s="310">
        <v>15450</v>
      </c>
      <c r="B282" s="311" t="s">
        <v>3</v>
      </c>
      <c r="C282" s="310" t="s">
        <v>4</v>
      </c>
    </row>
    <row r="283" spans="1:3" ht="15" x14ac:dyDescent="0.2">
      <c r="A283" s="310">
        <v>15451</v>
      </c>
      <c r="B283" s="311" t="s">
        <v>3</v>
      </c>
      <c r="C283" s="310" t="s">
        <v>4</v>
      </c>
    </row>
    <row r="284" spans="1:3" ht="15" x14ac:dyDescent="0.2">
      <c r="A284" s="310">
        <v>15454</v>
      </c>
      <c r="B284" s="311" t="s">
        <v>3</v>
      </c>
      <c r="C284" s="310" t="s">
        <v>4</v>
      </c>
    </row>
    <row r="285" spans="1:3" ht="15" x14ac:dyDescent="0.2">
      <c r="A285" s="310">
        <v>15455</v>
      </c>
      <c r="B285" s="311" t="s">
        <v>3</v>
      </c>
      <c r="C285" s="310" t="s">
        <v>4</v>
      </c>
    </row>
    <row r="286" spans="1:3" ht="15" x14ac:dyDescent="0.2">
      <c r="A286" s="310">
        <v>15456</v>
      </c>
      <c r="B286" s="311" t="s">
        <v>3</v>
      </c>
      <c r="C286" s="310" t="s">
        <v>4</v>
      </c>
    </row>
    <row r="287" spans="1:3" ht="15" x14ac:dyDescent="0.2">
      <c r="A287" s="310">
        <v>15458</v>
      </c>
      <c r="B287" s="311" t="s">
        <v>3</v>
      </c>
      <c r="C287" s="310" t="s">
        <v>4</v>
      </c>
    </row>
    <row r="288" spans="1:3" ht="15" x14ac:dyDescent="0.2">
      <c r="A288" s="310">
        <v>15459</v>
      </c>
      <c r="B288" s="311" t="s">
        <v>3</v>
      </c>
      <c r="C288" s="310" t="s">
        <v>4</v>
      </c>
    </row>
    <row r="289" spans="1:3" ht="15" x14ac:dyDescent="0.2">
      <c r="A289" s="310">
        <v>15460</v>
      </c>
      <c r="B289" s="311" t="s">
        <v>3</v>
      </c>
      <c r="C289" s="310" t="s">
        <v>4</v>
      </c>
    </row>
    <row r="290" spans="1:3" ht="15" x14ac:dyDescent="0.2">
      <c r="A290" s="310">
        <v>15461</v>
      </c>
      <c r="B290" s="311" t="s">
        <v>3</v>
      </c>
      <c r="C290" s="310" t="s">
        <v>4</v>
      </c>
    </row>
    <row r="291" spans="1:3" ht="15" x14ac:dyDescent="0.2">
      <c r="A291" s="310">
        <v>15462</v>
      </c>
      <c r="B291" s="311" t="s">
        <v>3</v>
      </c>
      <c r="C291" s="310" t="s">
        <v>4</v>
      </c>
    </row>
    <row r="292" spans="1:3" ht="15" x14ac:dyDescent="0.2">
      <c r="A292" s="310">
        <v>15463</v>
      </c>
      <c r="B292" s="311" t="s">
        <v>3</v>
      </c>
      <c r="C292" s="310" t="s">
        <v>4</v>
      </c>
    </row>
    <row r="293" spans="1:3" ht="15" x14ac:dyDescent="0.2">
      <c r="A293" s="310">
        <v>15464</v>
      </c>
      <c r="B293" s="311" t="s">
        <v>3</v>
      </c>
      <c r="C293" s="310" t="s">
        <v>4</v>
      </c>
    </row>
    <row r="294" spans="1:3" ht="15" x14ac:dyDescent="0.2">
      <c r="A294" s="310">
        <v>15465</v>
      </c>
      <c r="B294" s="311" t="s">
        <v>3</v>
      </c>
      <c r="C294" s="310" t="s">
        <v>4</v>
      </c>
    </row>
    <row r="295" spans="1:3" ht="15" x14ac:dyDescent="0.2">
      <c r="A295" s="310">
        <v>15466</v>
      </c>
      <c r="B295" s="311" t="s">
        <v>3</v>
      </c>
      <c r="C295" s="310" t="s">
        <v>4</v>
      </c>
    </row>
    <row r="296" spans="1:3" ht="15" x14ac:dyDescent="0.2">
      <c r="A296" s="310">
        <v>15467</v>
      </c>
      <c r="B296" s="311" t="s">
        <v>3</v>
      </c>
      <c r="C296" s="310" t="s">
        <v>4</v>
      </c>
    </row>
    <row r="297" spans="1:3" ht="15" x14ac:dyDescent="0.2">
      <c r="A297" s="310">
        <v>15468</v>
      </c>
      <c r="B297" s="311" t="s">
        <v>3</v>
      </c>
      <c r="C297" s="310" t="s">
        <v>4</v>
      </c>
    </row>
    <row r="298" spans="1:3" ht="15" x14ac:dyDescent="0.2">
      <c r="A298" s="310">
        <v>15469</v>
      </c>
      <c r="B298" s="311" t="s">
        <v>3</v>
      </c>
      <c r="C298" s="310" t="s">
        <v>4</v>
      </c>
    </row>
    <row r="299" spans="1:3" ht="15" x14ac:dyDescent="0.2">
      <c r="A299" s="310">
        <v>15470</v>
      </c>
      <c r="B299" s="311" t="s">
        <v>3</v>
      </c>
      <c r="C299" s="310" t="s">
        <v>4</v>
      </c>
    </row>
    <row r="300" spans="1:3" ht="15" x14ac:dyDescent="0.2">
      <c r="A300" s="310">
        <v>15472</v>
      </c>
      <c r="B300" s="311" t="s">
        <v>3</v>
      </c>
      <c r="C300" s="310" t="s">
        <v>4</v>
      </c>
    </row>
    <row r="301" spans="1:3" ht="15" x14ac:dyDescent="0.2">
      <c r="A301" s="310">
        <v>15473</v>
      </c>
      <c r="B301" s="311" t="s">
        <v>3</v>
      </c>
      <c r="C301" s="310" t="s">
        <v>4</v>
      </c>
    </row>
    <row r="302" spans="1:3" ht="15" x14ac:dyDescent="0.2">
      <c r="A302" s="310">
        <v>15474</v>
      </c>
      <c r="B302" s="311" t="s">
        <v>3</v>
      </c>
      <c r="C302" s="310" t="s">
        <v>4</v>
      </c>
    </row>
    <row r="303" spans="1:3" ht="15" x14ac:dyDescent="0.2">
      <c r="A303" s="310">
        <v>15475</v>
      </c>
      <c r="B303" s="311" t="s">
        <v>3</v>
      </c>
      <c r="C303" s="310" t="s">
        <v>4</v>
      </c>
    </row>
    <row r="304" spans="1:3" ht="15" x14ac:dyDescent="0.2">
      <c r="A304" s="310">
        <v>15476</v>
      </c>
      <c r="B304" s="311" t="s">
        <v>3</v>
      </c>
      <c r="C304" s="310" t="s">
        <v>4</v>
      </c>
    </row>
    <row r="305" spans="1:3" ht="15" x14ac:dyDescent="0.2">
      <c r="A305" s="310">
        <v>15477</v>
      </c>
      <c r="B305" s="311" t="s">
        <v>3</v>
      </c>
      <c r="C305" s="310" t="s">
        <v>4</v>
      </c>
    </row>
    <row r="306" spans="1:3" ht="15" x14ac:dyDescent="0.2">
      <c r="A306" s="310">
        <v>15478</v>
      </c>
      <c r="B306" s="311" t="s">
        <v>3</v>
      </c>
      <c r="C306" s="310" t="s">
        <v>4</v>
      </c>
    </row>
    <row r="307" spans="1:3" ht="15" x14ac:dyDescent="0.2">
      <c r="A307" s="310">
        <v>15479</v>
      </c>
      <c r="B307" s="311" t="s">
        <v>3</v>
      </c>
      <c r="C307" s="310" t="s">
        <v>4</v>
      </c>
    </row>
    <row r="308" spans="1:3" ht="15" x14ac:dyDescent="0.2">
      <c r="A308" s="310">
        <v>15480</v>
      </c>
      <c r="B308" s="311" t="s">
        <v>3</v>
      </c>
      <c r="C308" s="310" t="s">
        <v>4</v>
      </c>
    </row>
    <row r="309" spans="1:3" ht="15" x14ac:dyDescent="0.2">
      <c r="A309" s="310">
        <v>15482</v>
      </c>
      <c r="B309" s="311" t="s">
        <v>3</v>
      </c>
      <c r="C309" s="310" t="s">
        <v>4</v>
      </c>
    </row>
    <row r="310" spans="1:3" ht="15" x14ac:dyDescent="0.2">
      <c r="A310" s="310">
        <v>15483</v>
      </c>
      <c r="B310" s="311" t="s">
        <v>3</v>
      </c>
      <c r="C310" s="310" t="s">
        <v>4</v>
      </c>
    </row>
    <row r="311" spans="1:3" ht="15" x14ac:dyDescent="0.2">
      <c r="A311" s="310">
        <v>15484</v>
      </c>
      <c r="B311" s="311" t="s">
        <v>3</v>
      </c>
      <c r="C311" s="310" t="s">
        <v>4</v>
      </c>
    </row>
    <row r="312" spans="1:3" ht="15" x14ac:dyDescent="0.2">
      <c r="A312" s="310">
        <v>15485</v>
      </c>
      <c r="B312" s="311" t="s">
        <v>3</v>
      </c>
      <c r="C312" s="310" t="s">
        <v>4</v>
      </c>
    </row>
    <row r="313" spans="1:3" ht="15" x14ac:dyDescent="0.2">
      <c r="A313" s="310">
        <v>15486</v>
      </c>
      <c r="B313" s="311" t="s">
        <v>3</v>
      </c>
      <c r="C313" s="310" t="s">
        <v>4</v>
      </c>
    </row>
    <row r="314" spans="1:3" ht="15" x14ac:dyDescent="0.2">
      <c r="A314" s="310">
        <v>15488</v>
      </c>
      <c r="B314" s="311" t="s">
        <v>3</v>
      </c>
      <c r="C314" s="310" t="s">
        <v>4</v>
      </c>
    </row>
    <row r="315" spans="1:3" ht="15" x14ac:dyDescent="0.2">
      <c r="A315" s="310">
        <v>15489</v>
      </c>
      <c r="B315" s="311" t="s">
        <v>3</v>
      </c>
      <c r="C315" s="310" t="s">
        <v>4</v>
      </c>
    </row>
    <row r="316" spans="1:3" ht="15" x14ac:dyDescent="0.2">
      <c r="A316" s="310">
        <v>15490</v>
      </c>
      <c r="B316" s="311" t="s">
        <v>3</v>
      </c>
      <c r="C316" s="310" t="s">
        <v>4</v>
      </c>
    </row>
    <row r="317" spans="1:3" ht="15" x14ac:dyDescent="0.2">
      <c r="A317" s="310">
        <v>15492</v>
      </c>
      <c r="B317" s="311" t="s">
        <v>3</v>
      </c>
      <c r="C317" s="310" t="s">
        <v>4</v>
      </c>
    </row>
    <row r="318" spans="1:3" ht="15" x14ac:dyDescent="0.2">
      <c r="A318" s="310">
        <v>15501</v>
      </c>
      <c r="B318" s="311" t="s">
        <v>3</v>
      </c>
      <c r="C318" s="310" t="s">
        <v>4</v>
      </c>
    </row>
    <row r="319" spans="1:3" ht="15" x14ac:dyDescent="0.2">
      <c r="A319" s="310">
        <v>15502</v>
      </c>
      <c r="B319" s="311" t="s">
        <v>3</v>
      </c>
      <c r="C319" s="310" t="s">
        <v>4</v>
      </c>
    </row>
    <row r="320" spans="1:3" ht="15" x14ac:dyDescent="0.2">
      <c r="A320" s="310">
        <v>15510</v>
      </c>
      <c r="B320" s="311" t="s">
        <v>3</v>
      </c>
      <c r="C320" s="310" t="s">
        <v>4</v>
      </c>
    </row>
    <row r="321" spans="1:3" ht="15" x14ac:dyDescent="0.2">
      <c r="A321" s="310">
        <v>15520</v>
      </c>
      <c r="B321" s="311" t="s">
        <v>3</v>
      </c>
      <c r="C321" s="310" t="s">
        <v>4</v>
      </c>
    </row>
    <row r="322" spans="1:3" ht="15" x14ac:dyDescent="0.2">
      <c r="A322" s="310">
        <v>15521</v>
      </c>
      <c r="B322" s="311" t="s">
        <v>3</v>
      </c>
      <c r="C322" s="310" t="s">
        <v>4</v>
      </c>
    </row>
    <row r="323" spans="1:3" ht="15" x14ac:dyDescent="0.2">
      <c r="A323" s="310">
        <v>15522</v>
      </c>
      <c r="B323" s="311" t="s">
        <v>3</v>
      </c>
      <c r="C323" s="310" t="s">
        <v>4</v>
      </c>
    </row>
    <row r="324" spans="1:3" ht="15" x14ac:dyDescent="0.2">
      <c r="A324" s="310">
        <v>15530</v>
      </c>
      <c r="B324" s="311" t="s">
        <v>3</v>
      </c>
      <c r="C324" s="310" t="s">
        <v>4</v>
      </c>
    </row>
    <row r="325" spans="1:3" ht="15" x14ac:dyDescent="0.2">
      <c r="A325" s="310">
        <v>15531</v>
      </c>
      <c r="B325" s="311" t="s">
        <v>3</v>
      </c>
      <c r="C325" s="310" t="s">
        <v>4</v>
      </c>
    </row>
    <row r="326" spans="1:3" ht="15" x14ac:dyDescent="0.2">
      <c r="A326" s="310">
        <v>15532</v>
      </c>
      <c r="B326" s="311" t="s">
        <v>3</v>
      </c>
      <c r="C326" s="310" t="s">
        <v>4</v>
      </c>
    </row>
    <row r="327" spans="1:3" ht="15" x14ac:dyDescent="0.2">
      <c r="A327" s="310">
        <v>15533</v>
      </c>
      <c r="B327" s="311" t="s">
        <v>3</v>
      </c>
      <c r="C327" s="310" t="s">
        <v>4</v>
      </c>
    </row>
    <row r="328" spans="1:3" ht="15" x14ac:dyDescent="0.2">
      <c r="A328" s="310">
        <v>15534</v>
      </c>
      <c r="B328" s="311" t="s">
        <v>3</v>
      </c>
      <c r="C328" s="310" t="s">
        <v>4</v>
      </c>
    </row>
    <row r="329" spans="1:3" ht="15" x14ac:dyDescent="0.2">
      <c r="A329" s="310">
        <v>15535</v>
      </c>
      <c r="B329" s="311" t="s">
        <v>3</v>
      </c>
      <c r="C329" s="310" t="s">
        <v>4</v>
      </c>
    </row>
    <row r="330" spans="1:3" ht="15" x14ac:dyDescent="0.2">
      <c r="A330" s="310">
        <v>15536</v>
      </c>
      <c r="B330" s="311" t="s">
        <v>5</v>
      </c>
      <c r="C330" s="310" t="s">
        <v>6</v>
      </c>
    </row>
    <row r="331" spans="1:3" ht="15" x14ac:dyDescent="0.2">
      <c r="A331" s="310">
        <v>15537</v>
      </c>
      <c r="B331" s="311" t="s">
        <v>3</v>
      </c>
      <c r="C331" s="310" t="s">
        <v>4</v>
      </c>
    </row>
    <row r="332" spans="1:3" ht="15" x14ac:dyDescent="0.2">
      <c r="A332" s="310">
        <v>15538</v>
      </c>
      <c r="B332" s="311" t="s">
        <v>3</v>
      </c>
      <c r="C332" s="310" t="s">
        <v>4</v>
      </c>
    </row>
    <row r="333" spans="1:3" ht="15" x14ac:dyDescent="0.2">
      <c r="A333" s="310">
        <v>15539</v>
      </c>
      <c r="B333" s="311" t="s">
        <v>3</v>
      </c>
      <c r="C333" s="310" t="s">
        <v>4</v>
      </c>
    </row>
    <row r="334" spans="1:3" ht="15" x14ac:dyDescent="0.2">
      <c r="A334" s="310">
        <v>15540</v>
      </c>
      <c r="B334" s="311" t="s">
        <v>3</v>
      </c>
      <c r="C334" s="310" t="s">
        <v>4</v>
      </c>
    </row>
    <row r="335" spans="1:3" ht="15" x14ac:dyDescent="0.2">
      <c r="A335" s="310">
        <v>15541</v>
      </c>
      <c r="B335" s="311" t="s">
        <v>3</v>
      </c>
      <c r="C335" s="310" t="s">
        <v>4</v>
      </c>
    </row>
    <row r="336" spans="1:3" ht="15" x14ac:dyDescent="0.2">
      <c r="A336" s="310">
        <v>15542</v>
      </c>
      <c r="B336" s="311" t="s">
        <v>3</v>
      </c>
      <c r="C336" s="310" t="s">
        <v>4</v>
      </c>
    </row>
    <row r="337" spans="1:3" ht="15" x14ac:dyDescent="0.2">
      <c r="A337" s="310">
        <v>15544</v>
      </c>
      <c r="B337" s="311" t="s">
        <v>3</v>
      </c>
      <c r="C337" s="310" t="s">
        <v>4</v>
      </c>
    </row>
    <row r="338" spans="1:3" ht="15" x14ac:dyDescent="0.2">
      <c r="A338" s="310">
        <v>15545</v>
      </c>
      <c r="B338" s="311" t="s">
        <v>3</v>
      </c>
      <c r="C338" s="310" t="s">
        <v>4</v>
      </c>
    </row>
    <row r="339" spans="1:3" ht="15" x14ac:dyDescent="0.2">
      <c r="A339" s="310">
        <v>15546</v>
      </c>
      <c r="B339" s="311" t="s">
        <v>3</v>
      </c>
      <c r="C339" s="310" t="s">
        <v>4</v>
      </c>
    </row>
    <row r="340" spans="1:3" ht="15" x14ac:dyDescent="0.2">
      <c r="A340" s="310">
        <v>15547</v>
      </c>
      <c r="B340" s="311" t="s">
        <v>3</v>
      </c>
      <c r="C340" s="310" t="s">
        <v>4</v>
      </c>
    </row>
    <row r="341" spans="1:3" ht="15" x14ac:dyDescent="0.2">
      <c r="A341" s="310">
        <v>15548</v>
      </c>
      <c r="B341" s="311" t="s">
        <v>3</v>
      </c>
      <c r="C341" s="310" t="s">
        <v>4</v>
      </c>
    </row>
    <row r="342" spans="1:3" ht="15" x14ac:dyDescent="0.2">
      <c r="A342" s="310">
        <v>15549</v>
      </c>
      <c r="B342" s="311" t="s">
        <v>3</v>
      </c>
      <c r="C342" s="310" t="s">
        <v>4</v>
      </c>
    </row>
    <row r="343" spans="1:3" ht="15" x14ac:dyDescent="0.2">
      <c r="A343" s="310">
        <v>15550</v>
      </c>
      <c r="B343" s="311" t="s">
        <v>3</v>
      </c>
      <c r="C343" s="310" t="s">
        <v>4</v>
      </c>
    </row>
    <row r="344" spans="1:3" ht="15" x14ac:dyDescent="0.2">
      <c r="A344" s="310">
        <v>15551</v>
      </c>
      <c r="B344" s="311" t="s">
        <v>3</v>
      </c>
      <c r="C344" s="310" t="s">
        <v>4</v>
      </c>
    </row>
    <row r="345" spans="1:3" ht="15" x14ac:dyDescent="0.2">
      <c r="A345" s="310">
        <v>15552</v>
      </c>
      <c r="B345" s="311" t="s">
        <v>3</v>
      </c>
      <c r="C345" s="310" t="s">
        <v>4</v>
      </c>
    </row>
    <row r="346" spans="1:3" ht="15" x14ac:dyDescent="0.2">
      <c r="A346" s="310">
        <v>15553</v>
      </c>
      <c r="B346" s="311" t="s">
        <v>3</v>
      </c>
      <c r="C346" s="310" t="s">
        <v>4</v>
      </c>
    </row>
    <row r="347" spans="1:3" ht="15" x14ac:dyDescent="0.2">
      <c r="A347" s="310">
        <v>15554</v>
      </c>
      <c r="B347" s="311" t="s">
        <v>3</v>
      </c>
      <c r="C347" s="310" t="s">
        <v>4</v>
      </c>
    </row>
    <row r="348" spans="1:3" ht="15" x14ac:dyDescent="0.2">
      <c r="A348" s="310">
        <v>15555</v>
      </c>
      <c r="B348" s="311" t="s">
        <v>3</v>
      </c>
      <c r="C348" s="310" t="s">
        <v>4</v>
      </c>
    </row>
    <row r="349" spans="1:3" ht="15" x14ac:dyDescent="0.2">
      <c r="A349" s="310">
        <v>15557</v>
      </c>
      <c r="B349" s="311" t="s">
        <v>3</v>
      </c>
      <c r="C349" s="310" t="s">
        <v>4</v>
      </c>
    </row>
    <row r="350" spans="1:3" ht="15" x14ac:dyDescent="0.2">
      <c r="A350" s="310">
        <v>15558</v>
      </c>
      <c r="B350" s="311" t="s">
        <v>3</v>
      </c>
      <c r="C350" s="310" t="s">
        <v>4</v>
      </c>
    </row>
    <row r="351" spans="1:3" ht="15" x14ac:dyDescent="0.2">
      <c r="A351" s="310">
        <v>15559</v>
      </c>
      <c r="B351" s="311" t="s">
        <v>3</v>
      </c>
      <c r="C351" s="310" t="s">
        <v>4</v>
      </c>
    </row>
    <row r="352" spans="1:3" ht="15" x14ac:dyDescent="0.2">
      <c r="A352" s="310">
        <v>15560</v>
      </c>
      <c r="B352" s="311" t="s">
        <v>3</v>
      </c>
      <c r="C352" s="310" t="s">
        <v>4</v>
      </c>
    </row>
    <row r="353" spans="1:3" ht="15" x14ac:dyDescent="0.2">
      <c r="A353" s="310">
        <v>15561</v>
      </c>
      <c r="B353" s="311" t="s">
        <v>3</v>
      </c>
      <c r="C353" s="310" t="s">
        <v>4</v>
      </c>
    </row>
    <row r="354" spans="1:3" ht="15" x14ac:dyDescent="0.2">
      <c r="A354" s="310">
        <v>15562</v>
      </c>
      <c r="B354" s="311" t="s">
        <v>3</v>
      </c>
      <c r="C354" s="310" t="s">
        <v>4</v>
      </c>
    </row>
    <row r="355" spans="1:3" ht="15" x14ac:dyDescent="0.2">
      <c r="A355" s="310">
        <v>15563</v>
      </c>
      <c r="B355" s="311" t="s">
        <v>3</v>
      </c>
      <c r="C355" s="310" t="s">
        <v>4</v>
      </c>
    </row>
    <row r="356" spans="1:3" ht="15" x14ac:dyDescent="0.2">
      <c r="A356" s="310">
        <v>15564</v>
      </c>
      <c r="B356" s="311" t="s">
        <v>3</v>
      </c>
      <c r="C356" s="310" t="s">
        <v>4</v>
      </c>
    </row>
    <row r="357" spans="1:3" ht="15" x14ac:dyDescent="0.2">
      <c r="A357" s="310">
        <v>15565</v>
      </c>
      <c r="B357" s="311" t="s">
        <v>3</v>
      </c>
      <c r="C357" s="310" t="s">
        <v>4</v>
      </c>
    </row>
    <row r="358" spans="1:3" ht="15" x14ac:dyDescent="0.2">
      <c r="A358" s="310">
        <v>15601</v>
      </c>
      <c r="B358" s="311" t="s">
        <v>3</v>
      </c>
      <c r="C358" s="310" t="s">
        <v>4</v>
      </c>
    </row>
    <row r="359" spans="1:3" ht="15" x14ac:dyDescent="0.2">
      <c r="A359" s="310">
        <v>15605</v>
      </c>
      <c r="B359" s="311" t="s">
        <v>3</v>
      </c>
      <c r="C359" s="310" t="s">
        <v>4</v>
      </c>
    </row>
    <row r="360" spans="1:3" ht="15" x14ac:dyDescent="0.2">
      <c r="A360" s="310">
        <v>15606</v>
      </c>
      <c r="B360" s="311" t="s">
        <v>3</v>
      </c>
      <c r="C360" s="310" t="s">
        <v>4</v>
      </c>
    </row>
    <row r="361" spans="1:3" ht="15" x14ac:dyDescent="0.2">
      <c r="A361" s="310">
        <v>15610</v>
      </c>
      <c r="B361" s="311" t="s">
        <v>3</v>
      </c>
      <c r="C361" s="310" t="s">
        <v>4</v>
      </c>
    </row>
    <row r="362" spans="1:3" ht="15" x14ac:dyDescent="0.2">
      <c r="A362" s="310">
        <v>15611</v>
      </c>
      <c r="B362" s="311" t="s">
        <v>3</v>
      </c>
      <c r="C362" s="310" t="s">
        <v>4</v>
      </c>
    </row>
    <row r="363" spans="1:3" ht="15" x14ac:dyDescent="0.2">
      <c r="A363" s="310">
        <v>15612</v>
      </c>
      <c r="B363" s="311" t="s">
        <v>3</v>
      </c>
      <c r="C363" s="310" t="s">
        <v>4</v>
      </c>
    </row>
    <row r="364" spans="1:3" ht="15" x14ac:dyDescent="0.2">
      <c r="A364" s="310">
        <v>15613</v>
      </c>
      <c r="B364" s="311" t="s">
        <v>3</v>
      </c>
      <c r="C364" s="310" t="s">
        <v>4</v>
      </c>
    </row>
    <row r="365" spans="1:3" ht="15" x14ac:dyDescent="0.2">
      <c r="A365" s="310">
        <v>15615</v>
      </c>
      <c r="B365" s="311" t="s">
        <v>3</v>
      </c>
      <c r="C365" s="310" t="s">
        <v>4</v>
      </c>
    </row>
    <row r="366" spans="1:3" ht="15" x14ac:dyDescent="0.2">
      <c r="A366" s="310">
        <v>15616</v>
      </c>
      <c r="B366" s="311" t="s">
        <v>3</v>
      </c>
      <c r="C366" s="310" t="s">
        <v>4</v>
      </c>
    </row>
    <row r="367" spans="1:3" ht="15" x14ac:dyDescent="0.2">
      <c r="A367" s="310">
        <v>15617</v>
      </c>
      <c r="B367" s="311" t="s">
        <v>3</v>
      </c>
      <c r="C367" s="310" t="s">
        <v>4</v>
      </c>
    </row>
    <row r="368" spans="1:3" ht="15" x14ac:dyDescent="0.2">
      <c r="A368" s="310">
        <v>15618</v>
      </c>
      <c r="B368" s="311" t="s">
        <v>3</v>
      </c>
      <c r="C368" s="310" t="s">
        <v>4</v>
      </c>
    </row>
    <row r="369" spans="1:3" ht="15" x14ac:dyDescent="0.2">
      <c r="A369" s="310">
        <v>15619</v>
      </c>
      <c r="B369" s="311" t="s">
        <v>3</v>
      </c>
      <c r="C369" s="310" t="s">
        <v>4</v>
      </c>
    </row>
    <row r="370" spans="1:3" ht="15" x14ac:dyDescent="0.2">
      <c r="A370" s="310">
        <v>15620</v>
      </c>
      <c r="B370" s="311" t="s">
        <v>3</v>
      </c>
      <c r="C370" s="310" t="s">
        <v>4</v>
      </c>
    </row>
    <row r="371" spans="1:3" ht="15" x14ac:dyDescent="0.2">
      <c r="A371" s="310">
        <v>15621</v>
      </c>
      <c r="B371" s="311" t="s">
        <v>3</v>
      </c>
      <c r="C371" s="310" t="s">
        <v>4</v>
      </c>
    </row>
    <row r="372" spans="1:3" ht="15" x14ac:dyDescent="0.2">
      <c r="A372" s="310">
        <v>15622</v>
      </c>
      <c r="B372" s="311" t="s">
        <v>3</v>
      </c>
      <c r="C372" s="310" t="s">
        <v>4</v>
      </c>
    </row>
    <row r="373" spans="1:3" ht="15" x14ac:dyDescent="0.2">
      <c r="A373" s="310">
        <v>15623</v>
      </c>
      <c r="B373" s="311" t="s">
        <v>3</v>
      </c>
      <c r="C373" s="310" t="s">
        <v>4</v>
      </c>
    </row>
    <row r="374" spans="1:3" ht="15" x14ac:dyDescent="0.2">
      <c r="A374" s="310">
        <v>15624</v>
      </c>
      <c r="B374" s="311" t="s">
        <v>3</v>
      </c>
      <c r="C374" s="310" t="s">
        <v>4</v>
      </c>
    </row>
    <row r="375" spans="1:3" ht="15" x14ac:dyDescent="0.2">
      <c r="A375" s="310">
        <v>15625</v>
      </c>
      <c r="B375" s="311" t="s">
        <v>3</v>
      </c>
      <c r="C375" s="310" t="s">
        <v>4</v>
      </c>
    </row>
    <row r="376" spans="1:3" ht="15" x14ac:dyDescent="0.2">
      <c r="A376" s="310">
        <v>15626</v>
      </c>
      <c r="B376" s="311" t="s">
        <v>3</v>
      </c>
      <c r="C376" s="310" t="s">
        <v>4</v>
      </c>
    </row>
    <row r="377" spans="1:3" ht="15" x14ac:dyDescent="0.2">
      <c r="A377" s="310">
        <v>15627</v>
      </c>
      <c r="B377" s="311" t="s">
        <v>3</v>
      </c>
      <c r="C377" s="310" t="s">
        <v>4</v>
      </c>
    </row>
    <row r="378" spans="1:3" ht="15" x14ac:dyDescent="0.2">
      <c r="A378" s="310">
        <v>15628</v>
      </c>
      <c r="B378" s="311" t="s">
        <v>3</v>
      </c>
      <c r="C378" s="310" t="s">
        <v>4</v>
      </c>
    </row>
    <row r="379" spans="1:3" ht="15" x14ac:dyDescent="0.2">
      <c r="A379" s="310">
        <v>15629</v>
      </c>
      <c r="B379" s="311" t="s">
        <v>3</v>
      </c>
      <c r="C379" s="310" t="s">
        <v>4</v>
      </c>
    </row>
    <row r="380" spans="1:3" ht="15" x14ac:dyDescent="0.2">
      <c r="A380" s="310">
        <v>15631</v>
      </c>
      <c r="B380" s="311" t="s">
        <v>3</v>
      </c>
      <c r="C380" s="310" t="s">
        <v>4</v>
      </c>
    </row>
    <row r="381" spans="1:3" ht="15" x14ac:dyDescent="0.2">
      <c r="A381" s="310">
        <v>15632</v>
      </c>
      <c r="B381" s="311" t="s">
        <v>3</v>
      </c>
      <c r="C381" s="310" t="s">
        <v>4</v>
      </c>
    </row>
    <row r="382" spans="1:3" ht="15" x14ac:dyDescent="0.2">
      <c r="A382" s="310">
        <v>15633</v>
      </c>
      <c r="B382" s="311" t="s">
        <v>3</v>
      </c>
      <c r="C382" s="310" t="s">
        <v>4</v>
      </c>
    </row>
    <row r="383" spans="1:3" ht="15" x14ac:dyDescent="0.2">
      <c r="A383" s="310">
        <v>15634</v>
      </c>
      <c r="B383" s="311" t="s">
        <v>3</v>
      </c>
      <c r="C383" s="310" t="s">
        <v>4</v>
      </c>
    </row>
    <row r="384" spans="1:3" ht="15" x14ac:dyDescent="0.2">
      <c r="A384" s="310">
        <v>15635</v>
      </c>
      <c r="B384" s="311" t="s">
        <v>3</v>
      </c>
      <c r="C384" s="310" t="s">
        <v>4</v>
      </c>
    </row>
    <row r="385" spans="1:3" ht="15" x14ac:dyDescent="0.2">
      <c r="A385" s="310">
        <v>15636</v>
      </c>
      <c r="B385" s="311" t="s">
        <v>3</v>
      </c>
      <c r="C385" s="310" t="s">
        <v>4</v>
      </c>
    </row>
    <row r="386" spans="1:3" ht="15" x14ac:dyDescent="0.2">
      <c r="A386" s="310">
        <v>15637</v>
      </c>
      <c r="B386" s="311" t="s">
        <v>3</v>
      </c>
      <c r="C386" s="310" t="s">
        <v>4</v>
      </c>
    </row>
    <row r="387" spans="1:3" ht="15" x14ac:dyDescent="0.2">
      <c r="A387" s="310">
        <v>15638</v>
      </c>
      <c r="B387" s="311" t="s">
        <v>3</v>
      </c>
      <c r="C387" s="310" t="s">
        <v>4</v>
      </c>
    </row>
    <row r="388" spans="1:3" ht="15" x14ac:dyDescent="0.2">
      <c r="A388" s="310">
        <v>15639</v>
      </c>
      <c r="B388" s="311" t="s">
        <v>3</v>
      </c>
      <c r="C388" s="310" t="s">
        <v>4</v>
      </c>
    </row>
    <row r="389" spans="1:3" ht="15" x14ac:dyDescent="0.2">
      <c r="A389" s="310">
        <v>15640</v>
      </c>
      <c r="B389" s="311" t="s">
        <v>3</v>
      </c>
      <c r="C389" s="310" t="s">
        <v>4</v>
      </c>
    </row>
    <row r="390" spans="1:3" ht="15" x14ac:dyDescent="0.2">
      <c r="A390" s="310">
        <v>15641</v>
      </c>
      <c r="B390" s="311" t="s">
        <v>3</v>
      </c>
      <c r="C390" s="310" t="s">
        <v>4</v>
      </c>
    </row>
    <row r="391" spans="1:3" ht="15" x14ac:dyDescent="0.2">
      <c r="A391" s="310">
        <v>15642</v>
      </c>
      <c r="B391" s="311" t="s">
        <v>3</v>
      </c>
      <c r="C391" s="310" t="s">
        <v>4</v>
      </c>
    </row>
    <row r="392" spans="1:3" ht="15" x14ac:dyDescent="0.2">
      <c r="A392" s="310">
        <v>15644</v>
      </c>
      <c r="B392" s="311" t="s">
        <v>3</v>
      </c>
      <c r="C392" s="310" t="s">
        <v>4</v>
      </c>
    </row>
    <row r="393" spans="1:3" ht="15" x14ac:dyDescent="0.2">
      <c r="A393" s="310">
        <v>15646</v>
      </c>
      <c r="B393" s="311" t="s">
        <v>3</v>
      </c>
      <c r="C393" s="310" t="s">
        <v>4</v>
      </c>
    </row>
    <row r="394" spans="1:3" ht="15" x14ac:dyDescent="0.2">
      <c r="A394" s="310">
        <v>15647</v>
      </c>
      <c r="B394" s="311" t="s">
        <v>3</v>
      </c>
      <c r="C394" s="310" t="s">
        <v>4</v>
      </c>
    </row>
    <row r="395" spans="1:3" ht="15" x14ac:dyDescent="0.2">
      <c r="A395" s="310">
        <v>15650</v>
      </c>
      <c r="B395" s="311" t="s">
        <v>3</v>
      </c>
      <c r="C395" s="310" t="s">
        <v>4</v>
      </c>
    </row>
    <row r="396" spans="1:3" ht="15" x14ac:dyDescent="0.2">
      <c r="A396" s="310">
        <v>15655</v>
      </c>
      <c r="B396" s="311" t="s">
        <v>3</v>
      </c>
      <c r="C396" s="310" t="s">
        <v>4</v>
      </c>
    </row>
    <row r="397" spans="1:3" ht="15" x14ac:dyDescent="0.2">
      <c r="A397" s="310">
        <v>15656</v>
      </c>
      <c r="B397" s="311" t="s">
        <v>3</v>
      </c>
      <c r="C397" s="310" t="s">
        <v>4</v>
      </c>
    </row>
    <row r="398" spans="1:3" ht="15" x14ac:dyDescent="0.2">
      <c r="A398" s="310">
        <v>15658</v>
      </c>
      <c r="B398" s="311" t="s">
        <v>3</v>
      </c>
      <c r="C398" s="310" t="s">
        <v>4</v>
      </c>
    </row>
    <row r="399" spans="1:3" ht="15" x14ac:dyDescent="0.2">
      <c r="A399" s="310">
        <v>15660</v>
      </c>
      <c r="B399" s="311" t="s">
        <v>3</v>
      </c>
      <c r="C399" s="310" t="s">
        <v>4</v>
      </c>
    </row>
    <row r="400" spans="1:3" ht="15" x14ac:dyDescent="0.2">
      <c r="A400" s="310">
        <v>15661</v>
      </c>
      <c r="B400" s="311" t="s">
        <v>3</v>
      </c>
      <c r="C400" s="310" t="s">
        <v>4</v>
      </c>
    </row>
    <row r="401" spans="1:3" ht="15" x14ac:dyDescent="0.2">
      <c r="A401" s="310">
        <v>15662</v>
      </c>
      <c r="B401" s="311" t="s">
        <v>3</v>
      </c>
      <c r="C401" s="310" t="s">
        <v>4</v>
      </c>
    </row>
    <row r="402" spans="1:3" ht="15" x14ac:dyDescent="0.2">
      <c r="A402" s="310">
        <v>15663</v>
      </c>
      <c r="B402" s="311" t="s">
        <v>3</v>
      </c>
      <c r="C402" s="310" t="s">
        <v>4</v>
      </c>
    </row>
    <row r="403" spans="1:3" ht="15" x14ac:dyDescent="0.2">
      <c r="A403" s="310">
        <v>15664</v>
      </c>
      <c r="B403" s="311" t="s">
        <v>3</v>
      </c>
      <c r="C403" s="310" t="s">
        <v>4</v>
      </c>
    </row>
    <row r="404" spans="1:3" ht="15" x14ac:dyDescent="0.2">
      <c r="A404" s="310">
        <v>15665</v>
      </c>
      <c r="B404" s="311" t="s">
        <v>3</v>
      </c>
      <c r="C404" s="310" t="s">
        <v>4</v>
      </c>
    </row>
    <row r="405" spans="1:3" ht="15" x14ac:dyDescent="0.2">
      <c r="A405" s="310">
        <v>15666</v>
      </c>
      <c r="B405" s="311" t="s">
        <v>3</v>
      </c>
      <c r="C405" s="310" t="s">
        <v>4</v>
      </c>
    </row>
    <row r="406" spans="1:3" ht="15" x14ac:dyDescent="0.2">
      <c r="A406" s="310">
        <v>15668</v>
      </c>
      <c r="B406" s="311" t="s">
        <v>3</v>
      </c>
      <c r="C406" s="310" t="s">
        <v>4</v>
      </c>
    </row>
    <row r="407" spans="1:3" ht="15" x14ac:dyDescent="0.2">
      <c r="A407" s="310">
        <v>15670</v>
      </c>
      <c r="B407" s="311" t="s">
        <v>3</v>
      </c>
      <c r="C407" s="310" t="s">
        <v>4</v>
      </c>
    </row>
    <row r="408" spans="1:3" ht="15" x14ac:dyDescent="0.2">
      <c r="A408" s="310">
        <v>15671</v>
      </c>
      <c r="B408" s="311" t="s">
        <v>3</v>
      </c>
      <c r="C408" s="310" t="s">
        <v>4</v>
      </c>
    </row>
    <row r="409" spans="1:3" ht="15" x14ac:dyDescent="0.2">
      <c r="A409" s="310">
        <v>15672</v>
      </c>
      <c r="B409" s="311" t="s">
        <v>3</v>
      </c>
      <c r="C409" s="310" t="s">
        <v>4</v>
      </c>
    </row>
    <row r="410" spans="1:3" ht="15" x14ac:dyDescent="0.2">
      <c r="A410" s="310">
        <v>15673</v>
      </c>
      <c r="B410" s="311" t="s">
        <v>3</v>
      </c>
      <c r="C410" s="310" t="s">
        <v>4</v>
      </c>
    </row>
    <row r="411" spans="1:3" ht="15" x14ac:dyDescent="0.2">
      <c r="A411" s="310">
        <v>15674</v>
      </c>
      <c r="B411" s="311" t="s">
        <v>3</v>
      </c>
      <c r="C411" s="310" t="s">
        <v>4</v>
      </c>
    </row>
    <row r="412" spans="1:3" ht="15" x14ac:dyDescent="0.2">
      <c r="A412" s="310">
        <v>15675</v>
      </c>
      <c r="B412" s="311" t="s">
        <v>3</v>
      </c>
      <c r="C412" s="310" t="s">
        <v>4</v>
      </c>
    </row>
    <row r="413" spans="1:3" ht="15" x14ac:dyDescent="0.2">
      <c r="A413" s="310">
        <v>15676</v>
      </c>
      <c r="B413" s="311" t="s">
        <v>3</v>
      </c>
      <c r="C413" s="310" t="s">
        <v>4</v>
      </c>
    </row>
    <row r="414" spans="1:3" ht="15" x14ac:dyDescent="0.2">
      <c r="A414" s="310">
        <v>15677</v>
      </c>
      <c r="B414" s="311" t="s">
        <v>3</v>
      </c>
      <c r="C414" s="310" t="s">
        <v>4</v>
      </c>
    </row>
    <row r="415" spans="1:3" ht="15" x14ac:dyDescent="0.2">
      <c r="A415" s="310">
        <v>15678</v>
      </c>
      <c r="B415" s="311" t="s">
        <v>3</v>
      </c>
      <c r="C415" s="310" t="s">
        <v>4</v>
      </c>
    </row>
    <row r="416" spans="1:3" ht="15" x14ac:dyDescent="0.2">
      <c r="A416" s="310">
        <v>15679</v>
      </c>
      <c r="B416" s="311" t="s">
        <v>3</v>
      </c>
      <c r="C416" s="310" t="s">
        <v>4</v>
      </c>
    </row>
    <row r="417" spans="1:3" ht="15" x14ac:dyDescent="0.2">
      <c r="A417" s="310">
        <v>15680</v>
      </c>
      <c r="B417" s="311" t="s">
        <v>3</v>
      </c>
      <c r="C417" s="310" t="s">
        <v>4</v>
      </c>
    </row>
    <row r="418" spans="1:3" ht="15" x14ac:dyDescent="0.2">
      <c r="A418" s="310">
        <v>15681</v>
      </c>
      <c r="B418" s="311" t="s">
        <v>3</v>
      </c>
      <c r="C418" s="310" t="s">
        <v>4</v>
      </c>
    </row>
    <row r="419" spans="1:3" ht="15" x14ac:dyDescent="0.2">
      <c r="A419" s="310">
        <v>15682</v>
      </c>
      <c r="B419" s="311" t="s">
        <v>3</v>
      </c>
      <c r="C419" s="310" t="s">
        <v>4</v>
      </c>
    </row>
    <row r="420" spans="1:3" ht="15" x14ac:dyDescent="0.2">
      <c r="A420" s="310">
        <v>15683</v>
      </c>
      <c r="B420" s="311" t="s">
        <v>3</v>
      </c>
      <c r="C420" s="310" t="s">
        <v>4</v>
      </c>
    </row>
    <row r="421" spans="1:3" ht="15" x14ac:dyDescent="0.2">
      <c r="A421" s="310">
        <v>15684</v>
      </c>
      <c r="B421" s="311" t="s">
        <v>3</v>
      </c>
      <c r="C421" s="310" t="s">
        <v>4</v>
      </c>
    </row>
    <row r="422" spans="1:3" ht="15" x14ac:dyDescent="0.2">
      <c r="A422" s="310">
        <v>15685</v>
      </c>
      <c r="B422" s="311" t="s">
        <v>3</v>
      </c>
      <c r="C422" s="310" t="s">
        <v>4</v>
      </c>
    </row>
    <row r="423" spans="1:3" ht="15" x14ac:dyDescent="0.2">
      <c r="A423" s="310">
        <v>15686</v>
      </c>
      <c r="B423" s="311" t="s">
        <v>3</v>
      </c>
      <c r="C423" s="310" t="s">
        <v>4</v>
      </c>
    </row>
    <row r="424" spans="1:3" ht="15" x14ac:dyDescent="0.2">
      <c r="A424" s="310">
        <v>15687</v>
      </c>
      <c r="B424" s="311" t="s">
        <v>3</v>
      </c>
      <c r="C424" s="310" t="s">
        <v>4</v>
      </c>
    </row>
    <row r="425" spans="1:3" ht="15" x14ac:dyDescent="0.2">
      <c r="A425" s="310">
        <v>15688</v>
      </c>
      <c r="B425" s="311" t="s">
        <v>3</v>
      </c>
      <c r="C425" s="310" t="s">
        <v>4</v>
      </c>
    </row>
    <row r="426" spans="1:3" ht="15" x14ac:dyDescent="0.2">
      <c r="A426" s="310">
        <v>15689</v>
      </c>
      <c r="B426" s="311" t="s">
        <v>3</v>
      </c>
      <c r="C426" s="310" t="s">
        <v>4</v>
      </c>
    </row>
    <row r="427" spans="1:3" ht="15" x14ac:dyDescent="0.2">
      <c r="A427" s="310">
        <v>15690</v>
      </c>
      <c r="B427" s="311" t="s">
        <v>3</v>
      </c>
      <c r="C427" s="310" t="s">
        <v>4</v>
      </c>
    </row>
    <row r="428" spans="1:3" ht="15" x14ac:dyDescent="0.2">
      <c r="A428" s="310">
        <v>15691</v>
      </c>
      <c r="B428" s="311" t="s">
        <v>3</v>
      </c>
      <c r="C428" s="310" t="s">
        <v>4</v>
      </c>
    </row>
    <row r="429" spans="1:3" ht="15" x14ac:dyDescent="0.2">
      <c r="A429" s="310">
        <v>15692</v>
      </c>
      <c r="B429" s="311" t="s">
        <v>3</v>
      </c>
      <c r="C429" s="310" t="s">
        <v>4</v>
      </c>
    </row>
    <row r="430" spans="1:3" ht="15" x14ac:dyDescent="0.2">
      <c r="A430" s="310">
        <v>15693</v>
      </c>
      <c r="B430" s="311" t="s">
        <v>3</v>
      </c>
      <c r="C430" s="310" t="s">
        <v>4</v>
      </c>
    </row>
    <row r="431" spans="1:3" ht="15" x14ac:dyDescent="0.2">
      <c r="A431" s="310">
        <v>15695</v>
      </c>
      <c r="B431" s="311" t="s">
        <v>3</v>
      </c>
      <c r="C431" s="310" t="s">
        <v>4</v>
      </c>
    </row>
    <row r="432" spans="1:3" ht="15" x14ac:dyDescent="0.2">
      <c r="A432" s="310">
        <v>15696</v>
      </c>
      <c r="B432" s="311" t="s">
        <v>3</v>
      </c>
      <c r="C432" s="310" t="s">
        <v>4</v>
      </c>
    </row>
    <row r="433" spans="1:3" ht="15" x14ac:dyDescent="0.2">
      <c r="A433" s="310">
        <v>15697</v>
      </c>
      <c r="B433" s="311" t="s">
        <v>3</v>
      </c>
      <c r="C433" s="310" t="s">
        <v>4</v>
      </c>
    </row>
    <row r="434" spans="1:3" ht="15" x14ac:dyDescent="0.2">
      <c r="A434" s="310">
        <v>15698</v>
      </c>
      <c r="B434" s="311" t="s">
        <v>3</v>
      </c>
      <c r="C434" s="310" t="s">
        <v>4</v>
      </c>
    </row>
    <row r="435" spans="1:3" ht="15" x14ac:dyDescent="0.2">
      <c r="A435" s="310">
        <v>15701</v>
      </c>
      <c r="B435" s="311" t="s">
        <v>3</v>
      </c>
      <c r="C435" s="310" t="s">
        <v>4</v>
      </c>
    </row>
    <row r="436" spans="1:3" ht="15" x14ac:dyDescent="0.2">
      <c r="A436" s="310">
        <v>15705</v>
      </c>
      <c r="B436" s="311" t="s">
        <v>3</v>
      </c>
      <c r="C436" s="310" t="s">
        <v>4</v>
      </c>
    </row>
    <row r="437" spans="1:3" ht="15" x14ac:dyDescent="0.2">
      <c r="A437" s="310">
        <v>15710</v>
      </c>
      <c r="B437" s="311" t="s">
        <v>3</v>
      </c>
      <c r="C437" s="310" t="s">
        <v>4</v>
      </c>
    </row>
    <row r="438" spans="1:3" ht="15" x14ac:dyDescent="0.2">
      <c r="A438" s="310">
        <v>15711</v>
      </c>
      <c r="B438" s="311" t="s">
        <v>7</v>
      </c>
      <c r="C438" s="310" t="s">
        <v>8</v>
      </c>
    </row>
    <row r="439" spans="1:3" ht="15" x14ac:dyDescent="0.2">
      <c r="A439" s="310">
        <v>15712</v>
      </c>
      <c r="B439" s="311" t="s">
        <v>3</v>
      </c>
      <c r="C439" s="310" t="s">
        <v>4</v>
      </c>
    </row>
    <row r="440" spans="1:3" ht="15" x14ac:dyDescent="0.2">
      <c r="A440" s="310">
        <v>15713</v>
      </c>
      <c r="B440" s="311" t="s">
        <v>3</v>
      </c>
      <c r="C440" s="310" t="s">
        <v>4</v>
      </c>
    </row>
    <row r="441" spans="1:3" ht="15" x14ac:dyDescent="0.2">
      <c r="A441" s="310">
        <v>15714</v>
      </c>
      <c r="B441" s="311" t="s">
        <v>3</v>
      </c>
      <c r="C441" s="310" t="s">
        <v>4</v>
      </c>
    </row>
    <row r="442" spans="1:3" ht="15" x14ac:dyDescent="0.2">
      <c r="A442" s="310">
        <v>15715</v>
      </c>
      <c r="B442" s="311" t="s">
        <v>7</v>
      </c>
      <c r="C442" s="310" t="s">
        <v>8</v>
      </c>
    </row>
    <row r="443" spans="1:3" ht="15" x14ac:dyDescent="0.2">
      <c r="A443" s="310">
        <v>15716</v>
      </c>
      <c r="B443" s="311" t="s">
        <v>3</v>
      </c>
      <c r="C443" s="310" t="s">
        <v>4</v>
      </c>
    </row>
    <row r="444" spans="1:3" ht="15" x14ac:dyDescent="0.2">
      <c r="A444" s="310">
        <v>15717</v>
      </c>
      <c r="B444" s="311" t="s">
        <v>3</v>
      </c>
      <c r="C444" s="310" t="s">
        <v>4</v>
      </c>
    </row>
    <row r="445" spans="1:3" ht="15" x14ac:dyDescent="0.2">
      <c r="A445" s="310">
        <v>15720</v>
      </c>
      <c r="B445" s="311" t="s">
        <v>3</v>
      </c>
      <c r="C445" s="310" t="s">
        <v>4</v>
      </c>
    </row>
    <row r="446" spans="1:3" ht="15" x14ac:dyDescent="0.2">
      <c r="A446" s="310">
        <v>15721</v>
      </c>
      <c r="B446" s="311" t="s">
        <v>9</v>
      </c>
      <c r="C446" s="310" t="s">
        <v>10</v>
      </c>
    </row>
    <row r="447" spans="1:3" ht="15" x14ac:dyDescent="0.2">
      <c r="A447" s="310">
        <v>15722</v>
      </c>
      <c r="B447" s="311" t="s">
        <v>3</v>
      </c>
      <c r="C447" s="310" t="s">
        <v>4</v>
      </c>
    </row>
    <row r="448" spans="1:3" ht="15" x14ac:dyDescent="0.2">
      <c r="A448" s="310">
        <v>15723</v>
      </c>
      <c r="B448" s="311" t="s">
        <v>3</v>
      </c>
      <c r="C448" s="310" t="s">
        <v>4</v>
      </c>
    </row>
    <row r="449" spans="1:3" ht="15" x14ac:dyDescent="0.2">
      <c r="A449" s="310">
        <v>15724</v>
      </c>
      <c r="B449" s="311" t="s">
        <v>3</v>
      </c>
      <c r="C449" s="310" t="s">
        <v>4</v>
      </c>
    </row>
    <row r="450" spans="1:3" ht="15" x14ac:dyDescent="0.2">
      <c r="A450" s="310">
        <v>15725</v>
      </c>
      <c r="B450" s="311" t="s">
        <v>3</v>
      </c>
      <c r="C450" s="310" t="s">
        <v>4</v>
      </c>
    </row>
    <row r="451" spans="1:3" ht="15" x14ac:dyDescent="0.2">
      <c r="A451" s="310">
        <v>15727</v>
      </c>
      <c r="B451" s="311" t="s">
        <v>3</v>
      </c>
      <c r="C451" s="310" t="s">
        <v>4</v>
      </c>
    </row>
    <row r="452" spans="1:3" ht="15" x14ac:dyDescent="0.2">
      <c r="A452" s="310">
        <v>15728</v>
      </c>
      <c r="B452" s="311" t="s">
        <v>3</v>
      </c>
      <c r="C452" s="310" t="s">
        <v>4</v>
      </c>
    </row>
    <row r="453" spans="1:3" ht="15" x14ac:dyDescent="0.2">
      <c r="A453" s="310">
        <v>15729</v>
      </c>
      <c r="B453" s="311" t="s">
        <v>3</v>
      </c>
      <c r="C453" s="310" t="s">
        <v>4</v>
      </c>
    </row>
    <row r="454" spans="1:3" ht="15" x14ac:dyDescent="0.2">
      <c r="A454" s="310">
        <v>15730</v>
      </c>
      <c r="B454" s="311" t="s">
        <v>7</v>
      </c>
      <c r="C454" s="310" t="s">
        <v>8</v>
      </c>
    </row>
    <row r="455" spans="1:3" ht="15" x14ac:dyDescent="0.2">
      <c r="A455" s="310">
        <v>15731</v>
      </c>
      <c r="B455" s="311" t="s">
        <v>3</v>
      </c>
      <c r="C455" s="310" t="s">
        <v>4</v>
      </c>
    </row>
    <row r="456" spans="1:3" ht="15" x14ac:dyDescent="0.2">
      <c r="A456" s="310">
        <v>15732</v>
      </c>
      <c r="B456" s="311" t="s">
        <v>3</v>
      </c>
      <c r="C456" s="310" t="s">
        <v>4</v>
      </c>
    </row>
    <row r="457" spans="1:3" ht="15" x14ac:dyDescent="0.2">
      <c r="A457" s="310">
        <v>15733</v>
      </c>
      <c r="B457" s="311" t="s">
        <v>7</v>
      </c>
      <c r="C457" s="310" t="s">
        <v>8</v>
      </c>
    </row>
    <row r="458" spans="1:3" ht="15" x14ac:dyDescent="0.2">
      <c r="A458" s="310">
        <v>15734</v>
      </c>
      <c r="B458" s="311" t="s">
        <v>3</v>
      </c>
      <c r="C458" s="310" t="s">
        <v>4</v>
      </c>
    </row>
    <row r="459" spans="1:3" ht="15" x14ac:dyDescent="0.2">
      <c r="A459" s="310">
        <v>15736</v>
      </c>
      <c r="B459" s="311" t="s">
        <v>3</v>
      </c>
      <c r="C459" s="310" t="s">
        <v>4</v>
      </c>
    </row>
    <row r="460" spans="1:3" ht="15" x14ac:dyDescent="0.2">
      <c r="A460" s="310">
        <v>15737</v>
      </c>
      <c r="B460" s="311" t="s">
        <v>3</v>
      </c>
      <c r="C460" s="310" t="s">
        <v>4</v>
      </c>
    </row>
    <row r="461" spans="1:3" ht="15" x14ac:dyDescent="0.2">
      <c r="A461" s="310">
        <v>15738</v>
      </c>
      <c r="B461" s="311" t="s">
        <v>3</v>
      </c>
      <c r="C461" s="310" t="s">
        <v>4</v>
      </c>
    </row>
    <row r="462" spans="1:3" ht="15" x14ac:dyDescent="0.2">
      <c r="A462" s="310">
        <v>15739</v>
      </c>
      <c r="B462" s="311" t="s">
        <v>3</v>
      </c>
      <c r="C462" s="310" t="s">
        <v>4</v>
      </c>
    </row>
    <row r="463" spans="1:3" ht="15" x14ac:dyDescent="0.2">
      <c r="A463" s="310">
        <v>15740</v>
      </c>
      <c r="B463" s="311" t="s">
        <v>7</v>
      </c>
      <c r="C463" s="310" t="s">
        <v>8</v>
      </c>
    </row>
    <row r="464" spans="1:3" ht="15" x14ac:dyDescent="0.2">
      <c r="A464" s="310">
        <v>15741</v>
      </c>
      <c r="B464" s="311" t="s">
        <v>3</v>
      </c>
      <c r="C464" s="310" t="s">
        <v>4</v>
      </c>
    </row>
    <row r="465" spans="1:3" ht="15" x14ac:dyDescent="0.2">
      <c r="A465" s="310">
        <v>15742</v>
      </c>
      <c r="B465" s="311" t="s">
        <v>3</v>
      </c>
      <c r="C465" s="310" t="s">
        <v>4</v>
      </c>
    </row>
    <row r="466" spans="1:3" ht="15" x14ac:dyDescent="0.2">
      <c r="A466" s="310">
        <v>15744</v>
      </c>
      <c r="B466" s="311" t="s">
        <v>7</v>
      </c>
      <c r="C466" s="310" t="s">
        <v>8</v>
      </c>
    </row>
    <row r="467" spans="1:3" ht="15" x14ac:dyDescent="0.2">
      <c r="A467" s="310">
        <v>15745</v>
      </c>
      <c r="B467" s="311" t="s">
        <v>3</v>
      </c>
      <c r="C467" s="310" t="s">
        <v>4</v>
      </c>
    </row>
    <row r="468" spans="1:3" ht="15" x14ac:dyDescent="0.2">
      <c r="A468" s="310">
        <v>15746</v>
      </c>
      <c r="B468" s="311" t="s">
        <v>3</v>
      </c>
      <c r="C468" s="310" t="s">
        <v>4</v>
      </c>
    </row>
    <row r="469" spans="1:3" ht="15" x14ac:dyDescent="0.2">
      <c r="A469" s="310">
        <v>15747</v>
      </c>
      <c r="B469" s="311" t="s">
        <v>3</v>
      </c>
      <c r="C469" s="310" t="s">
        <v>4</v>
      </c>
    </row>
    <row r="470" spans="1:3" ht="15" x14ac:dyDescent="0.2">
      <c r="A470" s="310">
        <v>15748</v>
      </c>
      <c r="B470" s="311" t="s">
        <v>3</v>
      </c>
      <c r="C470" s="310" t="s">
        <v>4</v>
      </c>
    </row>
    <row r="471" spans="1:3" ht="15" x14ac:dyDescent="0.2">
      <c r="A471" s="310">
        <v>15750</v>
      </c>
      <c r="B471" s="311" t="s">
        <v>3</v>
      </c>
      <c r="C471" s="310" t="s">
        <v>4</v>
      </c>
    </row>
    <row r="472" spans="1:3" ht="15" x14ac:dyDescent="0.2">
      <c r="A472" s="310">
        <v>15752</v>
      </c>
      <c r="B472" s="311" t="s">
        <v>3</v>
      </c>
      <c r="C472" s="310" t="s">
        <v>4</v>
      </c>
    </row>
    <row r="473" spans="1:3" ht="15" x14ac:dyDescent="0.2">
      <c r="A473" s="310">
        <v>15753</v>
      </c>
      <c r="B473" s="311" t="s">
        <v>9</v>
      </c>
      <c r="C473" s="310" t="s">
        <v>10</v>
      </c>
    </row>
    <row r="474" spans="1:3" ht="15" x14ac:dyDescent="0.2">
      <c r="A474" s="310">
        <v>15754</v>
      </c>
      <c r="B474" s="311" t="s">
        <v>3</v>
      </c>
      <c r="C474" s="310" t="s">
        <v>4</v>
      </c>
    </row>
    <row r="475" spans="1:3" ht="15" x14ac:dyDescent="0.2">
      <c r="A475" s="310">
        <v>15756</v>
      </c>
      <c r="B475" s="311" t="s">
        <v>3</v>
      </c>
      <c r="C475" s="310" t="s">
        <v>4</v>
      </c>
    </row>
    <row r="476" spans="1:3" ht="15" x14ac:dyDescent="0.2">
      <c r="A476" s="310">
        <v>15757</v>
      </c>
      <c r="B476" s="311" t="s">
        <v>9</v>
      </c>
      <c r="C476" s="310" t="s">
        <v>10</v>
      </c>
    </row>
    <row r="477" spans="1:3" ht="15" x14ac:dyDescent="0.2">
      <c r="A477" s="310">
        <v>15758</v>
      </c>
      <c r="B477" s="311" t="s">
        <v>3</v>
      </c>
      <c r="C477" s="310" t="s">
        <v>4</v>
      </c>
    </row>
    <row r="478" spans="1:3" ht="15" x14ac:dyDescent="0.2">
      <c r="A478" s="310">
        <v>15759</v>
      </c>
      <c r="B478" s="311" t="s">
        <v>3</v>
      </c>
      <c r="C478" s="310" t="s">
        <v>4</v>
      </c>
    </row>
    <row r="479" spans="1:3" ht="15" x14ac:dyDescent="0.2">
      <c r="A479" s="310">
        <v>15760</v>
      </c>
      <c r="B479" s="311" t="s">
        <v>3</v>
      </c>
      <c r="C479" s="310" t="s">
        <v>4</v>
      </c>
    </row>
    <row r="480" spans="1:3" ht="15" x14ac:dyDescent="0.2">
      <c r="A480" s="310">
        <v>15761</v>
      </c>
      <c r="B480" s="311" t="s">
        <v>3</v>
      </c>
      <c r="C480" s="310" t="s">
        <v>4</v>
      </c>
    </row>
    <row r="481" spans="1:3" ht="15" x14ac:dyDescent="0.2">
      <c r="A481" s="310">
        <v>15762</v>
      </c>
      <c r="B481" s="311" t="s">
        <v>3</v>
      </c>
      <c r="C481" s="310" t="s">
        <v>4</v>
      </c>
    </row>
    <row r="482" spans="1:3" ht="15" x14ac:dyDescent="0.2">
      <c r="A482" s="310">
        <v>15763</v>
      </c>
      <c r="B482" s="311" t="s">
        <v>3</v>
      </c>
      <c r="C482" s="310" t="s">
        <v>4</v>
      </c>
    </row>
    <row r="483" spans="1:3" ht="15" x14ac:dyDescent="0.2">
      <c r="A483" s="310">
        <v>15764</v>
      </c>
      <c r="B483" s="311" t="s">
        <v>7</v>
      </c>
      <c r="C483" s="310" t="s">
        <v>8</v>
      </c>
    </row>
    <row r="484" spans="1:3" ht="15" x14ac:dyDescent="0.2">
      <c r="A484" s="310">
        <v>15765</v>
      </c>
      <c r="B484" s="311" t="s">
        <v>3</v>
      </c>
      <c r="C484" s="310" t="s">
        <v>4</v>
      </c>
    </row>
    <row r="485" spans="1:3" ht="15" x14ac:dyDescent="0.2">
      <c r="A485" s="310">
        <v>15767</v>
      </c>
      <c r="B485" s="311" t="s">
        <v>7</v>
      </c>
      <c r="C485" s="310" t="s">
        <v>8</v>
      </c>
    </row>
    <row r="486" spans="1:3" ht="15" x14ac:dyDescent="0.2">
      <c r="A486" s="310">
        <v>15770</v>
      </c>
      <c r="B486" s="311" t="s">
        <v>7</v>
      </c>
      <c r="C486" s="310" t="s">
        <v>8</v>
      </c>
    </row>
    <row r="487" spans="1:3" ht="15" x14ac:dyDescent="0.2">
      <c r="A487" s="310">
        <v>15771</v>
      </c>
      <c r="B487" s="311" t="s">
        <v>3</v>
      </c>
      <c r="C487" s="310" t="s">
        <v>4</v>
      </c>
    </row>
    <row r="488" spans="1:3" ht="15" x14ac:dyDescent="0.2">
      <c r="A488" s="310">
        <v>15772</v>
      </c>
      <c r="B488" s="311" t="s">
        <v>3</v>
      </c>
      <c r="C488" s="310" t="s">
        <v>4</v>
      </c>
    </row>
    <row r="489" spans="1:3" ht="15" x14ac:dyDescent="0.2">
      <c r="A489" s="310">
        <v>15773</v>
      </c>
      <c r="B489" s="311" t="s">
        <v>3</v>
      </c>
      <c r="C489" s="310" t="s">
        <v>4</v>
      </c>
    </row>
    <row r="490" spans="1:3" ht="15" x14ac:dyDescent="0.2">
      <c r="A490" s="310">
        <v>15774</v>
      </c>
      <c r="B490" s="311" t="s">
        <v>3</v>
      </c>
      <c r="C490" s="310" t="s">
        <v>4</v>
      </c>
    </row>
    <row r="491" spans="1:3" ht="15" x14ac:dyDescent="0.2">
      <c r="A491" s="310">
        <v>15775</v>
      </c>
      <c r="B491" s="311" t="s">
        <v>3</v>
      </c>
      <c r="C491" s="310" t="s">
        <v>4</v>
      </c>
    </row>
    <row r="492" spans="1:3" ht="15" x14ac:dyDescent="0.2">
      <c r="A492" s="310">
        <v>15776</v>
      </c>
      <c r="B492" s="311" t="s">
        <v>7</v>
      </c>
      <c r="C492" s="310" t="s">
        <v>8</v>
      </c>
    </row>
    <row r="493" spans="1:3" ht="15" x14ac:dyDescent="0.2">
      <c r="A493" s="310">
        <v>15777</v>
      </c>
      <c r="B493" s="311" t="s">
        <v>3</v>
      </c>
      <c r="C493" s="310" t="s">
        <v>4</v>
      </c>
    </row>
    <row r="494" spans="1:3" ht="15" x14ac:dyDescent="0.2">
      <c r="A494" s="310">
        <v>15778</v>
      </c>
      <c r="B494" s="311" t="s">
        <v>7</v>
      </c>
      <c r="C494" s="310" t="s">
        <v>8</v>
      </c>
    </row>
    <row r="495" spans="1:3" ht="15" x14ac:dyDescent="0.2">
      <c r="A495" s="310">
        <v>15779</v>
      </c>
      <c r="B495" s="311" t="s">
        <v>3</v>
      </c>
      <c r="C495" s="310" t="s">
        <v>4</v>
      </c>
    </row>
    <row r="496" spans="1:3" ht="15" x14ac:dyDescent="0.2">
      <c r="A496" s="310">
        <v>15780</v>
      </c>
      <c r="B496" s="311" t="s">
        <v>7</v>
      </c>
      <c r="C496" s="310" t="s">
        <v>8</v>
      </c>
    </row>
    <row r="497" spans="1:3" ht="15" x14ac:dyDescent="0.2">
      <c r="A497" s="310">
        <v>15781</v>
      </c>
      <c r="B497" s="311" t="s">
        <v>7</v>
      </c>
      <c r="C497" s="310" t="s">
        <v>8</v>
      </c>
    </row>
    <row r="498" spans="1:3" ht="15" x14ac:dyDescent="0.2">
      <c r="A498" s="310">
        <v>15783</v>
      </c>
      <c r="B498" s="311" t="s">
        <v>3</v>
      </c>
      <c r="C498" s="310" t="s">
        <v>4</v>
      </c>
    </row>
    <row r="499" spans="1:3" ht="15" x14ac:dyDescent="0.2">
      <c r="A499" s="310">
        <v>15784</v>
      </c>
      <c r="B499" s="311" t="s">
        <v>7</v>
      </c>
      <c r="C499" s="310" t="s">
        <v>8</v>
      </c>
    </row>
    <row r="500" spans="1:3" ht="15" x14ac:dyDescent="0.2">
      <c r="A500" s="310">
        <v>15801</v>
      </c>
      <c r="B500" s="311" t="s">
        <v>9</v>
      </c>
      <c r="C500" s="310" t="s">
        <v>10</v>
      </c>
    </row>
    <row r="501" spans="1:3" ht="15" x14ac:dyDescent="0.2">
      <c r="A501" s="310">
        <v>15821</v>
      </c>
      <c r="B501" s="311" t="s">
        <v>9</v>
      </c>
      <c r="C501" s="310" t="s">
        <v>10</v>
      </c>
    </row>
    <row r="502" spans="1:3" ht="15" x14ac:dyDescent="0.2">
      <c r="A502" s="310">
        <v>15822</v>
      </c>
      <c r="B502" s="311" t="s">
        <v>9</v>
      </c>
      <c r="C502" s="310" t="s">
        <v>10</v>
      </c>
    </row>
    <row r="503" spans="1:3" ht="15" x14ac:dyDescent="0.2">
      <c r="A503" s="310">
        <v>15823</v>
      </c>
      <c r="B503" s="311" t="s">
        <v>9</v>
      </c>
      <c r="C503" s="310" t="s">
        <v>10</v>
      </c>
    </row>
    <row r="504" spans="1:3" ht="15" x14ac:dyDescent="0.2">
      <c r="A504" s="310">
        <v>15824</v>
      </c>
      <c r="B504" s="311" t="s">
        <v>7</v>
      </c>
      <c r="C504" s="310" t="s">
        <v>8</v>
      </c>
    </row>
    <row r="505" spans="1:3" ht="15" x14ac:dyDescent="0.2">
      <c r="A505" s="310">
        <v>15825</v>
      </c>
      <c r="B505" s="311" t="s">
        <v>7</v>
      </c>
      <c r="C505" s="310" t="s">
        <v>8</v>
      </c>
    </row>
    <row r="506" spans="1:3" ht="15" x14ac:dyDescent="0.2">
      <c r="A506" s="310">
        <v>15827</v>
      </c>
      <c r="B506" s="311" t="s">
        <v>9</v>
      </c>
      <c r="C506" s="310" t="s">
        <v>10</v>
      </c>
    </row>
    <row r="507" spans="1:3" ht="15" x14ac:dyDescent="0.2">
      <c r="A507" s="310">
        <v>15828</v>
      </c>
      <c r="B507" s="311" t="s">
        <v>7</v>
      </c>
      <c r="C507" s="310" t="s">
        <v>8</v>
      </c>
    </row>
    <row r="508" spans="1:3" ht="15" x14ac:dyDescent="0.2">
      <c r="A508" s="310">
        <v>15829</v>
      </c>
      <c r="B508" s="311" t="s">
        <v>7</v>
      </c>
      <c r="C508" s="310" t="s">
        <v>8</v>
      </c>
    </row>
    <row r="509" spans="1:3" ht="15" x14ac:dyDescent="0.2">
      <c r="A509" s="310">
        <v>15831</v>
      </c>
      <c r="B509" s="311" t="s">
        <v>9</v>
      </c>
      <c r="C509" s="310" t="s">
        <v>10</v>
      </c>
    </row>
    <row r="510" spans="1:3" ht="15" x14ac:dyDescent="0.2">
      <c r="A510" s="310">
        <v>15832</v>
      </c>
      <c r="B510" s="311" t="s">
        <v>9</v>
      </c>
      <c r="C510" s="310" t="s">
        <v>10</v>
      </c>
    </row>
    <row r="511" spans="1:3" ht="15" x14ac:dyDescent="0.2">
      <c r="A511" s="310">
        <v>15834</v>
      </c>
      <c r="B511" s="311" t="s">
        <v>9</v>
      </c>
      <c r="C511" s="310" t="s">
        <v>10</v>
      </c>
    </row>
    <row r="512" spans="1:3" ht="15" x14ac:dyDescent="0.2">
      <c r="A512" s="310">
        <v>15840</v>
      </c>
      <c r="B512" s="311" t="s">
        <v>7</v>
      </c>
      <c r="C512" s="310" t="s">
        <v>8</v>
      </c>
    </row>
    <row r="513" spans="1:3" ht="15" x14ac:dyDescent="0.2">
      <c r="A513" s="310">
        <v>15841</v>
      </c>
      <c r="B513" s="311" t="s">
        <v>9</v>
      </c>
      <c r="C513" s="310" t="s">
        <v>10</v>
      </c>
    </row>
    <row r="514" spans="1:3" ht="15" x14ac:dyDescent="0.2">
      <c r="A514" s="310">
        <v>15845</v>
      </c>
      <c r="B514" s="311" t="s">
        <v>9</v>
      </c>
      <c r="C514" s="310" t="s">
        <v>10</v>
      </c>
    </row>
    <row r="515" spans="1:3" ht="15" x14ac:dyDescent="0.2">
      <c r="A515" s="310">
        <v>15846</v>
      </c>
      <c r="B515" s="311" t="s">
        <v>9</v>
      </c>
      <c r="C515" s="310" t="s">
        <v>10</v>
      </c>
    </row>
    <row r="516" spans="1:3" ht="15" x14ac:dyDescent="0.2">
      <c r="A516" s="310">
        <v>15847</v>
      </c>
      <c r="B516" s="311" t="s">
        <v>7</v>
      </c>
      <c r="C516" s="310" t="s">
        <v>8</v>
      </c>
    </row>
    <row r="517" spans="1:3" ht="15" x14ac:dyDescent="0.2">
      <c r="A517" s="310">
        <v>15848</v>
      </c>
      <c r="B517" s="311" t="s">
        <v>9</v>
      </c>
      <c r="C517" s="310" t="s">
        <v>10</v>
      </c>
    </row>
    <row r="518" spans="1:3" ht="15" x14ac:dyDescent="0.2">
      <c r="A518" s="310">
        <v>15849</v>
      </c>
      <c r="B518" s="311" t="s">
        <v>9</v>
      </c>
      <c r="C518" s="310" t="s">
        <v>10</v>
      </c>
    </row>
    <row r="519" spans="1:3" ht="15" x14ac:dyDescent="0.2">
      <c r="A519" s="310">
        <v>15851</v>
      </c>
      <c r="B519" s="311" t="s">
        <v>7</v>
      </c>
      <c r="C519" s="310" t="s">
        <v>8</v>
      </c>
    </row>
    <row r="520" spans="1:3" ht="15" x14ac:dyDescent="0.2">
      <c r="A520" s="310">
        <v>15853</v>
      </c>
      <c r="B520" s="311" t="s">
        <v>9</v>
      </c>
      <c r="C520" s="310" t="s">
        <v>10</v>
      </c>
    </row>
    <row r="521" spans="1:3" ht="15" x14ac:dyDescent="0.2">
      <c r="A521" s="310">
        <v>15856</v>
      </c>
      <c r="B521" s="311" t="s">
        <v>9</v>
      </c>
      <c r="C521" s="310" t="s">
        <v>10</v>
      </c>
    </row>
    <row r="522" spans="1:3" ht="15" x14ac:dyDescent="0.2">
      <c r="A522" s="310">
        <v>15857</v>
      </c>
      <c r="B522" s="311" t="s">
        <v>9</v>
      </c>
      <c r="C522" s="310" t="s">
        <v>10</v>
      </c>
    </row>
    <row r="523" spans="1:3" ht="15" x14ac:dyDescent="0.2">
      <c r="A523" s="310">
        <v>15860</v>
      </c>
      <c r="B523" s="311" t="s">
        <v>7</v>
      </c>
      <c r="C523" s="310" t="s">
        <v>8</v>
      </c>
    </row>
    <row r="524" spans="1:3" ht="15" x14ac:dyDescent="0.2">
      <c r="A524" s="310">
        <v>15861</v>
      </c>
      <c r="B524" s="311" t="s">
        <v>9</v>
      </c>
      <c r="C524" s="310" t="s">
        <v>10</v>
      </c>
    </row>
    <row r="525" spans="1:3" ht="15" x14ac:dyDescent="0.2">
      <c r="A525" s="310">
        <v>15863</v>
      </c>
      <c r="B525" s="311" t="s">
        <v>7</v>
      </c>
      <c r="C525" s="310" t="s">
        <v>8</v>
      </c>
    </row>
    <row r="526" spans="1:3" ht="15" x14ac:dyDescent="0.2">
      <c r="A526" s="310">
        <v>15864</v>
      </c>
      <c r="B526" s="311" t="s">
        <v>7</v>
      </c>
      <c r="C526" s="310" t="s">
        <v>8</v>
      </c>
    </row>
    <row r="527" spans="1:3" ht="15" x14ac:dyDescent="0.2">
      <c r="A527" s="310">
        <v>15865</v>
      </c>
      <c r="B527" s="311" t="s">
        <v>7</v>
      </c>
      <c r="C527" s="310" t="s">
        <v>8</v>
      </c>
    </row>
    <row r="528" spans="1:3" ht="15" x14ac:dyDescent="0.2">
      <c r="A528" s="310">
        <v>15866</v>
      </c>
      <c r="B528" s="311" t="s">
        <v>9</v>
      </c>
      <c r="C528" s="310" t="s">
        <v>10</v>
      </c>
    </row>
    <row r="529" spans="1:3" ht="15" x14ac:dyDescent="0.2">
      <c r="A529" s="310">
        <v>15868</v>
      </c>
      <c r="B529" s="311" t="s">
        <v>9</v>
      </c>
      <c r="C529" s="310" t="s">
        <v>10</v>
      </c>
    </row>
    <row r="530" spans="1:3" ht="15" x14ac:dyDescent="0.2">
      <c r="A530" s="310">
        <v>15870</v>
      </c>
      <c r="B530" s="311" t="s">
        <v>9</v>
      </c>
      <c r="C530" s="310" t="s">
        <v>10</v>
      </c>
    </row>
    <row r="531" spans="1:3" ht="15" x14ac:dyDescent="0.2">
      <c r="A531" s="310">
        <v>15901</v>
      </c>
      <c r="B531" s="311" t="s">
        <v>3</v>
      </c>
      <c r="C531" s="310" t="s">
        <v>4</v>
      </c>
    </row>
    <row r="532" spans="1:3" ht="15" x14ac:dyDescent="0.2">
      <c r="A532" s="310">
        <v>15902</v>
      </c>
      <c r="B532" s="311" t="s">
        <v>3</v>
      </c>
      <c r="C532" s="310" t="s">
        <v>4</v>
      </c>
    </row>
    <row r="533" spans="1:3" ht="15" x14ac:dyDescent="0.2">
      <c r="A533" s="310">
        <v>15904</v>
      </c>
      <c r="B533" s="311" t="s">
        <v>3</v>
      </c>
      <c r="C533" s="310" t="s">
        <v>4</v>
      </c>
    </row>
    <row r="534" spans="1:3" ht="15" x14ac:dyDescent="0.2">
      <c r="A534" s="310">
        <v>15905</v>
      </c>
      <c r="B534" s="311" t="s">
        <v>3</v>
      </c>
      <c r="C534" s="310" t="s">
        <v>4</v>
      </c>
    </row>
    <row r="535" spans="1:3" ht="15" x14ac:dyDescent="0.2">
      <c r="A535" s="310">
        <v>15906</v>
      </c>
      <c r="B535" s="311" t="s">
        <v>3</v>
      </c>
      <c r="C535" s="310" t="s">
        <v>4</v>
      </c>
    </row>
    <row r="536" spans="1:3" ht="15" x14ac:dyDescent="0.2">
      <c r="A536" s="310">
        <v>15907</v>
      </c>
      <c r="B536" s="311" t="s">
        <v>3</v>
      </c>
      <c r="C536" s="310" t="s">
        <v>4</v>
      </c>
    </row>
    <row r="537" spans="1:3" ht="15" x14ac:dyDescent="0.2">
      <c r="A537" s="310">
        <v>15909</v>
      </c>
      <c r="B537" s="311" t="s">
        <v>3</v>
      </c>
      <c r="C537" s="310" t="s">
        <v>4</v>
      </c>
    </row>
    <row r="538" spans="1:3" ht="15" x14ac:dyDescent="0.2">
      <c r="A538" s="310">
        <v>15915</v>
      </c>
      <c r="B538" s="311" t="s">
        <v>3</v>
      </c>
      <c r="C538" s="310" t="s">
        <v>4</v>
      </c>
    </row>
    <row r="539" spans="1:3" ht="15" x14ac:dyDescent="0.2">
      <c r="A539" s="310">
        <v>15920</v>
      </c>
      <c r="B539" s="311" t="s">
        <v>3</v>
      </c>
      <c r="C539" s="310" t="s">
        <v>4</v>
      </c>
    </row>
    <row r="540" spans="1:3" ht="15" x14ac:dyDescent="0.2">
      <c r="A540" s="310">
        <v>15921</v>
      </c>
      <c r="B540" s="311" t="s">
        <v>3</v>
      </c>
      <c r="C540" s="310" t="s">
        <v>4</v>
      </c>
    </row>
    <row r="541" spans="1:3" ht="15" x14ac:dyDescent="0.2">
      <c r="A541" s="310">
        <v>15922</v>
      </c>
      <c r="B541" s="311" t="s">
        <v>3</v>
      </c>
      <c r="C541" s="310" t="s">
        <v>4</v>
      </c>
    </row>
    <row r="542" spans="1:3" ht="15" x14ac:dyDescent="0.2">
      <c r="A542" s="310">
        <v>15923</v>
      </c>
      <c r="B542" s="311" t="s">
        <v>3</v>
      </c>
      <c r="C542" s="310" t="s">
        <v>4</v>
      </c>
    </row>
    <row r="543" spans="1:3" ht="15" x14ac:dyDescent="0.2">
      <c r="A543" s="310">
        <v>15924</v>
      </c>
      <c r="B543" s="311" t="s">
        <v>3</v>
      </c>
      <c r="C543" s="310" t="s">
        <v>4</v>
      </c>
    </row>
    <row r="544" spans="1:3" ht="15" x14ac:dyDescent="0.2">
      <c r="A544" s="310">
        <v>15925</v>
      </c>
      <c r="B544" s="311" t="s">
        <v>3</v>
      </c>
      <c r="C544" s="310" t="s">
        <v>4</v>
      </c>
    </row>
    <row r="545" spans="1:3" ht="15" x14ac:dyDescent="0.2">
      <c r="A545" s="310">
        <v>15926</v>
      </c>
      <c r="B545" s="311" t="s">
        <v>3</v>
      </c>
      <c r="C545" s="310" t="s">
        <v>4</v>
      </c>
    </row>
    <row r="546" spans="1:3" ht="15" x14ac:dyDescent="0.2">
      <c r="A546" s="310">
        <v>15927</v>
      </c>
      <c r="B546" s="311" t="s">
        <v>3</v>
      </c>
      <c r="C546" s="310" t="s">
        <v>4</v>
      </c>
    </row>
    <row r="547" spans="1:3" ht="15" x14ac:dyDescent="0.2">
      <c r="A547" s="310">
        <v>15928</v>
      </c>
      <c r="B547" s="311" t="s">
        <v>3</v>
      </c>
      <c r="C547" s="310" t="s">
        <v>4</v>
      </c>
    </row>
    <row r="548" spans="1:3" ht="15" x14ac:dyDescent="0.2">
      <c r="A548" s="310">
        <v>15929</v>
      </c>
      <c r="B548" s="311" t="s">
        <v>3</v>
      </c>
      <c r="C548" s="310" t="s">
        <v>4</v>
      </c>
    </row>
    <row r="549" spans="1:3" ht="15" x14ac:dyDescent="0.2">
      <c r="A549" s="310">
        <v>15930</v>
      </c>
      <c r="B549" s="311" t="s">
        <v>3</v>
      </c>
      <c r="C549" s="310" t="s">
        <v>4</v>
      </c>
    </row>
    <row r="550" spans="1:3" ht="15" x14ac:dyDescent="0.2">
      <c r="A550" s="310">
        <v>15931</v>
      </c>
      <c r="B550" s="311" t="s">
        <v>3</v>
      </c>
      <c r="C550" s="310" t="s">
        <v>4</v>
      </c>
    </row>
    <row r="551" spans="1:3" ht="15" x14ac:dyDescent="0.2">
      <c r="A551" s="310">
        <v>15934</v>
      </c>
      <c r="B551" s="311" t="s">
        <v>3</v>
      </c>
      <c r="C551" s="310" t="s">
        <v>4</v>
      </c>
    </row>
    <row r="552" spans="1:3" ht="15" x14ac:dyDescent="0.2">
      <c r="A552" s="310">
        <v>15935</v>
      </c>
      <c r="B552" s="311" t="s">
        <v>3</v>
      </c>
      <c r="C552" s="310" t="s">
        <v>4</v>
      </c>
    </row>
    <row r="553" spans="1:3" ht="15" x14ac:dyDescent="0.2">
      <c r="A553" s="310">
        <v>15936</v>
      </c>
      <c r="B553" s="311" t="s">
        <v>3</v>
      </c>
      <c r="C553" s="310" t="s">
        <v>4</v>
      </c>
    </row>
    <row r="554" spans="1:3" ht="15" x14ac:dyDescent="0.2">
      <c r="A554" s="310">
        <v>15937</v>
      </c>
      <c r="B554" s="311" t="s">
        <v>3</v>
      </c>
      <c r="C554" s="310" t="s">
        <v>4</v>
      </c>
    </row>
    <row r="555" spans="1:3" ht="15" x14ac:dyDescent="0.2">
      <c r="A555" s="310">
        <v>15938</v>
      </c>
      <c r="B555" s="311" t="s">
        <v>3</v>
      </c>
      <c r="C555" s="310" t="s">
        <v>4</v>
      </c>
    </row>
    <row r="556" spans="1:3" ht="15" x14ac:dyDescent="0.2">
      <c r="A556" s="310">
        <v>15940</v>
      </c>
      <c r="B556" s="311" t="s">
        <v>3</v>
      </c>
      <c r="C556" s="310" t="s">
        <v>4</v>
      </c>
    </row>
    <row r="557" spans="1:3" ht="15" x14ac:dyDescent="0.2">
      <c r="A557" s="310">
        <v>15942</v>
      </c>
      <c r="B557" s="311" t="s">
        <v>3</v>
      </c>
      <c r="C557" s="310" t="s">
        <v>4</v>
      </c>
    </row>
    <row r="558" spans="1:3" ht="15" x14ac:dyDescent="0.2">
      <c r="A558" s="310">
        <v>15943</v>
      </c>
      <c r="B558" s="311" t="s">
        <v>3</v>
      </c>
      <c r="C558" s="310" t="s">
        <v>4</v>
      </c>
    </row>
    <row r="559" spans="1:3" ht="15" x14ac:dyDescent="0.2">
      <c r="A559" s="310">
        <v>15944</v>
      </c>
      <c r="B559" s="311" t="s">
        <v>3</v>
      </c>
      <c r="C559" s="310" t="s">
        <v>4</v>
      </c>
    </row>
    <row r="560" spans="1:3" ht="15" x14ac:dyDescent="0.2">
      <c r="A560" s="310">
        <v>15945</v>
      </c>
      <c r="B560" s="311" t="s">
        <v>3</v>
      </c>
      <c r="C560" s="310" t="s">
        <v>4</v>
      </c>
    </row>
    <row r="561" spans="1:3" ht="15" x14ac:dyDescent="0.2">
      <c r="A561" s="310">
        <v>15946</v>
      </c>
      <c r="B561" s="311" t="s">
        <v>3</v>
      </c>
      <c r="C561" s="310" t="s">
        <v>4</v>
      </c>
    </row>
    <row r="562" spans="1:3" ht="15" x14ac:dyDescent="0.2">
      <c r="A562" s="310">
        <v>15948</v>
      </c>
      <c r="B562" s="311" t="s">
        <v>3</v>
      </c>
      <c r="C562" s="310" t="s">
        <v>4</v>
      </c>
    </row>
    <row r="563" spans="1:3" ht="15" x14ac:dyDescent="0.2">
      <c r="A563" s="310">
        <v>15949</v>
      </c>
      <c r="B563" s="311" t="s">
        <v>3</v>
      </c>
      <c r="C563" s="310" t="s">
        <v>4</v>
      </c>
    </row>
    <row r="564" spans="1:3" ht="15" x14ac:dyDescent="0.2">
      <c r="A564" s="310">
        <v>15951</v>
      </c>
      <c r="B564" s="311" t="s">
        <v>3</v>
      </c>
      <c r="C564" s="310" t="s">
        <v>4</v>
      </c>
    </row>
    <row r="565" spans="1:3" ht="15" x14ac:dyDescent="0.2">
      <c r="A565" s="310">
        <v>15952</v>
      </c>
      <c r="B565" s="311" t="s">
        <v>3</v>
      </c>
      <c r="C565" s="310" t="s">
        <v>4</v>
      </c>
    </row>
    <row r="566" spans="1:3" ht="15" x14ac:dyDescent="0.2">
      <c r="A566" s="310">
        <v>15953</v>
      </c>
      <c r="B566" s="311" t="s">
        <v>3</v>
      </c>
      <c r="C566" s="310" t="s">
        <v>4</v>
      </c>
    </row>
    <row r="567" spans="1:3" ht="15" x14ac:dyDescent="0.2">
      <c r="A567" s="310">
        <v>15954</v>
      </c>
      <c r="B567" s="311" t="s">
        <v>3</v>
      </c>
      <c r="C567" s="310" t="s">
        <v>4</v>
      </c>
    </row>
    <row r="568" spans="1:3" ht="15" x14ac:dyDescent="0.2">
      <c r="A568" s="310">
        <v>15955</v>
      </c>
      <c r="B568" s="311" t="s">
        <v>3</v>
      </c>
      <c r="C568" s="310" t="s">
        <v>4</v>
      </c>
    </row>
    <row r="569" spans="1:3" ht="15" x14ac:dyDescent="0.2">
      <c r="A569" s="310">
        <v>15956</v>
      </c>
      <c r="B569" s="311" t="s">
        <v>3</v>
      </c>
      <c r="C569" s="310" t="s">
        <v>4</v>
      </c>
    </row>
    <row r="570" spans="1:3" ht="15" x14ac:dyDescent="0.2">
      <c r="A570" s="310">
        <v>15957</v>
      </c>
      <c r="B570" s="311" t="s">
        <v>3</v>
      </c>
      <c r="C570" s="310" t="s">
        <v>4</v>
      </c>
    </row>
    <row r="571" spans="1:3" ht="15" x14ac:dyDescent="0.2">
      <c r="A571" s="310">
        <v>15958</v>
      </c>
      <c r="B571" s="311" t="s">
        <v>3</v>
      </c>
      <c r="C571" s="310" t="s">
        <v>4</v>
      </c>
    </row>
    <row r="572" spans="1:3" ht="15" x14ac:dyDescent="0.2">
      <c r="A572" s="310">
        <v>15959</v>
      </c>
      <c r="B572" s="311" t="s">
        <v>3</v>
      </c>
      <c r="C572" s="310" t="s">
        <v>4</v>
      </c>
    </row>
    <row r="573" spans="1:3" ht="15" x14ac:dyDescent="0.2">
      <c r="A573" s="310">
        <v>15960</v>
      </c>
      <c r="B573" s="311" t="s">
        <v>3</v>
      </c>
      <c r="C573" s="310" t="s">
        <v>4</v>
      </c>
    </row>
    <row r="574" spans="1:3" ht="15" x14ac:dyDescent="0.2">
      <c r="A574" s="310">
        <v>15961</v>
      </c>
      <c r="B574" s="311" t="s">
        <v>3</v>
      </c>
      <c r="C574" s="310" t="s">
        <v>4</v>
      </c>
    </row>
    <row r="575" spans="1:3" ht="15" x14ac:dyDescent="0.2">
      <c r="A575" s="310">
        <v>15962</v>
      </c>
      <c r="B575" s="311" t="s">
        <v>3</v>
      </c>
      <c r="C575" s="310" t="s">
        <v>4</v>
      </c>
    </row>
    <row r="576" spans="1:3" ht="15" x14ac:dyDescent="0.2">
      <c r="A576" s="310">
        <v>15963</v>
      </c>
      <c r="B576" s="311" t="s">
        <v>3</v>
      </c>
      <c r="C576" s="310" t="s">
        <v>4</v>
      </c>
    </row>
    <row r="577" spans="1:3" ht="15" x14ac:dyDescent="0.2">
      <c r="A577" s="310">
        <v>16001</v>
      </c>
      <c r="B577" s="311" t="s">
        <v>3</v>
      </c>
      <c r="C577" s="310" t="s">
        <v>4</v>
      </c>
    </row>
    <row r="578" spans="1:3" ht="15" x14ac:dyDescent="0.2">
      <c r="A578" s="310">
        <v>16002</v>
      </c>
      <c r="B578" s="311" t="s">
        <v>3</v>
      </c>
      <c r="C578" s="310" t="s">
        <v>4</v>
      </c>
    </row>
    <row r="579" spans="1:3" ht="15" x14ac:dyDescent="0.2">
      <c r="A579" s="310">
        <v>16003</v>
      </c>
      <c r="B579" s="311" t="s">
        <v>3</v>
      </c>
      <c r="C579" s="310" t="s">
        <v>4</v>
      </c>
    </row>
    <row r="580" spans="1:3" ht="15" x14ac:dyDescent="0.2">
      <c r="A580" s="310">
        <v>16016</v>
      </c>
      <c r="B580" s="311" t="s">
        <v>3</v>
      </c>
      <c r="C580" s="310" t="s">
        <v>4</v>
      </c>
    </row>
    <row r="581" spans="1:3" ht="15" x14ac:dyDescent="0.2">
      <c r="A581" s="310">
        <v>16017</v>
      </c>
      <c r="B581" s="311" t="s">
        <v>3</v>
      </c>
      <c r="C581" s="310" t="s">
        <v>4</v>
      </c>
    </row>
    <row r="582" spans="1:3" ht="15" x14ac:dyDescent="0.2">
      <c r="A582" s="310">
        <v>16018</v>
      </c>
      <c r="B582" s="311" t="s">
        <v>3</v>
      </c>
      <c r="C582" s="310" t="s">
        <v>4</v>
      </c>
    </row>
    <row r="583" spans="1:3" ht="15" x14ac:dyDescent="0.2">
      <c r="A583" s="310">
        <v>16020</v>
      </c>
      <c r="B583" s="311" t="s">
        <v>3</v>
      </c>
      <c r="C583" s="310" t="s">
        <v>4</v>
      </c>
    </row>
    <row r="584" spans="1:3" ht="15" x14ac:dyDescent="0.2">
      <c r="A584" s="310">
        <v>16021</v>
      </c>
      <c r="B584" s="311" t="s">
        <v>3</v>
      </c>
      <c r="C584" s="310" t="s">
        <v>4</v>
      </c>
    </row>
    <row r="585" spans="1:3" ht="15" x14ac:dyDescent="0.2">
      <c r="A585" s="310">
        <v>16022</v>
      </c>
      <c r="B585" s="311" t="s">
        <v>3</v>
      </c>
      <c r="C585" s="310" t="s">
        <v>4</v>
      </c>
    </row>
    <row r="586" spans="1:3" ht="15" x14ac:dyDescent="0.2">
      <c r="A586" s="310">
        <v>16023</v>
      </c>
      <c r="B586" s="311" t="s">
        <v>3</v>
      </c>
      <c r="C586" s="310" t="s">
        <v>4</v>
      </c>
    </row>
    <row r="587" spans="1:3" ht="15" x14ac:dyDescent="0.2">
      <c r="A587" s="310">
        <v>16024</v>
      </c>
      <c r="B587" s="311" t="s">
        <v>3</v>
      </c>
      <c r="C587" s="310" t="s">
        <v>4</v>
      </c>
    </row>
    <row r="588" spans="1:3" ht="15" x14ac:dyDescent="0.2">
      <c r="A588" s="310">
        <v>16025</v>
      </c>
      <c r="B588" s="311" t="s">
        <v>3</v>
      </c>
      <c r="C588" s="310" t="s">
        <v>4</v>
      </c>
    </row>
    <row r="589" spans="1:3" ht="15" x14ac:dyDescent="0.2">
      <c r="A589" s="310">
        <v>16027</v>
      </c>
      <c r="B589" s="311" t="s">
        <v>3</v>
      </c>
      <c r="C589" s="310" t="s">
        <v>4</v>
      </c>
    </row>
    <row r="590" spans="1:3" ht="15" x14ac:dyDescent="0.2">
      <c r="A590" s="310">
        <v>16028</v>
      </c>
      <c r="B590" s="311" t="s">
        <v>3</v>
      </c>
      <c r="C590" s="310" t="s">
        <v>4</v>
      </c>
    </row>
    <row r="591" spans="1:3" ht="15" x14ac:dyDescent="0.2">
      <c r="A591" s="310">
        <v>16029</v>
      </c>
      <c r="B591" s="311" t="s">
        <v>3</v>
      </c>
      <c r="C591" s="310" t="s">
        <v>4</v>
      </c>
    </row>
    <row r="592" spans="1:3" ht="15" x14ac:dyDescent="0.2">
      <c r="A592" s="310">
        <v>16030</v>
      </c>
      <c r="B592" s="311" t="s">
        <v>3</v>
      </c>
      <c r="C592" s="310" t="s">
        <v>4</v>
      </c>
    </row>
    <row r="593" spans="1:3" ht="15" x14ac:dyDescent="0.2">
      <c r="A593" s="310">
        <v>16033</v>
      </c>
      <c r="B593" s="311" t="s">
        <v>3</v>
      </c>
      <c r="C593" s="310" t="s">
        <v>4</v>
      </c>
    </row>
    <row r="594" spans="1:3" ht="15" x14ac:dyDescent="0.2">
      <c r="A594" s="310">
        <v>16034</v>
      </c>
      <c r="B594" s="311" t="s">
        <v>3</v>
      </c>
      <c r="C594" s="310" t="s">
        <v>4</v>
      </c>
    </row>
    <row r="595" spans="1:3" ht="15" x14ac:dyDescent="0.2">
      <c r="A595" s="310">
        <v>16035</v>
      </c>
      <c r="B595" s="311" t="s">
        <v>3</v>
      </c>
      <c r="C595" s="310" t="s">
        <v>4</v>
      </c>
    </row>
    <row r="596" spans="1:3" ht="15" x14ac:dyDescent="0.2">
      <c r="A596" s="310">
        <v>16036</v>
      </c>
      <c r="B596" s="311" t="s">
        <v>7</v>
      </c>
      <c r="C596" s="310" t="s">
        <v>8</v>
      </c>
    </row>
    <row r="597" spans="1:3" ht="15" x14ac:dyDescent="0.2">
      <c r="A597" s="310">
        <v>16037</v>
      </c>
      <c r="B597" s="311" t="s">
        <v>3</v>
      </c>
      <c r="C597" s="310" t="s">
        <v>4</v>
      </c>
    </row>
    <row r="598" spans="1:3" ht="15" x14ac:dyDescent="0.2">
      <c r="A598" s="310">
        <v>16038</v>
      </c>
      <c r="B598" s="311" t="s">
        <v>3</v>
      </c>
      <c r="C598" s="310" t="s">
        <v>4</v>
      </c>
    </row>
    <row r="599" spans="1:3" ht="15" x14ac:dyDescent="0.2">
      <c r="A599" s="310">
        <v>16039</v>
      </c>
      <c r="B599" s="311" t="s">
        <v>3</v>
      </c>
      <c r="C599" s="310" t="s">
        <v>4</v>
      </c>
    </row>
    <row r="600" spans="1:3" ht="15" x14ac:dyDescent="0.2">
      <c r="A600" s="310">
        <v>16040</v>
      </c>
      <c r="B600" s="311" t="s">
        <v>3</v>
      </c>
      <c r="C600" s="310" t="s">
        <v>4</v>
      </c>
    </row>
    <row r="601" spans="1:3" ht="15" x14ac:dyDescent="0.2">
      <c r="A601" s="310">
        <v>16041</v>
      </c>
      <c r="B601" s="311" t="s">
        <v>3</v>
      </c>
      <c r="C601" s="310" t="s">
        <v>4</v>
      </c>
    </row>
    <row r="602" spans="1:3" ht="15" x14ac:dyDescent="0.2">
      <c r="A602" s="310">
        <v>16045</v>
      </c>
      <c r="B602" s="311" t="s">
        <v>3</v>
      </c>
      <c r="C602" s="310" t="s">
        <v>4</v>
      </c>
    </row>
    <row r="603" spans="1:3" ht="15" x14ac:dyDescent="0.2">
      <c r="A603" s="310">
        <v>16046</v>
      </c>
      <c r="B603" s="311" t="s">
        <v>3</v>
      </c>
      <c r="C603" s="310" t="s">
        <v>4</v>
      </c>
    </row>
    <row r="604" spans="1:3" ht="15" x14ac:dyDescent="0.2">
      <c r="A604" s="310">
        <v>16048</v>
      </c>
      <c r="B604" s="311" t="s">
        <v>3</v>
      </c>
      <c r="C604" s="310" t="s">
        <v>4</v>
      </c>
    </row>
    <row r="605" spans="1:3" ht="15" x14ac:dyDescent="0.2">
      <c r="A605" s="310">
        <v>16049</v>
      </c>
      <c r="B605" s="311" t="s">
        <v>3</v>
      </c>
      <c r="C605" s="310" t="s">
        <v>4</v>
      </c>
    </row>
    <row r="606" spans="1:3" ht="15" x14ac:dyDescent="0.2">
      <c r="A606" s="310">
        <v>16050</v>
      </c>
      <c r="B606" s="311" t="s">
        <v>3</v>
      </c>
      <c r="C606" s="310" t="s">
        <v>4</v>
      </c>
    </row>
    <row r="607" spans="1:3" ht="15" x14ac:dyDescent="0.2">
      <c r="A607" s="310">
        <v>16051</v>
      </c>
      <c r="B607" s="311" t="s">
        <v>3</v>
      </c>
      <c r="C607" s="310" t="s">
        <v>4</v>
      </c>
    </row>
    <row r="608" spans="1:3" ht="15" x14ac:dyDescent="0.2">
      <c r="A608" s="310">
        <v>16052</v>
      </c>
      <c r="B608" s="311" t="s">
        <v>3</v>
      </c>
      <c r="C608" s="310" t="s">
        <v>4</v>
      </c>
    </row>
    <row r="609" spans="1:3" ht="15" x14ac:dyDescent="0.2">
      <c r="A609" s="310">
        <v>16053</v>
      </c>
      <c r="B609" s="311" t="s">
        <v>3</v>
      </c>
      <c r="C609" s="310" t="s">
        <v>4</v>
      </c>
    </row>
    <row r="610" spans="1:3" ht="15" x14ac:dyDescent="0.2">
      <c r="A610" s="310">
        <v>16054</v>
      </c>
      <c r="B610" s="311" t="s">
        <v>7</v>
      </c>
      <c r="C610" s="310" t="s">
        <v>8</v>
      </c>
    </row>
    <row r="611" spans="1:3" ht="15" x14ac:dyDescent="0.2">
      <c r="A611" s="310">
        <v>16055</v>
      </c>
      <c r="B611" s="311" t="s">
        <v>3</v>
      </c>
      <c r="C611" s="310" t="s">
        <v>4</v>
      </c>
    </row>
    <row r="612" spans="1:3" ht="15" x14ac:dyDescent="0.2">
      <c r="A612" s="310">
        <v>16056</v>
      </c>
      <c r="B612" s="311" t="s">
        <v>3</v>
      </c>
      <c r="C612" s="310" t="s">
        <v>4</v>
      </c>
    </row>
    <row r="613" spans="1:3" ht="15" x14ac:dyDescent="0.2">
      <c r="A613" s="310">
        <v>16057</v>
      </c>
      <c r="B613" s="311" t="s">
        <v>3</v>
      </c>
      <c r="C613" s="310" t="s">
        <v>4</v>
      </c>
    </row>
    <row r="614" spans="1:3" ht="15" x14ac:dyDescent="0.2">
      <c r="A614" s="310">
        <v>16058</v>
      </c>
      <c r="B614" s="311" t="s">
        <v>3</v>
      </c>
      <c r="C614" s="310" t="s">
        <v>4</v>
      </c>
    </row>
    <row r="615" spans="1:3" ht="15" x14ac:dyDescent="0.2">
      <c r="A615" s="310">
        <v>16059</v>
      </c>
      <c r="B615" s="311" t="s">
        <v>3</v>
      </c>
      <c r="C615" s="310" t="s">
        <v>4</v>
      </c>
    </row>
    <row r="616" spans="1:3" ht="15" x14ac:dyDescent="0.2">
      <c r="A616" s="310">
        <v>16061</v>
      </c>
      <c r="B616" s="311" t="s">
        <v>3</v>
      </c>
      <c r="C616" s="310" t="s">
        <v>4</v>
      </c>
    </row>
    <row r="617" spans="1:3" ht="15" x14ac:dyDescent="0.2">
      <c r="A617" s="310">
        <v>16063</v>
      </c>
      <c r="B617" s="311" t="s">
        <v>3</v>
      </c>
      <c r="C617" s="310" t="s">
        <v>4</v>
      </c>
    </row>
    <row r="618" spans="1:3" ht="15" x14ac:dyDescent="0.2">
      <c r="A618" s="310">
        <v>16066</v>
      </c>
      <c r="B618" s="311" t="s">
        <v>3</v>
      </c>
      <c r="C618" s="310" t="s">
        <v>4</v>
      </c>
    </row>
    <row r="619" spans="1:3" ht="15" x14ac:dyDescent="0.2">
      <c r="A619" s="310">
        <v>16101</v>
      </c>
      <c r="B619" s="311" t="s">
        <v>3</v>
      </c>
      <c r="C619" s="310" t="s">
        <v>4</v>
      </c>
    </row>
    <row r="620" spans="1:3" ht="15" x14ac:dyDescent="0.2">
      <c r="A620" s="310">
        <v>16102</v>
      </c>
      <c r="B620" s="311" t="s">
        <v>3</v>
      </c>
      <c r="C620" s="310" t="s">
        <v>4</v>
      </c>
    </row>
    <row r="621" spans="1:3" ht="15" x14ac:dyDescent="0.2">
      <c r="A621" s="310">
        <v>16103</v>
      </c>
      <c r="B621" s="311" t="s">
        <v>3</v>
      </c>
      <c r="C621" s="310" t="s">
        <v>4</v>
      </c>
    </row>
    <row r="622" spans="1:3" ht="15" x14ac:dyDescent="0.2">
      <c r="A622" s="310">
        <v>16105</v>
      </c>
      <c r="B622" s="311" t="s">
        <v>3</v>
      </c>
      <c r="C622" s="310" t="s">
        <v>4</v>
      </c>
    </row>
    <row r="623" spans="1:3" ht="15" x14ac:dyDescent="0.2">
      <c r="A623" s="310">
        <v>16107</v>
      </c>
      <c r="B623" s="311" t="s">
        <v>3</v>
      </c>
      <c r="C623" s="310" t="s">
        <v>4</v>
      </c>
    </row>
    <row r="624" spans="1:3" ht="15" x14ac:dyDescent="0.2">
      <c r="A624" s="310">
        <v>16108</v>
      </c>
      <c r="B624" s="311" t="s">
        <v>3</v>
      </c>
      <c r="C624" s="310" t="s">
        <v>4</v>
      </c>
    </row>
    <row r="625" spans="1:3" ht="15" x14ac:dyDescent="0.2">
      <c r="A625" s="310">
        <v>16110</v>
      </c>
      <c r="B625" s="311" t="s">
        <v>7</v>
      </c>
      <c r="C625" s="310" t="s">
        <v>8</v>
      </c>
    </row>
    <row r="626" spans="1:3" ht="15" x14ac:dyDescent="0.2">
      <c r="A626" s="310">
        <v>16111</v>
      </c>
      <c r="B626" s="311" t="s">
        <v>7</v>
      </c>
      <c r="C626" s="310" t="s">
        <v>8</v>
      </c>
    </row>
    <row r="627" spans="1:3" ht="15" x14ac:dyDescent="0.2">
      <c r="A627" s="310">
        <v>16112</v>
      </c>
      <c r="B627" s="311" t="s">
        <v>3</v>
      </c>
      <c r="C627" s="310" t="s">
        <v>4</v>
      </c>
    </row>
    <row r="628" spans="1:3" ht="15" x14ac:dyDescent="0.2">
      <c r="A628" s="310">
        <v>16113</v>
      </c>
      <c r="B628" s="311" t="s">
        <v>7</v>
      </c>
      <c r="C628" s="310" t="s">
        <v>8</v>
      </c>
    </row>
    <row r="629" spans="1:3" ht="15" x14ac:dyDescent="0.2">
      <c r="A629" s="310">
        <v>16114</v>
      </c>
      <c r="B629" s="311" t="s">
        <v>7</v>
      </c>
      <c r="C629" s="310" t="s">
        <v>8</v>
      </c>
    </row>
    <row r="630" spans="1:3" ht="15" x14ac:dyDescent="0.2">
      <c r="A630" s="310">
        <v>16115</v>
      </c>
      <c r="B630" s="311" t="s">
        <v>3</v>
      </c>
      <c r="C630" s="310" t="s">
        <v>4</v>
      </c>
    </row>
    <row r="631" spans="1:3" ht="15" x14ac:dyDescent="0.2">
      <c r="A631" s="310">
        <v>16116</v>
      </c>
      <c r="B631" s="311" t="s">
        <v>3</v>
      </c>
      <c r="C631" s="310" t="s">
        <v>4</v>
      </c>
    </row>
    <row r="632" spans="1:3" ht="15" x14ac:dyDescent="0.2">
      <c r="A632" s="310">
        <v>16117</v>
      </c>
      <c r="B632" s="311" t="s">
        <v>3</v>
      </c>
      <c r="C632" s="310" t="s">
        <v>4</v>
      </c>
    </row>
    <row r="633" spans="1:3" ht="15" x14ac:dyDescent="0.2">
      <c r="A633" s="310">
        <v>16120</v>
      </c>
      <c r="B633" s="311" t="s">
        <v>3</v>
      </c>
      <c r="C633" s="310" t="s">
        <v>4</v>
      </c>
    </row>
    <row r="634" spans="1:3" ht="15" x14ac:dyDescent="0.2">
      <c r="A634" s="310">
        <v>16121</v>
      </c>
      <c r="B634" s="311" t="s">
        <v>7</v>
      </c>
      <c r="C634" s="310" t="s">
        <v>8</v>
      </c>
    </row>
    <row r="635" spans="1:3" ht="15" x14ac:dyDescent="0.2">
      <c r="A635" s="310">
        <v>16123</v>
      </c>
      <c r="B635" s="311" t="s">
        <v>3</v>
      </c>
      <c r="C635" s="310" t="s">
        <v>4</v>
      </c>
    </row>
    <row r="636" spans="1:3" ht="15" x14ac:dyDescent="0.2">
      <c r="A636" s="310">
        <v>16124</v>
      </c>
      <c r="B636" s="311" t="s">
        <v>7</v>
      </c>
      <c r="C636" s="310" t="s">
        <v>8</v>
      </c>
    </row>
    <row r="637" spans="1:3" ht="15" x14ac:dyDescent="0.2">
      <c r="A637" s="310">
        <v>16125</v>
      </c>
      <c r="B637" s="311" t="s">
        <v>7</v>
      </c>
      <c r="C637" s="310" t="s">
        <v>8</v>
      </c>
    </row>
    <row r="638" spans="1:3" ht="15" x14ac:dyDescent="0.2">
      <c r="A638" s="310">
        <v>16127</v>
      </c>
      <c r="B638" s="311" t="s">
        <v>7</v>
      </c>
      <c r="C638" s="310" t="s">
        <v>8</v>
      </c>
    </row>
    <row r="639" spans="1:3" ht="15" x14ac:dyDescent="0.2">
      <c r="A639" s="310">
        <v>16130</v>
      </c>
      <c r="B639" s="311" t="s">
        <v>7</v>
      </c>
      <c r="C639" s="310" t="s">
        <v>8</v>
      </c>
    </row>
    <row r="640" spans="1:3" ht="15" x14ac:dyDescent="0.2">
      <c r="A640" s="310">
        <v>16131</v>
      </c>
      <c r="B640" s="311" t="s">
        <v>7</v>
      </c>
      <c r="C640" s="310" t="s">
        <v>8</v>
      </c>
    </row>
    <row r="641" spans="1:3" ht="15" x14ac:dyDescent="0.2">
      <c r="A641" s="310">
        <v>16132</v>
      </c>
      <c r="B641" s="311" t="s">
        <v>3</v>
      </c>
      <c r="C641" s="310" t="s">
        <v>4</v>
      </c>
    </row>
    <row r="642" spans="1:3" ht="15" x14ac:dyDescent="0.2">
      <c r="A642" s="310">
        <v>16133</v>
      </c>
      <c r="B642" s="311" t="s">
        <v>7</v>
      </c>
      <c r="C642" s="310" t="s">
        <v>8</v>
      </c>
    </row>
    <row r="643" spans="1:3" ht="15" x14ac:dyDescent="0.2">
      <c r="A643" s="310">
        <v>16134</v>
      </c>
      <c r="B643" s="311" t="s">
        <v>7</v>
      </c>
      <c r="C643" s="310" t="s">
        <v>8</v>
      </c>
    </row>
    <row r="644" spans="1:3" ht="15" x14ac:dyDescent="0.2">
      <c r="A644" s="310">
        <v>16136</v>
      </c>
      <c r="B644" s="311" t="s">
        <v>3</v>
      </c>
      <c r="C644" s="310" t="s">
        <v>4</v>
      </c>
    </row>
    <row r="645" spans="1:3" ht="15" x14ac:dyDescent="0.2">
      <c r="A645" s="310">
        <v>16137</v>
      </c>
      <c r="B645" s="311" t="s">
        <v>7</v>
      </c>
      <c r="C645" s="310" t="s">
        <v>8</v>
      </c>
    </row>
    <row r="646" spans="1:3" ht="15" x14ac:dyDescent="0.2">
      <c r="A646" s="310">
        <v>16140</v>
      </c>
      <c r="B646" s="311" t="s">
        <v>3</v>
      </c>
      <c r="C646" s="310" t="s">
        <v>4</v>
      </c>
    </row>
    <row r="647" spans="1:3" ht="15" x14ac:dyDescent="0.2">
      <c r="A647" s="310">
        <v>16141</v>
      </c>
      <c r="B647" s="311" t="s">
        <v>3</v>
      </c>
      <c r="C647" s="310" t="s">
        <v>4</v>
      </c>
    </row>
    <row r="648" spans="1:3" ht="15" x14ac:dyDescent="0.2">
      <c r="A648" s="310">
        <v>16142</v>
      </c>
      <c r="B648" s="311" t="s">
        <v>3</v>
      </c>
      <c r="C648" s="310" t="s">
        <v>4</v>
      </c>
    </row>
    <row r="649" spans="1:3" ht="15" x14ac:dyDescent="0.2">
      <c r="A649" s="310">
        <v>16143</v>
      </c>
      <c r="B649" s="311" t="s">
        <v>3</v>
      </c>
      <c r="C649" s="310" t="s">
        <v>4</v>
      </c>
    </row>
    <row r="650" spans="1:3" ht="15" x14ac:dyDescent="0.2">
      <c r="A650" s="310">
        <v>16145</v>
      </c>
      <c r="B650" s="311" t="s">
        <v>7</v>
      </c>
      <c r="C650" s="310" t="s">
        <v>8</v>
      </c>
    </row>
    <row r="651" spans="1:3" ht="15" x14ac:dyDescent="0.2">
      <c r="A651" s="310">
        <v>16146</v>
      </c>
      <c r="B651" s="311" t="s">
        <v>7</v>
      </c>
      <c r="C651" s="310" t="s">
        <v>8</v>
      </c>
    </row>
    <row r="652" spans="1:3" ht="15" x14ac:dyDescent="0.2">
      <c r="A652" s="310">
        <v>16148</v>
      </c>
      <c r="B652" s="311" t="s">
        <v>7</v>
      </c>
      <c r="C652" s="310" t="s">
        <v>8</v>
      </c>
    </row>
    <row r="653" spans="1:3" ht="15" x14ac:dyDescent="0.2">
      <c r="A653" s="310">
        <v>16150</v>
      </c>
      <c r="B653" s="311" t="s">
        <v>7</v>
      </c>
      <c r="C653" s="310" t="s">
        <v>8</v>
      </c>
    </row>
    <row r="654" spans="1:3" ht="15" x14ac:dyDescent="0.2">
      <c r="A654" s="310">
        <v>16151</v>
      </c>
      <c r="B654" s="311" t="s">
        <v>7</v>
      </c>
      <c r="C654" s="310" t="s">
        <v>8</v>
      </c>
    </row>
    <row r="655" spans="1:3" ht="15" x14ac:dyDescent="0.2">
      <c r="A655" s="310">
        <v>16153</v>
      </c>
      <c r="B655" s="311" t="s">
        <v>7</v>
      </c>
      <c r="C655" s="310" t="s">
        <v>8</v>
      </c>
    </row>
    <row r="656" spans="1:3" ht="15" x14ac:dyDescent="0.2">
      <c r="A656" s="310">
        <v>16154</v>
      </c>
      <c r="B656" s="311" t="s">
        <v>7</v>
      </c>
      <c r="C656" s="310" t="s">
        <v>8</v>
      </c>
    </row>
    <row r="657" spans="1:3" ht="15" x14ac:dyDescent="0.2">
      <c r="A657" s="310">
        <v>16155</v>
      </c>
      <c r="B657" s="311" t="s">
        <v>3</v>
      </c>
      <c r="C657" s="310" t="s">
        <v>4</v>
      </c>
    </row>
    <row r="658" spans="1:3" ht="15" x14ac:dyDescent="0.2">
      <c r="A658" s="310">
        <v>16156</v>
      </c>
      <c r="B658" s="311" t="s">
        <v>3</v>
      </c>
      <c r="C658" s="310" t="s">
        <v>4</v>
      </c>
    </row>
    <row r="659" spans="1:3" ht="15" x14ac:dyDescent="0.2">
      <c r="A659" s="310">
        <v>16157</v>
      </c>
      <c r="B659" s="311" t="s">
        <v>3</v>
      </c>
      <c r="C659" s="310" t="s">
        <v>4</v>
      </c>
    </row>
    <row r="660" spans="1:3" ht="15" x14ac:dyDescent="0.2">
      <c r="A660" s="310">
        <v>16159</v>
      </c>
      <c r="B660" s="311" t="s">
        <v>7</v>
      </c>
      <c r="C660" s="310" t="s">
        <v>8</v>
      </c>
    </row>
    <row r="661" spans="1:3" ht="15" x14ac:dyDescent="0.2">
      <c r="A661" s="310">
        <v>16160</v>
      </c>
      <c r="B661" s="311" t="s">
        <v>3</v>
      </c>
      <c r="C661" s="310" t="s">
        <v>4</v>
      </c>
    </row>
    <row r="662" spans="1:3" ht="15" x14ac:dyDescent="0.2">
      <c r="A662" s="310">
        <v>16161</v>
      </c>
      <c r="B662" s="311" t="s">
        <v>7</v>
      </c>
      <c r="C662" s="310" t="s">
        <v>8</v>
      </c>
    </row>
    <row r="663" spans="1:3" ht="15" x14ac:dyDescent="0.2">
      <c r="A663" s="310">
        <v>16172</v>
      </c>
      <c r="B663" s="311" t="s">
        <v>3</v>
      </c>
      <c r="C663" s="310" t="s">
        <v>4</v>
      </c>
    </row>
    <row r="664" spans="1:3" ht="15" x14ac:dyDescent="0.2">
      <c r="A664" s="310">
        <v>16201</v>
      </c>
      <c r="B664" s="311" t="s">
        <v>3</v>
      </c>
      <c r="C664" s="310" t="s">
        <v>4</v>
      </c>
    </row>
    <row r="665" spans="1:3" ht="15" x14ac:dyDescent="0.2">
      <c r="A665" s="310">
        <v>16210</v>
      </c>
      <c r="B665" s="311" t="s">
        <v>3</v>
      </c>
      <c r="C665" s="310" t="s">
        <v>4</v>
      </c>
    </row>
    <row r="666" spans="1:3" ht="15" x14ac:dyDescent="0.2">
      <c r="A666" s="310">
        <v>16211</v>
      </c>
      <c r="B666" s="311" t="s">
        <v>3</v>
      </c>
      <c r="C666" s="310" t="s">
        <v>4</v>
      </c>
    </row>
    <row r="667" spans="1:3" ht="15" x14ac:dyDescent="0.2">
      <c r="A667" s="310">
        <v>16212</v>
      </c>
      <c r="B667" s="311" t="s">
        <v>3</v>
      </c>
      <c r="C667" s="310" t="s">
        <v>4</v>
      </c>
    </row>
    <row r="668" spans="1:3" ht="15" x14ac:dyDescent="0.2">
      <c r="A668" s="310">
        <v>16213</v>
      </c>
      <c r="B668" s="311" t="s">
        <v>7</v>
      </c>
      <c r="C668" s="310" t="s">
        <v>8</v>
      </c>
    </row>
    <row r="669" spans="1:3" ht="15" x14ac:dyDescent="0.2">
      <c r="A669" s="310">
        <v>16214</v>
      </c>
      <c r="B669" s="311" t="s">
        <v>7</v>
      </c>
      <c r="C669" s="310" t="s">
        <v>8</v>
      </c>
    </row>
    <row r="670" spans="1:3" ht="15" x14ac:dyDescent="0.2">
      <c r="A670" s="310">
        <v>16215</v>
      </c>
      <c r="B670" s="311" t="s">
        <v>3</v>
      </c>
      <c r="C670" s="310" t="s">
        <v>4</v>
      </c>
    </row>
    <row r="671" spans="1:3" ht="15" x14ac:dyDescent="0.2">
      <c r="A671" s="310">
        <v>16217</v>
      </c>
      <c r="B671" s="311" t="s">
        <v>7</v>
      </c>
      <c r="C671" s="310" t="s">
        <v>8</v>
      </c>
    </row>
    <row r="672" spans="1:3" ht="15" x14ac:dyDescent="0.2">
      <c r="A672" s="310">
        <v>16218</v>
      </c>
      <c r="B672" s="311" t="s">
        <v>3</v>
      </c>
      <c r="C672" s="310" t="s">
        <v>4</v>
      </c>
    </row>
    <row r="673" spans="1:3" ht="15" x14ac:dyDescent="0.2">
      <c r="A673" s="310">
        <v>16220</v>
      </c>
      <c r="B673" s="311" t="s">
        <v>7</v>
      </c>
      <c r="C673" s="310" t="s">
        <v>8</v>
      </c>
    </row>
    <row r="674" spans="1:3" ht="15" x14ac:dyDescent="0.2">
      <c r="A674" s="310">
        <v>16221</v>
      </c>
      <c r="B674" s="311" t="s">
        <v>7</v>
      </c>
      <c r="C674" s="310" t="s">
        <v>8</v>
      </c>
    </row>
    <row r="675" spans="1:3" ht="15" x14ac:dyDescent="0.2">
      <c r="A675" s="310">
        <v>16222</v>
      </c>
      <c r="B675" s="311" t="s">
        <v>3</v>
      </c>
      <c r="C675" s="310" t="s">
        <v>4</v>
      </c>
    </row>
    <row r="676" spans="1:3" ht="15" x14ac:dyDescent="0.2">
      <c r="A676" s="310">
        <v>16223</v>
      </c>
      <c r="B676" s="311" t="s">
        <v>3</v>
      </c>
      <c r="C676" s="310" t="s">
        <v>4</v>
      </c>
    </row>
    <row r="677" spans="1:3" ht="15" x14ac:dyDescent="0.2">
      <c r="A677" s="310">
        <v>16224</v>
      </c>
      <c r="B677" s="311" t="s">
        <v>7</v>
      </c>
      <c r="C677" s="310" t="s">
        <v>8</v>
      </c>
    </row>
    <row r="678" spans="1:3" ht="15" x14ac:dyDescent="0.2">
      <c r="A678" s="310">
        <v>16225</v>
      </c>
      <c r="B678" s="311" t="s">
        <v>7</v>
      </c>
      <c r="C678" s="310" t="s">
        <v>8</v>
      </c>
    </row>
    <row r="679" spans="1:3" ht="15" x14ac:dyDescent="0.2">
      <c r="A679" s="310">
        <v>16226</v>
      </c>
      <c r="B679" s="311" t="s">
        <v>3</v>
      </c>
      <c r="C679" s="310" t="s">
        <v>4</v>
      </c>
    </row>
    <row r="680" spans="1:3" ht="15" x14ac:dyDescent="0.2">
      <c r="A680" s="310">
        <v>16228</v>
      </c>
      <c r="B680" s="311" t="s">
        <v>3</v>
      </c>
      <c r="C680" s="310" t="s">
        <v>4</v>
      </c>
    </row>
    <row r="681" spans="1:3" ht="15" x14ac:dyDescent="0.2">
      <c r="A681" s="310">
        <v>16229</v>
      </c>
      <c r="B681" s="311" t="s">
        <v>3</v>
      </c>
      <c r="C681" s="310" t="s">
        <v>4</v>
      </c>
    </row>
    <row r="682" spans="1:3" ht="15" x14ac:dyDescent="0.2">
      <c r="A682" s="310">
        <v>16230</v>
      </c>
      <c r="B682" s="311" t="s">
        <v>7</v>
      </c>
      <c r="C682" s="310" t="s">
        <v>8</v>
      </c>
    </row>
    <row r="683" spans="1:3" ht="15" x14ac:dyDescent="0.2">
      <c r="A683" s="310">
        <v>16232</v>
      </c>
      <c r="B683" s="311" t="s">
        <v>7</v>
      </c>
      <c r="C683" s="310" t="s">
        <v>8</v>
      </c>
    </row>
    <row r="684" spans="1:3" ht="15" x14ac:dyDescent="0.2">
      <c r="A684" s="310">
        <v>16233</v>
      </c>
      <c r="B684" s="311" t="s">
        <v>7</v>
      </c>
      <c r="C684" s="310" t="s">
        <v>8</v>
      </c>
    </row>
    <row r="685" spans="1:3" ht="15" x14ac:dyDescent="0.2">
      <c r="A685" s="310">
        <v>16234</v>
      </c>
      <c r="B685" s="311" t="s">
        <v>7</v>
      </c>
      <c r="C685" s="310" t="s">
        <v>8</v>
      </c>
    </row>
    <row r="686" spans="1:3" ht="15" x14ac:dyDescent="0.2">
      <c r="A686" s="310">
        <v>16235</v>
      </c>
      <c r="B686" s="311" t="s">
        <v>7</v>
      </c>
      <c r="C686" s="310" t="s">
        <v>8</v>
      </c>
    </row>
    <row r="687" spans="1:3" ht="15" x14ac:dyDescent="0.2">
      <c r="A687" s="310">
        <v>16236</v>
      </c>
      <c r="B687" s="311" t="s">
        <v>3</v>
      </c>
      <c r="C687" s="310" t="s">
        <v>4</v>
      </c>
    </row>
    <row r="688" spans="1:3" ht="15" x14ac:dyDescent="0.2">
      <c r="A688" s="310">
        <v>16238</v>
      </c>
      <c r="B688" s="311" t="s">
        <v>3</v>
      </c>
      <c r="C688" s="310" t="s">
        <v>4</v>
      </c>
    </row>
    <row r="689" spans="1:3" ht="15" x14ac:dyDescent="0.2">
      <c r="A689" s="310">
        <v>16239</v>
      </c>
      <c r="B689" s="311" t="s">
        <v>7</v>
      </c>
      <c r="C689" s="310" t="s">
        <v>8</v>
      </c>
    </row>
    <row r="690" spans="1:3" ht="15" x14ac:dyDescent="0.2">
      <c r="A690" s="310">
        <v>16240</v>
      </c>
      <c r="B690" s="311" t="s">
        <v>7</v>
      </c>
      <c r="C690" s="310" t="s">
        <v>8</v>
      </c>
    </row>
    <row r="691" spans="1:3" ht="15" x14ac:dyDescent="0.2">
      <c r="A691" s="310">
        <v>16242</v>
      </c>
      <c r="B691" s="311" t="s">
        <v>7</v>
      </c>
      <c r="C691" s="310" t="s">
        <v>8</v>
      </c>
    </row>
    <row r="692" spans="1:3" ht="15" x14ac:dyDescent="0.2">
      <c r="A692" s="310">
        <v>16244</v>
      </c>
      <c r="B692" s="311" t="s">
        <v>3</v>
      </c>
      <c r="C692" s="310" t="s">
        <v>4</v>
      </c>
    </row>
    <row r="693" spans="1:3" ht="15" x14ac:dyDescent="0.2">
      <c r="A693" s="310">
        <v>16245</v>
      </c>
      <c r="B693" s="311" t="s">
        <v>3</v>
      </c>
      <c r="C693" s="310" t="s">
        <v>4</v>
      </c>
    </row>
    <row r="694" spans="1:3" ht="15" x14ac:dyDescent="0.2">
      <c r="A694" s="310">
        <v>16246</v>
      </c>
      <c r="B694" s="311" t="s">
        <v>3</v>
      </c>
      <c r="C694" s="310" t="s">
        <v>4</v>
      </c>
    </row>
    <row r="695" spans="1:3" ht="15" x14ac:dyDescent="0.2">
      <c r="A695" s="310">
        <v>16248</v>
      </c>
      <c r="B695" s="311" t="s">
        <v>7</v>
      </c>
      <c r="C695" s="310" t="s">
        <v>8</v>
      </c>
    </row>
    <row r="696" spans="1:3" ht="15" x14ac:dyDescent="0.2">
      <c r="A696" s="310">
        <v>16249</v>
      </c>
      <c r="B696" s="311" t="s">
        <v>3</v>
      </c>
      <c r="C696" s="310" t="s">
        <v>4</v>
      </c>
    </row>
    <row r="697" spans="1:3" ht="15" x14ac:dyDescent="0.2">
      <c r="A697" s="310">
        <v>16250</v>
      </c>
      <c r="B697" s="311" t="s">
        <v>3</v>
      </c>
      <c r="C697" s="310" t="s">
        <v>4</v>
      </c>
    </row>
    <row r="698" spans="1:3" ht="15" x14ac:dyDescent="0.2">
      <c r="A698" s="310">
        <v>16253</v>
      </c>
      <c r="B698" s="311" t="s">
        <v>3</v>
      </c>
      <c r="C698" s="310" t="s">
        <v>4</v>
      </c>
    </row>
    <row r="699" spans="1:3" ht="15" x14ac:dyDescent="0.2">
      <c r="A699" s="310">
        <v>16254</v>
      </c>
      <c r="B699" s="311" t="s">
        <v>7</v>
      </c>
      <c r="C699" s="310" t="s">
        <v>8</v>
      </c>
    </row>
    <row r="700" spans="1:3" ht="15" x14ac:dyDescent="0.2">
      <c r="A700" s="310">
        <v>16255</v>
      </c>
      <c r="B700" s="311" t="s">
        <v>7</v>
      </c>
      <c r="C700" s="310" t="s">
        <v>8</v>
      </c>
    </row>
    <row r="701" spans="1:3" ht="15" x14ac:dyDescent="0.2">
      <c r="A701" s="310">
        <v>16256</v>
      </c>
      <c r="B701" s="311" t="s">
        <v>3</v>
      </c>
      <c r="C701" s="310" t="s">
        <v>4</v>
      </c>
    </row>
    <row r="702" spans="1:3" ht="15" x14ac:dyDescent="0.2">
      <c r="A702" s="310">
        <v>16257</v>
      </c>
      <c r="B702" s="311" t="s">
        <v>7</v>
      </c>
      <c r="C702" s="310" t="s">
        <v>8</v>
      </c>
    </row>
    <row r="703" spans="1:3" ht="15" x14ac:dyDescent="0.2">
      <c r="A703" s="310">
        <v>16258</v>
      </c>
      <c r="B703" s="311" t="s">
        <v>7</v>
      </c>
      <c r="C703" s="310" t="s">
        <v>8</v>
      </c>
    </row>
    <row r="704" spans="1:3" ht="15" x14ac:dyDescent="0.2">
      <c r="A704" s="310">
        <v>16259</v>
      </c>
      <c r="B704" s="311" t="s">
        <v>3</v>
      </c>
      <c r="C704" s="310" t="s">
        <v>4</v>
      </c>
    </row>
    <row r="705" spans="1:3" ht="15" x14ac:dyDescent="0.2">
      <c r="A705" s="310">
        <v>16260</v>
      </c>
      <c r="B705" s="311" t="s">
        <v>7</v>
      </c>
      <c r="C705" s="310" t="s">
        <v>8</v>
      </c>
    </row>
    <row r="706" spans="1:3" ht="15" x14ac:dyDescent="0.2">
      <c r="A706" s="310">
        <v>16261</v>
      </c>
      <c r="B706" s="311" t="s">
        <v>3</v>
      </c>
      <c r="C706" s="310" t="s">
        <v>4</v>
      </c>
    </row>
    <row r="707" spans="1:3" ht="15" x14ac:dyDescent="0.2">
      <c r="A707" s="310">
        <v>16262</v>
      </c>
      <c r="B707" s="311" t="s">
        <v>3</v>
      </c>
      <c r="C707" s="310" t="s">
        <v>4</v>
      </c>
    </row>
    <row r="708" spans="1:3" ht="15" x14ac:dyDescent="0.2">
      <c r="A708" s="310">
        <v>16263</v>
      </c>
      <c r="B708" s="311" t="s">
        <v>3</v>
      </c>
      <c r="C708" s="310" t="s">
        <v>4</v>
      </c>
    </row>
    <row r="709" spans="1:3" ht="15" x14ac:dyDescent="0.2">
      <c r="A709" s="310">
        <v>16301</v>
      </c>
      <c r="B709" s="311" t="s">
        <v>7</v>
      </c>
      <c r="C709" s="310" t="s">
        <v>8</v>
      </c>
    </row>
    <row r="710" spans="1:3" ht="15" x14ac:dyDescent="0.2">
      <c r="A710" s="310">
        <v>16311</v>
      </c>
      <c r="B710" s="311" t="s">
        <v>7</v>
      </c>
      <c r="C710" s="310" t="s">
        <v>8</v>
      </c>
    </row>
    <row r="711" spans="1:3" ht="15" x14ac:dyDescent="0.2">
      <c r="A711" s="310">
        <v>16312</v>
      </c>
      <c r="B711" s="311" t="s">
        <v>7</v>
      </c>
      <c r="C711" s="310" t="s">
        <v>8</v>
      </c>
    </row>
    <row r="712" spans="1:3" ht="15" x14ac:dyDescent="0.2">
      <c r="A712" s="310">
        <v>16313</v>
      </c>
      <c r="B712" s="311" t="s">
        <v>7</v>
      </c>
      <c r="C712" s="310" t="s">
        <v>8</v>
      </c>
    </row>
    <row r="713" spans="1:3" ht="15" x14ac:dyDescent="0.2">
      <c r="A713" s="310">
        <v>16314</v>
      </c>
      <c r="B713" s="311" t="s">
        <v>7</v>
      </c>
      <c r="C713" s="310" t="s">
        <v>8</v>
      </c>
    </row>
    <row r="714" spans="1:3" ht="15" x14ac:dyDescent="0.2">
      <c r="A714" s="310">
        <v>16316</v>
      </c>
      <c r="B714" s="311" t="s">
        <v>7</v>
      </c>
      <c r="C714" s="310" t="s">
        <v>8</v>
      </c>
    </row>
    <row r="715" spans="1:3" ht="15" x14ac:dyDescent="0.2">
      <c r="A715" s="310">
        <v>16317</v>
      </c>
      <c r="B715" s="311" t="s">
        <v>7</v>
      </c>
      <c r="C715" s="310" t="s">
        <v>8</v>
      </c>
    </row>
    <row r="716" spans="1:3" ht="15" x14ac:dyDescent="0.2">
      <c r="A716" s="310">
        <v>16319</v>
      </c>
      <c r="B716" s="311" t="s">
        <v>7</v>
      </c>
      <c r="C716" s="310" t="s">
        <v>8</v>
      </c>
    </row>
    <row r="717" spans="1:3" ht="15" x14ac:dyDescent="0.2">
      <c r="A717" s="310">
        <v>16321</v>
      </c>
      <c r="B717" s="311" t="s">
        <v>7</v>
      </c>
      <c r="C717" s="310" t="s">
        <v>8</v>
      </c>
    </row>
    <row r="718" spans="1:3" ht="15" x14ac:dyDescent="0.2">
      <c r="A718" s="310">
        <v>16322</v>
      </c>
      <c r="B718" s="311" t="s">
        <v>7</v>
      </c>
      <c r="C718" s="310" t="s">
        <v>8</v>
      </c>
    </row>
    <row r="719" spans="1:3" ht="15" x14ac:dyDescent="0.2">
      <c r="A719" s="310">
        <v>16323</v>
      </c>
      <c r="B719" s="311" t="s">
        <v>7</v>
      </c>
      <c r="C719" s="310" t="s">
        <v>8</v>
      </c>
    </row>
    <row r="720" spans="1:3" ht="15" x14ac:dyDescent="0.2">
      <c r="A720" s="310">
        <v>16326</v>
      </c>
      <c r="B720" s="311" t="s">
        <v>7</v>
      </c>
      <c r="C720" s="310" t="s">
        <v>8</v>
      </c>
    </row>
    <row r="721" spans="1:3" ht="15" x14ac:dyDescent="0.2">
      <c r="A721" s="310">
        <v>16327</v>
      </c>
      <c r="B721" s="311" t="s">
        <v>7</v>
      </c>
      <c r="C721" s="310" t="s">
        <v>8</v>
      </c>
    </row>
    <row r="722" spans="1:3" ht="15" x14ac:dyDescent="0.2">
      <c r="A722" s="310">
        <v>16328</v>
      </c>
      <c r="B722" s="311" t="s">
        <v>7</v>
      </c>
      <c r="C722" s="310" t="s">
        <v>8</v>
      </c>
    </row>
    <row r="723" spans="1:3" ht="15" x14ac:dyDescent="0.2">
      <c r="A723" s="310">
        <v>16329</v>
      </c>
      <c r="B723" s="311" t="s">
        <v>7</v>
      </c>
      <c r="C723" s="310" t="s">
        <v>8</v>
      </c>
    </row>
    <row r="724" spans="1:3" ht="15" x14ac:dyDescent="0.2">
      <c r="A724" s="310">
        <v>16331</v>
      </c>
      <c r="B724" s="311" t="s">
        <v>7</v>
      </c>
      <c r="C724" s="310" t="s">
        <v>8</v>
      </c>
    </row>
    <row r="725" spans="1:3" ht="15" x14ac:dyDescent="0.2">
      <c r="A725" s="310">
        <v>16332</v>
      </c>
      <c r="B725" s="311" t="s">
        <v>7</v>
      </c>
      <c r="C725" s="310" t="s">
        <v>8</v>
      </c>
    </row>
    <row r="726" spans="1:3" ht="15" x14ac:dyDescent="0.2">
      <c r="A726" s="310">
        <v>16333</v>
      </c>
      <c r="B726" s="311" t="s">
        <v>9</v>
      </c>
      <c r="C726" s="310" t="s">
        <v>10</v>
      </c>
    </row>
    <row r="727" spans="1:3" ht="15" x14ac:dyDescent="0.2">
      <c r="A727" s="310">
        <v>16334</v>
      </c>
      <c r="B727" s="311" t="s">
        <v>7</v>
      </c>
      <c r="C727" s="310" t="s">
        <v>8</v>
      </c>
    </row>
    <row r="728" spans="1:3" ht="15" x14ac:dyDescent="0.2">
      <c r="A728" s="310">
        <v>16335</v>
      </c>
      <c r="B728" s="311" t="s">
        <v>7</v>
      </c>
      <c r="C728" s="310" t="s">
        <v>8</v>
      </c>
    </row>
    <row r="729" spans="1:3" ht="15" x14ac:dyDescent="0.2">
      <c r="A729" s="310">
        <v>16340</v>
      </c>
      <c r="B729" s="311" t="s">
        <v>7</v>
      </c>
      <c r="C729" s="310" t="s">
        <v>8</v>
      </c>
    </row>
    <row r="730" spans="1:3" ht="15" x14ac:dyDescent="0.2">
      <c r="A730" s="310">
        <v>16341</v>
      </c>
      <c r="B730" s="311" t="s">
        <v>7</v>
      </c>
      <c r="C730" s="310" t="s">
        <v>8</v>
      </c>
    </row>
    <row r="731" spans="1:3" ht="15" x14ac:dyDescent="0.2">
      <c r="A731" s="310">
        <v>16342</v>
      </c>
      <c r="B731" s="311" t="s">
        <v>7</v>
      </c>
      <c r="C731" s="310" t="s">
        <v>8</v>
      </c>
    </row>
    <row r="732" spans="1:3" ht="15" x14ac:dyDescent="0.2">
      <c r="A732" s="310">
        <v>16343</v>
      </c>
      <c r="B732" s="311" t="s">
        <v>7</v>
      </c>
      <c r="C732" s="310" t="s">
        <v>8</v>
      </c>
    </row>
    <row r="733" spans="1:3" ht="15" x14ac:dyDescent="0.2">
      <c r="A733" s="310">
        <v>16344</v>
      </c>
      <c r="B733" s="311" t="s">
        <v>7</v>
      </c>
      <c r="C733" s="310" t="s">
        <v>8</v>
      </c>
    </row>
    <row r="734" spans="1:3" ht="15" x14ac:dyDescent="0.2">
      <c r="A734" s="310">
        <v>16345</v>
      </c>
      <c r="B734" s="311" t="s">
        <v>7</v>
      </c>
      <c r="C734" s="310" t="s">
        <v>8</v>
      </c>
    </row>
    <row r="735" spans="1:3" ht="15" x14ac:dyDescent="0.2">
      <c r="A735" s="310">
        <v>16346</v>
      </c>
      <c r="B735" s="311" t="s">
        <v>7</v>
      </c>
      <c r="C735" s="310" t="s">
        <v>8</v>
      </c>
    </row>
    <row r="736" spans="1:3" ht="15" x14ac:dyDescent="0.2">
      <c r="A736" s="310">
        <v>16347</v>
      </c>
      <c r="B736" s="311" t="s">
        <v>7</v>
      </c>
      <c r="C736" s="310" t="s">
        <v>8</v>
      </c>
    </row>
    <row r="737" spans="1:3" ht="15" x14ac:dyDescent="0.2">
      <c r="A737" s="310">
        <v>16350</v>
      </c>
      <c r="B737" s="311" t="s">
        <v>7</v>
      </c>
      <c r="C737" s="310" t="s">
        <v>8</v>
      </c>
    </row>
    <row r="738" spans="1:3" ht="15" x14ac:dyDescent="0.2">
      <c r="A738" s="310">
        <v>16351</v>
      </c>
      <c r="B738" s="311" t="s">
        <v>7</v>
      </c>
      <c r="C738" s="310" t="s">
        <v>8</v>
      </c>
    </row>
    <row r="739" spans="1:3" ht="15" x14ac:dyDescent="0.2">
      <c r="A739" s="310">
        <v>16352</v>
      </c>
      <c r="B739" s="311" t="s">
        <v>7</v>
      </c>
      <c r="C739" s="310" t="s">
        <v>8</v>
      </c>
    </row>
    <row r="740" spans="1:3" ht="15" x14ac:dyDescent="0.2">
      <c r="A740" s="310">
        <v>16353</v>
      </c>
      <c r="B740" s="311" t="s">
        <v>7</v>
      </c>
      <c r="C740" s="310" t="s">
        <v>8</v>
      </c>
    </row>
    <row r="741" spans="1:3" ht="15" x14ac:dyDescent="0.2">
      <c r="A741" s="310">
        <v>16354</v>
      </c>
      <c r="B741" s="311" t="s">
        <v>7</v>
      </c>
      <c r="C741" s="310" t="s">
        <v>8</v>
      </c>
    </row>
    <row r="742" spans="1:3" ht="15" x14ac:dyDescent="0.2">
      <c r="A742" s="310">
        <v>16360</v>
      </c>
      <c r="B742" s="311" t="s">
        <v>7</v>
      </c>
      <c r="C742" s="310" t="s">
        <v>8</v>
      </c>
    </row>
    <row r="743" spans="1:3" ht="15" x14ac:dyDescent="0.2">
      <c r="A743" s="310">
        <v>16361</v>
      </c>
      <c r="B743" s="311" t="s">
        <v>7</v>
      </c>
      <c r="C743" s="310" t="s">
        <v>8</v>
      </c>
    </row>
    <row r="744" spans="1:3" ht="15" x14ac:dyDescent="0.2">
      <c r="A744" s="310">
        <v>16362</v>
      </c>
      <c r="B744" s="311" t="s">
        <v>7</v>
      </c>
      <c r="C744" s="310" t="s">
        <v>8</v>
      </c>
    </row>
    <row r="745" spans="1:3" ht="15" x14ac:dyDescent="0.2">
      <c r="A745" s="310">
        <v>16364</v>
      </c>
      <c r="B745" s="311" t="s">
        <v>7</v>
      </c>
      <c r="C745" s="310" t="s">
        <v>8</v>
      </c>
    </row>
    <row r="746" spans="1:3" ht="15" x14ac:dyDescent="0.2">
      <c r="A746" s="310">
        <v>16365</v>
      </c>
      <c r="B746" s="311" t="s">
        <v>7</v>
      </c>
      <c r="C746" s="310" t="s">
        <v>8</v>
      </c>
    </row>
    <row r="747" spans="1:3" ht="15" x14ac:dyDescent="0.2">
      <c r="A747" s="310">
        <v>16366</v>
      </c>
      <c r="B747" s="311" t="s">
        <v>7</v>
      </c>
      <c r="C747" s="310" t="s">
        <v>8</v>
      </c>
    </row>
    <row r="748" spans="1:3" ht="15" x14ac:dyDescent="0.2">
      <c r="A748" s="310">
        <v>16367</v>
      </c>
      <c r="B748" s="311" t="s">
        <v>7</v>
      </c>
      <c r="C748" s="310" t="s">
        <v>8</v>
      </c>
    </row>
    <row r="749" spans="1:3" ht="15" x14ac:dyDescent="0.2">
      <c r="A749" s="310">
        <v>16368</v>
      </c>
      <c r="B749" s="311" t="s">
        <v>7</v>
      </c>
      <c r="C749" s="310" t="s">
        <v>8</v>
      </c>
    </row>
    <row r="750" spans="1:3" ht="15" x14ac:dyDescent="0.2">
      <c r="A750" s="310">
        <v>16369</v>
      </c>
      <c r="B750" s="311" t="s">
        <v>7</v>
      </c>
      <c r="C750" s="310" t="s">
        <v>8</v>
      </c>
    </row>
    <row r="751" spans="1:3" ht="15" x14ac:dyDescent="0.2">
      <c r="A751" s="310">
        <v>16370</v>
      </c>
      <c r="B751" s="311" t="s">
        <v>7</v>
      </c>
      <c r="C751" s="310" t="s">
        <v>8</v>
      </c>
    </row>
    <row r="752" spans="1:3" ht="15" x14ac:dyDescent="0.2">
      <c r="A752" s="310">
        <v>16371</v>
      </c>
      <c r="B752" s="311" t="s">
        <v>7</v>
      </c>
      <c r="C752" s="310" t="s">
        <v>8</v>
      </c>
    </row>
    <row r="753" spans="1:3" ht="15" x14ac:dyDescent="0.2">
      <c r="A753" s="310">
        <v>16372</v>
      </c>
      <c r="B753" s="311" t="s">
        <v>7</v>
      </c>
      <c r="C753" s="310" t="s">
        <v>8</v>
      </c>
    </row>
    <row r="754" spans="1:3" ht="15" x14ac:dyDescent="0.2">
      <c r="A754" s="310">
        <v>16373</v>
      </c>
      <c r="B754" s="311" t="s">
        <v>7</v>
      </c>
      <c r="C754" s="310" t="s">
        <v>8</v>
      </c>
    </row>
    <row r="755" spans="1:3" ht="15" x14ac:dyDescent="0.2">
      <c r="A755" s="310">
        <v>16374</v>
      </c>
      <c r="B755" s="311" t="s">
        <v>7</v>
      </c>
      <c r="C755" s="310" t="s">
        <v>8</v>
      </c>
    </row>
    <row r="756" spans="1:3" ht="15" x14ac:dyDescent="0.2">
      <c r="A756" s="310">
        <v>16375</v>
      </c>
      <c r="B756" s="311" t="s">
        <v>7</v>
      </c>
      <c r="C756" s="310" t="s">
        <v>8</v>
      </c>
    </row>
    <row r="757" spans="1:3" ht="15" x14ac:dyDescent="0.2">
      <c r="A757" s="310">
        <v>16388</v>
      </c>
      <c r="B757" s="311" t="s">
        <v>7</v>
      </c>
      <c r="C757" s="310" t="s">
        <v>8</v>
      </c>
    </row>
    <row r="758" spans="1:3" ht="15" x14ac:dyDescent="0.2">
      <c r="A758" s="310">
        <v>16401</v>
      </c>
      <c r="B758" s="311" t="s">
        <v>7</v>
      </c>
      <c r="C758" s="310" t="s">
        <v>8</v>
      </c>
    </row>
    <row r="759" spans="1:3" ht="15" x14ac:dyDescent="0.2">
      <c r="A759" s="310">
        <v>16402</v>
      </c>
      <c r="B759" s="311" t="s">
        <v>7</v>
      </c>
      <c r="C759" s="310" t="s">
        <v>8</v>
      </c>
    </row>
    <row r="760" spans="1:3" ht="15" x14ac:dyDescent="0.2">
      <c r="A760" s="310">
        <v>16403</v>
      </c>
      <c r="B760" s="311" t="s">
        <v>7</v>
      </c>
      <c r="C760" s="310" t="s">
        <v>8</v>
      </c>
    </row>
    <row r="761" spans="1:3" ht="15" x14ac:dyDescent="0.2">
      <c r="A761" s="310">
        <v>16404</v>
      </c>
      <c r="B761" s="311" t="s">
        <v>7</v>
      </c>
      <c r="C761" s="310" t="s">
        <v>8</v>
      </c>
    </row>
    <row r="762" spans="1:3" ht="15" x14ac:dyDescent="0.2">
      <c r="A762" s="310">
        <v>16405</v>
      </c>
      <c r="B762" s="311" t="s">
        <v>7</v>
      </c>
      <c r="C762" s="310" t="s">
        <v>8</v>
      </c>
    </row>
    <row r="763" spans="1:3" ht="15" x14ac:dyDescent="0.2">
      <c r="A763" s="310">
        <v>16406</v>
      </c>
      <c r="B763" s="311" t="s">
        <v>7</v>
      </c>
      <c r="C763" s="310" t="s">
        <v>8</v>
      </c>
    </row>
    <row r="764" spans="1:3" ht="15" x14ac:dyDescent="0.2">
      <c r="A764" s="310">
        <v>16407</v>
      </c>
      <c r="B764" s="311" t="s">
        <v>7</v>
      </c>
      <c r="C764" s="310" t="s">
        <v>8</v>
      </c>
    </row>
    <row r="765" spans="1:3" ht="15" x14ac:dyDescent="0.2">
      <c r="A765" s="310">
        <v>16410</v>
      </c>
      <c r="B765" s="311" t="s">
        <v>7</v>
      </c>
      <c r="C765" s="310" t="s">
        <v>8</v>
      </c>
    </row>
    <row r="766" spans="1:3" ht="15" x14ac:dyDescent="0.2">
      <c r="A766" s="310">
        <v>16411</v>
      </c>
      <c r="B766" s="311" t="s">
        <v>7</v>
      </c>
      <c r="C766" s="310" t="s">
        <v>8</v>
      </c>
    </row>
    <row r="767" spans="1:3" ht="15" x14ac:dyDescent="0.2">
      <c r="A767" s="310">
        <v>16412</v>
      </c>
      <c r="B767" s="311" t="s">
        <v>7</v>
      </c>
      <c r="C767" s="310" t="s">
        <v>8</v>
      </c>
    </row>
    <row r="768" spans="1:3" ht="15" x14ac:dyDescent="0.2">
      <c r="A768" s="310">
        <v>16413</v>
      </c>
      <c r="B768" s="311" t="s">
        <v>7</v>
      </c>
      <c r="C768" s="310" t="s">
        <v>8</v>
      </c>
    </row>
    <row r="769" spans="1:3" ht="15" x14ac:dyDescent="0.2">
      <c r="A769" s="310">
        <v>16415</v>
      </c>
      <c r="B769" s="311" t="s">
        <v>7</v>
      </c>
      <c r="C769" s="310" t="s">
        <v>8</v>
      </c>
    </row>
    <row r="770" spans="1:3" ht="15" x14ac:dyDescent="0.2">
      <c r="A770" s="310">
        <v>16416</v>
      </c>
      <c r="B770" s="311" t="s">
        <v>7</v>
      </c>
      <c r="C770" s="310" t="s">
        <v>8</v>
      </c>
    </row>
    <row r="771" spans="1:3" ht="15" x14ac:dyDescent="0.2">
      <c r="A771" s="310">
        <v>16417</v>
      </c>
      <c r="B771" s="311" t="s">
        <v>7</v>
      </c>
      <c r="C771" s="310" t="s">
        <v>8</v>
      </c>
    </row>
    <row r="772" spans="1:3" ht="15" x14ac:dyDescent="0.2">
      <c r="A772" s="310">
        <v>16420</v>
      </c>
      <c r="B772" s="311" t="s">
        <v>7</v>
      </c>
      <c r="C772" s="310" t="s">
        <v>8</v>
      </c>
    </row>
    <row r="773" spans="1:3" ht="15" x14ac:dyDescent="0.2">
      <c r="A773" s="310">
        <v>16421</v>
      </c>
      <c r="B773" s="311" t="s">
        <v>7</v>
      </c>
      <c r="C773" s="310" t="s">
        <v>8</v>
      </c>
    </row>
    <row r="774" spans="1:3" ht="15" x14ac:dyDescent="0.2">
      <c r="A774" s="310">
        <v>16422</v>
      </c>
      <c r="B774" s="311" t="s">
        <v>7</v>
      </c>
      <c r="C774" s="310" t="s">
        <v>8</v>
      </c>
    </row>
    <row r="775" spans="1:3" ht="15" x14ac:dyDescent="0.2">
      <c r="A775" s="310">
        <v>16423</v>
      </c>
      <c r="B775" s="311" t="s">
        <v>7</v>
      </c>
      <c r="C775" s="310" t="s">
        <v>8</v>
      </c>
    </row>
    <row r="776" spans="1:3" ht="15" x14ac:dyDescent="0.2">
      <c r="A776" s="310">
        <v>16424</v>
      </c>
      <c r="B776" s="311" t="s">
        <v>7</v>
      </c>
      <c r="C776" s="310" t="s">
        <v>8</v>
      </c>
    </row>
    <row r="777" spans="1:3" ht="15" x14ac:dyDescent="0.2">
      <c r="A777" s="310">
        <v>16426</v>
      </c>
      <c r="B777" s="311" t="s">
        <v>7</v>
      </c>
      <c r="C777" s="310" t="s">
        <v>8</v>
      </c>
    </row>
    <row r="778" spans="1:3" ht="15" x14ac:dyDescent="0.2">
      <c r="A778" s="310">
        <v>16427</v>
      </c>
      <c r="B778" s="311" t="s">
        <v>7</v>
      </c>
      <c r="C778" s="310" t="s">
        <v>8</v>
      </c>
    </row>
    <row r="779" spans="1:3" ht="15" x14ac:dyDescent="0.2">
      <c r="A779" s="310">
        <v>16428</v>
      </c>
      <c r="B779" s="311" t="s">
        <v>7</v>
      </c>
      <c r="C779" s="310" t="s">
        <v>8</v>
      </c>
    </row>
    <row r="780" spans="1:3" ht="15" x14ac:dyDescent="0.2">
      <c r="A780" s="310">
        <v>16430</v>
      </c>
      <c r="B780" s="311" t="s">
        <v>7</v>
      </c>
      <c r="C780" s="310" t="s">
        <v>8</v>
      </c>
    </row>
    <row r="781" spans="1:3" ht="15" x14ac:dyDescent="0.2">
      <c r="A781" s="310">
        <v>16432</v>
      </c>
      <c r="B781" s="311" t="s">
        <v>7</v>
      </c>
      <c r="C781" s="310" t="s">
        <v>8</v>
      </c>
    </row>
    <row r="782" spans="1:3" ht="15" x14ac:dyDescent="0.2">
      <c r="A782" s="310">
        <v>16433</v>
      </c>
      <c r="B782" s="311" t="s">
        <v>7</v>
      </c>
      <c r="C782" s="310" t="s">
        <v>8</v>
      </c>
    </row>
    <row r="783" spans="1:3" ht="15" x14ac:dyDescent="0.2">
      <c r="A783" s="310">
        <v>16434</v>
      </c>
      <c r="B783" s="311" t="s">
        <v>7</v>
      </c>
      <c r="C783" s="310" t="s">
        <v>8</v>
      </c>
    </row>
    <row r="784" spans="1:3" ht="15" x14ac:dyDescent="0.2">
      <c r="A784" s="310">
        <v>16435</v>
      </c>
      <c r="B784" s="311" t="s">
        <v>7</v>
      </c>
      <c r="C784" s="310" t="s">
        <v>8</v>
      </c>
    </row>
    <row r="785" spans="1:3" ht="15" x14ac:dyDescent="0.2">
      <c r="A785" s="310">
        <v>16436</v>
      </c>
      <c r="B785" s="311" t="s">
        <v>7</v>
      </c>
      <c r="C785" s="310" t="s">
        <v>8</v>
      </c>
    </row>
    <row r="786" spans="1:3" ht="15" x14ac:dyDescent="0.2">
      <c r="A786" s="310">
        <v>16438</v>
      </c>
      <c r="B786" s="311" t="s">
        <v>7</v>
      </c>
      <c r="C786" s="310" t="s">
        <v>8</v>
      </c>
    </row>
    <row r="787" spans="1:3" ht="15" x14ac:dyDescent="0.2">
      <c r="A787" s="310">
        <v>16440</v>
      </c>
      <c r="B787" s="311" t="s">
        <v>7</v>
      </c>
      <c r="C787" s="310" t="s">
        <v>8</v>
      </c>
    </row>
    <row r="788" spans="1:3" ht="15" x14ac:dyDescent="0.2">
      <c r="A788" s="310">
        <v>16441</v>
      </c>
      <c r="B788" s="311" t="s">
        <v>7</v>
      </c>
      <c r="C788" s="310" t="s">
        <v>8</v>
      </c>
    </row>
    <row r="789" spans="1:3" ht="15" x14ac:dyDescent="0.2">
      <c r="A789" s="310">
        <v>16442</v>
      </c>
      <c r="B789" s="311" t="s">
        <v>7</v>
      </c>
      <c r="C789" s="310" t="s">
        <v>8</v>
      </c>
    </row>
    <row r="790" spans="1:3" ht="15" x14ac:dyDescent="0.2">
      <c r="A790" s="310">
        <v>16443</v>
      </c>
      <c r="B790" s="311" t="s">
        <v>7</v>
      </c>
      <c r="C790" s="310" t="s">
        <v>8</v>
      </c>
    </row>
    <row r="791" spans="1:3" ht="15" x14ac:dyDescent="0.2">
      <c r="A791" s="310">
        <v>16444</v>
      </c>
      <c r="B791" s="311" t="s">
        <v>7</v>
      </c>
      <c r="C791" s="310" t="s">
        <v>8</v>
      </c>
    </row>
    <row r="792" spans="1:3" ht="15" x14ac:dyDescent="0.2">
      <c r="A792" s="310">
        <v>16475</v>
      </c>
      <c r="B792" s="311" t="s">
        <v>7</v>
      </c>
      <c r="C792" s="310" t="s">
        <v>8</v>
      </c>
    </row>
    <row r="793" spans="1:3" ht="15" x14ac:dyDescent="0.2">
      <c r="A793" s="310">
        <v>16501</v>
      </c>
      <c r="B793" s="311" t="s">
        <v>7</v>
      </c>
      <c r="C793" s="310" t="s">
        <v>8</v>
      </c>
    </row>
    <row r="794" spans="1:3" ht="15" x14ac:dyDescent="0.2">
      <c r="A794" s="310">
        <v>16502</v>
      </c>
      <c r="B794" s="311" t="s">
        <v>7</v>
      </c>
      <c r="C794" s="310" t="s">
        <v>8</v>
      </c>
    </row>
    <row r="795" spans="1:3" ht="15" x14ac:dyDescent="0.2">
      <c r="A795" s="310">
        <v>16503</v>
      </c>
      <c r="B795" s="311" t="s">
        <v>7</v>
      </c>
      <c r="C795" s="310" t="s">
        <v>8</v>
      </c>
    </row>
    <row r="796" spans="1:3" ht="15" x14ac:dyDescent="0.2">
      <c r="A796" s="310">
        <v>16504</v>
      </c>
      <c r="B796" s="311" t="s">
        <v>7</v>
      </c>
      <c r="C796" s="310" t="s">
        <v>8</v>
      </c>
    </row>
    <row r="797" spans="1:3" ht="15" x14ac:dyDescent="0.2">
      <c r="A797" s="310">
        <v>16505</v>
      </c>
      <c r="B797" s="311" t="s">
        <v>7</v>
      </c>
      <c r="C797" s="310" t="s">
        <v>8</v>
      </c>
    </row>
    <row r="798" spans="1:3" ht="15" x14ac:dyDescent="0.2">
      <c r="A798" s="310">
        <v>16506</v>
      </c>
      <c r="B798" s="311" t="s">
        <v>7</v>
      </c>
      <c r="C798" s="310" t="s">
        <v>8</v>
      </c>
    </row>
    <row r="799" spans="1:3" ht="15" x14ac:dyDescent="0.2">
      <c r="A799" s="310">
        <v>16507</v>
      </c>
      <c r="B799" s="311" t="s">
        <v>7</v>
      </c>
      <c r="C799" s="310" t="s">
        <v>8</v>
      </c>
    </row>
    <row r="800" spans="1:3" ht="15" x14ac:dyDescent="0.2">
      <c r="A800" s="310">
        <v>16508</v>
      </c>
      <c r="B800" s="311" t="s">
        <v>7</v>
      </c>
      <c r="C800" s="310" t="s">
        <v>8</v>
      </c>
    </row>
    <row r="801" spans="1:3" ht="15" x14ac:dyDescent="0.2">
      <c r="A801" s="310">
        <v>16509</v>
      </c>
      <c r="B801" s="311" t="s">
        <v>7</v>
      </c>
      <c r="C801" s="310" t="s">
        <v>8</v>
      </c>
    </row>
    <row r="802" spans="1:3" ht="15" x14ac:dyDescent="0.2">
      <c r="A802" s="310">
        <v>16510</v>
      </c>
      <c r="B802" s="311" t="s">
        <v>7</v>
      </c>
      <c r="C802" s="310" t="s">
        <v>8</v>
      </c>
    </row>
    <row r="803" spans="1:3" ht="15" x14ac:dyDescent="0.2">
      <c r="A803" s="310">
        <v>16511</v>
      </c>
      <c r="B803" s="311" t="s">
        <v>7</v>
      </c>
      <c r="C803" s="310" t="s">
        <v>8</v>
      </c>
    </row>
    <row r="804" spans="1:3" ht="15" x14ac:dyDescent="0.2">
      <c r="A804" s="310">
        <v>16512</v>
      </c>
      <c r="B804" s="311" t="s">
        <v>7</v>
      </c>
      <c r="C804" s="310" t="s">
        <v>8</v>
      </c>
    </row>
    <row r="805" spans="1:3" ht="15" x14ac:dyDescent="0.2">
      <c r="A805" s="310">
        <v>16514</v>
      </c>
      <c r="B805" s="311" t="s">
        <v>7</v>
      </c>
      <c r="C805" s="310" t="s">
        <v>8</v>
      </c>
    </row>
    <row r="806" spans="1:3" ht="15" x14ac:dyDescent="0.2">
      <c r="A806" s="310">
        <v>16515</v>
      </c>
      <c r="B806" s="311" t="s">
        <v>7</v>
      </c>
      <c r="C806" s="310" t="s">
        <v>8</v>
      </c>
    </row>
    <row r="807" spans="1:3" ht="15" x14ac:dyDescent="0.2">
      <c r="A807" s="310">
        <v>16522</v>
      </c>
      <c r="B807" s="311" t="s">
        <v>7</v>
      </c>
      <c r="C807" s="310" t="s">
        <v>8</v>
      </c>
    </row>
    <row r="808" spans="1:3" ht="15" x14ac:dyDescent="0.2">
      <c r="A808" s="310">
        <v>16530</v>
      </c>
      <c r="B808" s="311" t="s">
        <v>7</v>
      </c>
      <c r="C808" s="310" t="s">
        <v>8</v>
      </c>
    </row>
    <row r="809" spans="1:3" ht="15" x14ac:dyDescent="0.2">
      <c r="A809" s="310">
        <v>16531</v>
      </c>
      <c r="B809" s="311" t="s">
        <v>7</v>
      </c>
      <c r="C809" s="310" t="s">
        <v>8</v>
      </c>
    </row>
    <row r="810" spans="1:3" ht="15" x14ac:dyDescent="0.2">
      <c r="A810" s="310">
        <v>16532</v>
      </c>
      <c r="B810" s="311" t="s">
        <v>7</v>
      </c>
      <c r="C810" s="310" t="s">
        <v>8</v>
      </c>
    </row>
    <row r="811" spans="1:3" ht="15" x14ac:dyDescent="0.2">
      <c r="A811" s="310">
        <v>16533</v>
      </c>
      <c r="B811" s="311" t="s">
        <v>7</v>
      </c>
      <c r="C811" s="310" t="s">
        <v>8</v>
      </c>
    </row>
    <row r="812" spans="1:3" ht="15" x14ac:dyDescent="0.2">
      <c r="A812" s="310">
        <v>16534</v>
      </c>
      <c r="B812" s="311" t="s">
        <v>7</v>
      </c>
      <c r="C812" s="310" t="s">
        <v>8</v>
      </c>
    </row>
    <row r="813" spans="1:3" ht="15" x14ac:dyDescent="0.2">
      <c r="A813" s="310">
        <v>16538</v>
      </c>
      <c r="B813" s="311" t="s">
        <v>7</v>
      </c>
      <c r="C813" s="310" t="s">
        <v>8</v>
      </c>
    </row>
    <row r="814" spans="1:3" ht="15" x14ac:dyDescent="0.2">
      <c r="A814" s="310">
        <v>16541</v>
      </c>
      <c r="B814" s="311" t="s">
        <v>7</v>
      </c>
      <c r="C814" s="310" t="s">
        <v>8</v>
      </c>
    </row>
    <row r="815" spans="1:3" ht="15" x14ac:dyDescent="0.2">
      <c r="A815" s="310">
        <v>16544</v>
      </c>
      <c r="B815" s="311" t="s">
        <v>7</v>
      </c>
      <c r="C815" s="310" t="s">
        <v>8</v>
      </c>
    </row>
    <row r="816" spans="1:3" ht="15" x14ac:dyDescent="0.2">
      <c r="A816" s="310">
        <v>16546</v>
      </c>
      <c r="B816" s="311" t="s">
        <v>7</v>
      </c>
      <c r="C816" s="310" t="s">
        <v>8</v>
      </c>
    </row>
    <row r="817" spans="1:3" ht="15" x14ac:dyDescent="0.2">
      <c r="A817" s="310">
        <v>16550</v>
      </c>
      <c r="B817" s="311" t="s">
        <v>7</v>
      </c>
      <c r="C817" s="310" t="s">
        <v>8</v>
      </c>
    </row>
    <row r="818" spans="1:3" ht="15" x14ac:dyDescent="0.2">
      <c r="A818" s="310">
        <v>16553</v>
      </c>
      <c r="B818" s="311" t="s">
        <v>7</v>
      </c>
      <c r="C818" s="310" t="s">
        <v>8</v>
      </c>
    </row>
    <row r="819" spans="1:3" ht="15" x14ac:dyDescent="0.2">
      <c r="A819" s="310">
        <v>16554</v>
      </c>
      <c r="B819" s="311" t="s">
        <v>7</v>
      </c>
      <c r="C819" s="310" t="s">
        <v>8</v>
      </c>
    </row>
    <row r="820" spans="1:3" ht="15" x14ac:dyDescent="0.2">
      <c r="A820" s="310">
        <v>16563</v>
      </c>
      <c r="B820" s="311" t="s">
        <v>7</v>
      </c>
      <c r="C820" s="310" t="s">
        <v>8</v>
      </c>
    </row>
    <row r="821" spans="1:3" ht="15" x14ac:dyDescent="0.2">
      <c r="A821" s="310">
        <v>16565</v>
      </c>
      <c r="B821" s="311" t="s">
        <v>7</v>
      </c>
      <c r="C821" s="310" t="s">
        <v>8</v>
      </c>
    </row>
    <row r="822" spans="1:3" ht="15" x14ac:dyDescent="0.2">
      <c r="A822" s="310">
        <v>16601</v>
      </c>
      <c r="B822" s="311" t="s">
        <v>3</v>
      </c>
      <c r="C822" s="310" t="s">
        <v>4</v>
      </c>
    </row>
    <row r="823" spans="1:3" ht="15" x14ac:dyDescent="0.2">
      <c r="A823" s="310">
        <v>16602</v>
      </c>
      <c r="B823" s="311" t="s">
        <v>3</v>
      </c>
      <c r="C823" s="310" t="s">
        <v>4</v>
      </c>
    </row>
    <row r="824" spans="1:3" ht="15" x14ac:dyDescent="0.2">
      <c r="A824" s="310">
        <v>16603</v>
      </c>
      <c r="B824" s="311" t="s">
        <v>3</v>
      </c>
      <c r="C824" s="310" t="s">
        <v>4</v>
      </c>
    </row>
    <row r="825" spans="1:3" ht="15" x14ac:dyDescent="0.2">
      <c r="A825" s="310">
        <v>16611</v>
      </c>
      <c r="B825" s="311" t="s">
        <v>11</v>
      </c>
      <c r="C825" s="310" t="s">
        <v>12</v>
      </c>
    </row>
    <row r="826" spans="1:3" ht="15" x14ac:dyDescent="0.2">
      <c r="A826" s="310">
        <v>16613</v>
      </c>
      <c r="B826" s="311" t="s">
        <v>3</v>
      </c>
      <c r="C826" s="310" t="s">
        <v>4</v>
      </c>
    </row>
    <row r="827" spans="1:3" ht="15" x14ac:dyDescent="0.2">
      <c r="A827" s="310">
        <v>16616</v>
      </c>
      <c r="B827" s="311" t="s">
        <v>9</v>
      </c>
      <c r="C827" s="310" t="s">
        <v>10</v>
      </c>
    </row>
    <row r="828" spans="1:3" ht="15" x14ac:dyDescent="0.2">
      <c r="A828" s="310">
        <v>16617</v>
      </c>
      <c r="B828" s="311" t="s">
        <v>3</v>
      </c>
      <c r="C828" s="310" t="s">
        <v>4</v>
      </c>
    </row>
    <row r="829" spans="1:3" ht="15" x14ac:dyDescent="0.2">
      <c r="A829" s="310">
        <v>16619</v>
      </c>
      <c r="B829" s="311" t="s">
        <v>3</v>
      </c>
      <c r="C829" s="310" t="s">
        <v>4</v>
      </c>
    </row>
    <row r="830" spans="1:3" ht="15" x14ac:dyDescent="0.2">
      <c r="A830" s="310">
        <v>16620</v>
      </c>
      <c r="B830" s="311" t="s">
        <v>9</v>
      </c>
      <c r="C830" s="310" t="s">
        <v>10</v>
      </c>
    </row>
    <row r="831" spans="1:3" ht="15" x14ac:dyDescent="0.2">
      <c r="A831" s="310">
        <v>16621</v>
      </c>
      <c r="B831" s="311" t="s">
        <v>11</v>
      </c>
      <c r="C831" s="310" t="s">
        <v>12</v>
      </c>
    </row>
    <row r="832" spans="1:3" ht="15" x14ac:dyDescent="0.2">
      <c r="A832" s="310">
        <v>16622</v>
      </c>
      <c r="B832" s="311" t="s">
        <v>11</v>
      </c>
      <c r="C832" s="310" t="s">
        <v>12</v>
      </c>
    </row>
    <row r="833" spans="1:3" ht="15" x14ac:dyDescent="0.2">
      <c r="A833" s="310">
        <v>16623</v>
      </c>
      <c r="B833" s="311" t="s">
        <v>11</v>
      </c>
      <c r="C833" s="310" t="s">
        <v>12</v>
      </c>
    </row>
    <row r="834" spans="1:3" ht="15" x14ac:dyDescent="0.2">
      <c r="A834" s="310">
        <v>16624</v>
      </c>
      <c r="B834" s="311" t="s">
        <v>3</v>
      </c>
      <c r="C834" s="310" t="s">
        <v>4</v>
      </c>
    </row>
    <row r="835" spans="1:3" ht="15" x14ac:dyDescent="0.2">
      <c r="A835" s="310">
        <v>16625</v>
      </c>
      <c r="B835" s="311" t="s">
        <v>3</v>
      </c>
      <c r="C835" s="310" t="s">
        <v>4</v>
      </c>
    </row>
    <row r="836" spans="1:3" ht="15" x14ac:dyDescent="0.2">
      <c r="A836" s="310">
        <v>16627</v>
      </c>
      <c r="B836" s="311" t="s">
        <v>9</v>
      </c>
      <c r="C836" s="310" t="s">
        <v>10</v>
      </c>
    </row>
    <row r="837" spans="1:3" ht="15" x14ac:dyDescent="0.2">
      <c r="A837" s="310">
        <v>16629</v>
      </c>
      <c r="B837" s="311" t="s">
        <v>3</v>
      </c>
      <c r="C837" s="310" t="s">
        <v>4</v>
      </c>
    </row>
    <row r="838" spans="1:3" ht="15" x14ac:dyDescent="0.2">
      <c r="A838" s="310">
        <v>16630</v>
      </c>
      <c r="B838" s="311" t="s">
        <v>3</v>
      </c>
      <c r="C838" s="310" t="s">
        <v>4</v>
      </c>
    </row>
    <row r="839" spans="1:3" ht="15" x14ac:dyDescent="0.2">
      <c r="A839" s="310">
        <v>16631</v>
      </c>
      <c r="B839" s="311" t="s">
        <v>3</v>
      </c>
      <c r="C839" s="310" t="s">
        <v>4</v>
      </c>
    </row>
    <row r="840" spans="1:3" ht="15" x14ac:dyDescent="0.2">
      <c r="A840" s="310">
        <v>16633</v>
      </c>
      <c r="B840" s="311" t="s">
        <v>3</v>
      </c>
      <c r="C840" s="310" t="s">
        <v>4</v>
      </c>
    </row>
    <row r="841" spans="1:3" ht="15" x14ac:dyDescent="0.2">
      <c r="A841" s="310">
        <v>16634</v>
      </c>
      <c r="B841" s="311" t="s">
        <v>11</v>
      </c>
      <c r="C841" s="310" t="s">
        <v>12</v>
      </c>
    </row>
    <row r="842" spans="1:3" ht="15" x14ac:dyDescent="0.2">
      <c r="A842" s="310">
        <v>16635</v>
      </c>
      <c r="B842" s="311" t="s">
        <v>3</v>
      </c>
      <c r="C842" s="310" t="s">
        <v>4</v>
      </c>
    </row>
    <row r="843" spans="1:3" ht="15" x14ac:dyDescent="0.2">
      <c r="A843" s="310">
        <v>16636</v>
      </c>
      <c r="B843" s="311" t="s">
        <v>3</v>
      </c>
      <c r="C843" s="310" t="s">
        <v>4</v>
      </c>
    </row>
    <row r="844" spans="1:3" ht="15" x14ac:dyDescent="0.2">
      <c r="A844" s="310">
        <v>16637</v>
      </c>
      <c r="B844" s="311" t="s">
        <v>3</v>
      </c>
      <c r="C844" s="310" t="s">
        <v>4</v>
      </c>
    </row>
    <row r="845" spans="1:3" ht="15" x14ac:dyDescent="0.2">
      <c r="A845" s="310">
        <v>16638</v>
      </c>
      <c r="B845" s="311" t="s">
        <v>11</v>
      </c>
      <c r="C845" s="310" t="s">
        <v>12</v>
      </c>
    </row>
    <row r="846" spans="1:3" ht="15" x14ac:dyDescent="0.2">
      <c r="A846" s="310">
        <v>16639</v>
      </c>
      <c r="B846" s="311" t="s">
        <v>3</v>
      </c>
      <c r="C846" s="310" t="s">
        <v>4</v>
      </c>
    </row>
    <row r="847" spans="1:3" ht="15" x14ac:dyDescent="0.2">
      <c r="A847" s="310">
        <v>16640</v>
      </c>
      <c r="B847" s="311" t="s">
        <v>3</v>
      </c>
      <c r="C847" s="310" t="s">
        <v>4</v>
      </c>
    </row>
    <row r="848" spans="1:3" ht="15" x14ac:dyDescent="0.2">
      <c r="A848" s="310">
        <v>16641</v>
      </c>
      <c r="B848" s="311" t="s">
        <v>3</v>
      </c>
      <c r="C848" s="310" t="s">
        <v>4</v>
      </c>
    </row>
    <row r="849" spans="1:3" ht="15" x14ac:dyDescent="0.2">
      <c r="A849" s="310">
        <v>16644</v>
      </c>
      <c r="B849" s="311" t="s">
        <v>3</v>
      </c>
      <c r="C849" s="310" t="s">
        <v>4</v>
      </c>
    </row>
    <row r="850" spans="1:3" ht="15" x14ac:dyDescent="0.2">
      <c r="A850" s="310">
        <v>16645</v>
      </c>
      <c r="B850" s="311" t="s">
        <v>9</v>
      </c>
      <c r="C850" s="310" t="s">
        <v>10</v>
      </c>
    </row>
    <row r="851" spans="1:3" ht="15" x14ac:dyDescent="0.2">
      <c r="A851" s="310">
        <v>16646</v>
      </c>
      <c r="B851" s="311" t="s">
        <v>3</v>
      </c>
      <c r="C851" s="310" t="s">
        <v>4</v>
      </c>
    </row>
    <row r="852" spans="1:3" ht="15" x14ac:dyDescent="0.2">
      <c r="A852" s="310">
        <v>16647</v>
      </c>
      <c r="B852" s="311" t="s">
        <v>11</v>
      </c>
      <c r="C852" s="310" t="s">
        <v>12</v>
      </c>
    </row>
    <row r="853" spans="1:3" ht="15" x14ac:dyDescent="0.2">
      <c r="A853" s="310">
        <v>16648</v>
      </c>
      <c r="B853" s="311" t="s">
        <v>3</v>
      </c>
      <c r="C853" s="310" t="s">
        <v>4</v>
      </c>
    </row>
    <row r="854" spans="1:3" ht="15" x14ac:dyDescent="0.2">
      <c r="A854" s="310">
        <v>16650</v>
      </c>
      <c r="B854" s="311" t="s">
        <v>3</v>
      </c>
      <c r="C854" s="310" t="s">
        <v>4</v>
      </c>
    </row>
    <row r="855" spans="1:3" ht="15" x14ac:dyDescent="0.2">
      <c r="A855" s="310">
        <v>16651</v>
      </c>
      <c r="B855" s="311" t="s">
        <v>9</v>
      </c>
      <c r="C855" s="310" t="s">
        <v>10</v>
      </c>
    </row>
    <row r="856" spans="1:3" ht="15" x14ac:dyDescent="0.2">
      <c r="A856" s="310">
        <v>16652</v>
      </c>
      <c r="B856" s="311" t="s">
        <v>11</v>
      </c>
      <c r="C856" s="310" t="s">
        <v>12</v>
      </c>
    </row>
    <row r="857" spans="1:3" ht="15" x14ac:dyDescent="0.2">
      <c r="A857" s="310">
        <v>16654</v>
      </c>
      <c r="B857" s="311" t="s">
        <v>11</v>
      </c>
      <c r="C857" s="310" t="s">
        <v>12</v>
      </c>
    </row>
    <row r="858" spans="1:3" ht="15" x14ac:dyDescent="0.2">
      <c r="A858" s="310">
        <v>16655</v>
      </c>
      <c r="B858" s="311" t="s">
        <v>3</v>
      </c>
      <c r="C858" s="310" t="s">
        <v>4</v>
      </c>
    </row>
    <row r="859" spans="1:3" ht="15" x14ac:dyDescent="0.2">
      <c r="A859" s="310">
        <v>16656</v>
      </c>
      <c r="B859" s="311" t="s">
        <v>9</v>
      </c>
      <c r="C859" s="310" t="s">
        <v>10</v>
      </c>
    </row>
    <row r="860" spans="1:3" ht="15" x14ac:dyDescent="0.2">
      <c r="A860" s="310">
        <v>16657</v>
      </c>
      <c r="B860" s="311" t="s">
        <v>11</v>
      </c>
      <c r="C860" s="310" t="s">
        <v>12</v>
      </c>
    </row>
    <row r="861" spans="1:3" ht="15" x14ac:dyDescent="0.2">
      <c r="A861" s="310">
        <v>16659</v>
      </c>
      <c r="B861" s="311" t="s">
        <v>3</v>
      </c>
      <c r="C861" s="310" t="s">
        <v>4</v>
      </c>
    </row>
    <row r="862" spans="1:3" ht="15" x14ac:dyDescent="0.2">
      <c r="A862" s="310">
        <v>16660</v>
      </c>
      <c r="B862" s="311" t="s">
        <v>3</v>
      </c>
      <c r="C862" s="310" t="s">
        <v>4</v>
      </c>
    </row>
    <row r="863" spans="1:3" ht="15" x14ac:dyDescent="0.2">
      <c r="A863" s="310">
        <v>16661</v>
      </c>
      <c r="B863" s="311" t="s">
        <v>9</v>
      </c>
      <c r="C863" s="310" t="s">
        <v>10</v>
      </c>
    </row>
    <row r="864" spans="1:3" ht="15" x14ac:dyDescent="0.2">
      <c r="A864" s="310">
        <v>16662</v>
      </c>
      <c r="B864" s="311" t="s">
        <v>3</v>
      </c>
      <c r="C864" s="310" t="s">
        <v>4</v>
      </c>
    </row>
    <row r="865" spans="1:3" ht="15" x14ac:dyDescent="0.2">
      <c r="A865" s="310">
        <v>16663</v>
      </c>
      <c r="B865" s="311" t="s">
        <v>9</v>
      </c>
      <c r="C865" s="310" t="s">
        <v>10</v>
      </c>
    </row>
    <row r="866" spans="1:3" ht="15" x14ac:dyDescent="0.2">
      <c r="A866" s="310">
        <v>16664</v>
      </c>
      <c r="B866" s="311" t="s">
        <v>3</v>
      </c>
      <c r="C866" s="310" t="s">
        <v>4</v>
      </c>
    </row>
    <row r="867" spans="1:3" ht="15" x14ac:dyDescent="0.2">
      <c r="A867" s="310">
        <v>16665</v>
      </c>
      <c r="B867" s="311" t="s">
        <v>3</v>
      </c>
      <c r="C867" s="310" t="s">
        <v>4</v>
      </c>
    </row>
    <row r="868" spans="1:3" ht="15" x14ac:dyDescent="0.2">
      <c r="A868" s="310">
        <v>16666</v>
      </c>
      <c r="B868" s="311" t="s">
        <v>9</v>
      </c>
      <c r="C868" s="310" t="s">
        <v>10</v>
      </c>
    </row>
    <row r="869" spans="1:3" ht="15" x14ac:dyDescent="0.2">
      <c r="A869" s="310">
        <v>16667</v>
      </c>
      <c r="B869" s="311" t="s">
        <v>3</v>
      </c>
      <c r="C869" s="310" t="s">
        <v>4</v>
      </c>
    </row>
    <row r="870" spans="1:3" ht="15" x14ac:dyDescent="0.2">
      <c r="A870" s="310">
        <v>16668</v>
      </c>
      <c r="B870" s="311" t="s">
        <v>3</v>
      </c>
      <c r="C870" s="310" t="s">
        <v>4</v>
      </c>
    </row>
    <row r="871" spans="1:3" ht="15" x14ac:dyDescent="0.2">
      <c r="A871" s="310">
        <v>16669</v>
      </c>
      <c r="B871" s="311" t="s">
        <v>11</v>
      </c>
      <c r="C871" s="310" t="s">
        <v>12</v>
      </c>
    </row>
    <row r="872" spans="1:3" ht="15" x14ac:dyDescent="0.2">
      <c r="A872" s="310">
        <v>16670</v>
      </c>
      <c r="B872" s="311" t="s">
        <v>3</v>
      </c>
      <c r="C872" s="310" t="s">
        <v>4</v>
      </c>
    </row>
    <row r="873" spans="1:3" ht="15" x14ac:dyDescent="0.2">
      <c r="A873" s="310">
        <v>16671</v>
      </c>
      <c r="B873" s="311" t="s">
        <v>9</v>
      </c>
      <c r="C873" s="310" t="s">
        <v>10</v>
      </c>
    </row>
    <row r="874" spans="1:3" ht="15" x14ac:dyDescent="0.2">
      <c r="A874" s="310">
        <v>16672</v>
      </c>
      <c r="B874" s="311" t="s">
        <v>3</v>
      </c>
      <c r="C874" s="310" t="s">
        <v>4</v>
      </c>
    </row>
    <row r="875" spans="1:3" ht="15" x14ac:dyDescent="0.2">
      <c r="A875" s="310">
        <v>16673</v>
      </c>
      <c r="B875" s="311" t="s">
        <v>3</v>
      </c>
      <c r="C875" s="310" t="s">
        <v>4</v>
      </c>
    </row>
    <row r="876" spans="1:3" ht="15" x14ac:dyDescent="0.2">
      <c r="A876" s="310">
        <v>16674</v>
      </c>
      <c r="B876" s="311" t="s">
        <v>11</v>
      </c>
      <c r="C876" s="310" t="s">
        <v>12</v>
      </c>
    </row>
    <row r="877" spans="1:3" ht="15" x14ac:dyDescent="0.2">
      <c r="A877" s="310">
        <v>16675</v>
      </c>
      <c r="B877" s="311" t="s">
        <v>3</v>
      </c>
      <c r="C877" s="310" t="s">
        <v>4</v>
      </c>
    </row>
    <row r="878" spans="1:3" ht="15" x14ac:dyDescent="0.2">
      <c r="A878" s="310">
        <v>16677</v>
      </c>
      <c r="B878" s="311" t="s">
        <v>11</v>
      </c>
      <c r="C878" s="310" t="s">
        <v>12</v>
      </c>
    </row>
    <row r="879" spans="1:3" ht="15" x14ac:dyDescent="0.2">
      <c r="A879" s="310">
        <v>16678</v>
      </c>
      <c r="B879" s="311" t="s">
        <v>3</v>
      </c>
      <c r="C879" s="310" t="s">
        <v>4</v>
      </c>
    </row>
    <row r="880" spans="1:3" ht="15" x14ac:dyDescent="0.2">
      <c r="A880" s="310">
        <v>16679</v>
      </c>
      <c r="B880" s="311" t="s">
        <v>3</v>
      </c>
      <c r="C880" s="310" t="s">
        <v>4</v>
      </c>
    </row>
    <row r="881" spans="1:3" ht="15" x14ac:dyDescent="0.2">
      <c r="A881" s="310">
        <v>16680</v>
      </c>
      <c r="B881" s="311" t="s">
        <v>9</v>
      </c>
      <c r="C881" s="310" t="s">
        <v>10</v>
      </c>
    </row>
    <row r="882" spans="1:3" ht="15" x14ac:dyDescent="0.2">
      <c r="A882" s="310">
        <v>16681</v>
      </c>
      <c r="B882" s="311" t="s">
        <v>9</v>
      </c>
      <c r="C882" s="310" t="s">
        <v>10</v>
      </c>
    </row>
    <row r="883" spans="1:3" ht="15" x14ac:dyDescent="0.2">
      <c r="A883" s="310">
        <v>16682</v>
      </c>
      <c r="B883" s="311" t="s">
        <v>3</v>
      </c>
      <c r="C883" s="310" t="s">
        <v>4</v>
      </c>
    </row>
    <row r="884" spans="1:3" ht="15" x14ac:dyDescent="0.2">
      <c r="A884" s="310">
        <v>16683</v>
      </c>
      <c r="B884" s="311" t="s">
        <v>11</v>
      </c>
      <c r="C884" s="310" t="s">
        <v>12</v>
      </c>
    </row>
    <row r="885" spans="1:3" ht="15" x14ac:dyDescent="0.2">
      <c r="A885" s="310">
        <v>16684</v>
      </c>
      <c r="B885" s="311" t="s">
        <v>9</v>
      </c>
      <c r="C885" s="310" t="s">
        <v>10</v>
      </c>
    </row>
    <row r="886" spans="1:3" ht="15" x14ac:dyDescent="0.2">
      <c r="A886" s="310">
        <v>16685</v>
      </c>
      <c r="B886" s="311" t="s">
        <v>11</v>
      </c>
      <c r="C886" s="310" t="s">
        <v>12</v>
      </c>
    </row>
    <row r="887" spans="1:3" ht="15" x14ac:dyDescent="0.2">
      <c r="A887" s="310">
        <v>16686</v>
      </c>
      <c r="B887" s="311" t="s">
        <v>3</v>
      </c>
      <c r="C887" s="310" t="s">
        <v>4</v>
      </c>
    </row>
    <row r="888" spans="1:3" ht="15" x14ac:dyDescent="0.2">
      <c r="A888" s="310">
        <v>16689</v>
      </c>
      <c r="B888" s="311" t="s">
        <v>5</v>
      </c>
      <c r="C888" s="310" t="s">
        <v>6</v>
      </c>
    </row>
    <row r="889" spans="1:3" ht="15" x14ac:dyDescent="0.2">
      <c r="A889" s="310">
        <v>16691</v>
      </c>
      <c r="B889" s="311" t="s">
        <v>5</v>
      </c>
      <c r="C889" s="310" t="s">
        <v>6</v>
      </c>
    </row>
    <row r="890" spans="1:3" ht="15" x14ac:dyDescent="0.2">
      <c r="A890" s="310">
        <v>16692</v>
      </c>
      <c r="B890" s="311" t="s">
        <v>9</v>
      </c>
      <c r="C890" s="310" t="s">
        <v>10</v>
      </c>
    </row>
    <row r="891" spans="1:3" ht="15" x14ac:dyDescent="0.2">
      <c r="A891" s="310">
        <v>16693</v>
      </c>
      <c r="B891" s="311" t="s">
        <v>3</v>
      </c>
      <c r="C891" s="310" t="s">
        <v>4</v>
      </c>
    </row>
    <row r="892" spans="1:3" ht="15" x14ac:dyDescent="0.2">
      <c r="A892" s="310">
        <v>16694</v>
      </c>
      <c r="B892" s="311" t="s">
        <v>11</v>
      </c>
      <c r="C892" s="310" t="s">
        <v>12</v>
      </c>
    </row>
    <row r="893" spans="1:3" ht="15" x14ac:dyDescent="0.2">
      <c r="A893" s="310">
        <v>16695</v>
      </c>
      <c r="B893" s="311" t="s">
        <v>3</v>
      </c>
      <c r="C893" s="310" t="s">
        <v>4</v>
      </c>
    </row>
    <row r="894" spans="1:3" ht="15" x14ac:dyDescent="0.2">
      <c r="A894" s="310">
        <v>16698</v>
      </c>
      <c r="B894" s="311" t="s">
        <v>9</v>
      </c>
      <c r="C894" s="310" t="s">
        <v>10</v>
      </c>
    </row>
    <row r="895" spans="1:3" ht="15" x14ac:dyDescent="0.2">
      <c r="A895" s="310">
        <v>16699</v>
      </c>
      <c r="B895" s="311" t="s">
        <v>3</v>
      </c>
      <c r="C895" s="310" t="s">
        <v>4</v>
      </c>
    </row>
    <row r="896" spans="1:3" ht="15" x14ac:dyDescent="0.2">
      <c r="A896" s="310">
        <v>16701</v>
      </c>
      <c r="B896" s="311" t="s">
        <v>9</v>
      </c>
      <c r="C896" s="310" t="s">
        <v>10</v>
      </c>
    </row>
    <row r="897" spans="1:3" ht="15" x14ac:dyDescent="0.2">
      <c r="A897" s="310">
        <v>16720</v>
      </c>
      <c r="B897" s="311" t="s">
        <v>9</v>
      </c>
      <c r="C897" s="310" t="s">
        <v>10</v>
      </c>
    </row>
    <row r="898" spans="1:3" ht="15" x14ac:dyDescent="0.2">
      <c r="A898" s="310">
        <v>16724</v>
      </c>
      <c r="B898" s="311" t="s">
        <v>9</v>
      </c>
      <c r="C898" s="310" t="s">
        <v>10</v>
      </c>
    </row>
    <row r="899" spans="1:3" ht="15" x14ac:dyDescent="0.2">
      <c r="A899" s="310">
        <v>16725</v>
      </c>
      <c r="B899" s="311" t="s">
        <v>9</v>
      </c>
      <c r="C899" s="310" t="s">
        <v>10</v>
      </c>
    </row>
    <row r="900" spans="1:3" ht="15" x14ac:dyDescent="0.2">
      <c r="A900" s="310">
        <v>16726</v>
      </c>
      <c r="B900" s="311" t="s">
        <v>9</v>
      </c>
      <c r="C900" s="310" t="s">
        <v>10</v>
      </c>
    </row>
    <row r="901" spans="1:3" ht="15" x14ac:dyDescent="0.2">
      <c r="A901" s="310">
        <v>16727</v>
      </c>
      <c r="B901" s="311" t="s">
        <v>9</v>
      </c>
      <c r="C901" s="310" t="s">
        <v>10</v>
      </c>
    </row>
    <row r="902" spans="1:3" ht="15" x14ac:dyDescent="0.2">
      <c r="A902" s="310">
        <v>16728</v>
      </c>
      <c r="B902" s="311" t="s">
        <v>9</v>
      </c>
      <c r="C902" s="310" t="s">
        <v>10</v>
      </c>
    </row>
    <row r="903" spans="1:3" ht="15" x14ac:dyDescent="0.2">
      <c r="A903" s="310">
        <v>16729</v>
      </c>
      <c r="B903" s="311" t="s">
        <v>9</v>
      </c>
      <c r="C903" s="310" t="s">
        <v>10</v>
      </c>
    </row>
    <row r="904" spans="1:3" ht="15" x14ac:dyDescent="0.2">
      <c r="A904" s="310">
        <v>16730</v>
      </c>
      <c r="B904" s="311" t="s">
        <v>9</v>
      </c>
      <c r="C904" s="310" t="s">
        <v>10</v>
      </c>
    </row>
    <row r="905" spans="1:3" ht="15" x14ac:dyDescent="0.2">
      <c r="A905" s="310">
        <v>16731</v>
      </c>
      <c r="B905" s="311" t="s">
        <v>9</v>
      </c>
      <c r="C905" s="310" t="s">
        <v>10</v>
      </c>
    </row>
    <row r="906" spans="1:3" ht="15" x14ac:dyDescent="0.2">
      <c r="A906" s="310">
        <v>16732</v>
      </c>
      <c r="B906" s="311" t="s">
        <v>9</v>
      </c>
      <c r="C906" s="310" t="s">
        <v>10</v>
      </c>
    </row>
    <row r="907" spans="1:3" ht="15" x14ac:dyDescent="0.2">
      <c r="A907" s="310">
        <v>16733</v>
      </c>
      <c r="B907" s="311" t="s">
        <v>9</v>
      </c>
      <c r="C907" s="310" t="s">
        <v>10</v>
      </c>
    </row>
    <row r="908" spans="1:3" ht="15" x14ac:dyDescent="0.2">
      <c r="A908" s="310">
        <v>16734</v>
      </c>
      <c r="B908" s="311" t="s">
        <v>9</v>
      </c>
      <c r="C908" s="310" t="s">
        <v>10</v>
      </c>
    </row>
    <row r="909" spans="1:3" ht="15" x14ac:dyDescent="0.2">
      <c r="A909" s="310">
        <v>16735</v>
      </c>
      <c r="B909" s="311" t="s">
        <v>9</v>
      </c>
      <c r="C909" s="310" t="s">
        <v>10</v>
      </c>
    </row>
    <row r="910" spans="1:3" ht="15" x14ac:dyDescent="0.2">
      <c r="A910" s="310">
        <v>16738</v>
      </c>
      <c r="B910" s="311" t="s">
        <v>9</v>
      </c>
      <c r="C910" s="310" t="s">
        <v>10</v>
      </c>
    </row>
    <row r="911" spans="1:3" ht="15" x14ac:dyDescent="0.2">
      <c r="A911" s="310">
        <v>16740</v>
      </c>
      <c r="B911" s="311" t="s">
        <v>9</v>
      </c>
      <c r="C911" s="310" t="s">
        <v>10</v>
      </c>
    </row>
    <row r="912" spans="1:3" ht="15" x14ac:dyDescent="0.2">
      <c r="A912" s="310">
        <v>16743</v>
      </c>
      <c r="B912" s="311" t="s">
        <v>9</v>
      </c>
      <c r="C912" s="310" t="s">
        <v>10</v>
      </c>
    </row>
    <row r="913" spans="1:3" ht="15" x14ac:dyDescent="0.2">
      <c r="A913" s="310">
        <v>16744</v>
      </c>
      <c r="B913" s="311" t="s">
        <v>9</v>
      </c>
      <c r="C913" s="310" t="s">
        <v>10</v>
      </c>
    </row>
    <row r="914" spans="1:3" ht="15" x14ac:dyDescent="0.2">
      <c r="A914" s="310">
        <v>16745</v>
      </c>
      <c r="B914" s="311" t="s">
        <v>9</v>
      </c>
      <c r="C914" s="310" t="s">
        <v>10</v>
      </c>
    </row>
    <row r="915" spans="1:3" ht="15" x14ac:dyDescent="0.2">
      <c r="A915" s="310">
        <v>16746</v>
      </c>
      <c r="B915" s="311" t="s">
        <v>9</v>
      </c>
      <c r="C915" s="310" t="s">
        <v>10</v>
      </c>
    </row>
    <row r="916" spans="1:3" ht="15" x14ac:dyDescent="0.2">
      <c r="A916" s="310">
        <v>16748</v>
      </c>
      <c r="B916" s="311" t="s">
        <v>9</v>
      </c>
      <c r="C916" s="310" t="s">
        <v>10</v>
      </c>
    </row>
    <row r="917" spans="1:3" ht="15" x14ac:dyDescent="0.2">
      <c r="A917" s="310">
        <v>16749</v>
      </c>
      <c r="B917" s="311" t="s">
        <v>9</v>
      </c>
      <c r="C917" s="310" t="s">
        <v>10</v>
      </c>
    </row>
    <row r="918" spans="1:3" ht="15" x14ac:dyDescent="0.2">
      <c r="A918" s="310">
        <v>16750</v>
      </c>
      <c r="B918" s="311" t="s">
        <v>9</v>
      </c>
      <c r="C918" s="310" t="s">
        <v>10</v>
      </c>
    </row>
    <row r="919" spans="1:3" ht="15" x14ac:dyDescent="0.2">
      <c r="A919" s="310">
        <v>16801</v>
      </c>
      <c r="B919" s="311" t="s">
        <v>11</v>
      </c>
      <c r="C919" s="310" t="s">
        <v>12</v>
      </c>
    </row>
    <row r="920" spans="1:3" ht="15" x14ac:dyDescent="0.2">
      <c r="A920" s="310">
        <v>16802</v>
      </c>
      <c r="B920" s="311" t="s">
        <v>11</v>
      </c>
      <c r="C920" s="310" t="s">
        <v>12</v>
      </c>
    </row>
    <row r="921" spans="1:3" ht="15" x14ac:dyDescent="0.2">
      <c r="A921" s="310">
        <v>16803</v>
      </c>
      <c r="B921" s="311" t="s">
        <v>11</v>
      </c>
      <c r="C921" s="310" t="s">
        <v>12</v>
      </c>
    </row>
    <row r="922" spans="1:3" ht="15" x14ac:dyDescent="0.2">
      <c r="A922" s="310">
        <v>16804</v>
      </c>
      <c r="B922" s="311" t="s">
        <v>11</v>
      </c>
      <c r="C922" s="310" t="s">
        <v>12</v>
      </c>
    </row>
    <row r="923" spans="1:3" ht="15" x14ac:dyDescent="0.2">
      <c r="A923" s="310">
        <v>16805</v>
      </c>
      <c r="B923" s="311" t="s">
        <v>11</v>
      </c>
      <c r="C923" s="310" t="s">
        <v>12</v>
      </c>
    </row>
    <row r="924" spans="1:3" ht="15" x14ac:dyDescent="0.2">
      <c r="A924" s="310">
        <v>16820</v>
      </c>
      <c r="B924" s="311" t="s">
        <v>11</v>
      </c>
      <c r="C924" s="310" t="s">
        <v>12</v>
      </c>
    </row>
    <row r="925" spans="1:3" ht="15" x14ac:dyDescent="0.2">
      <c r="A925" s="310">
        <v>16821</v>
      </c>
      <c r="B925" s="311" t="s">
        <v>9</v>
      </c>
      <c r="C925" s="310" t="s">
        <v>10</v>
      </c>
    </row>
    <row r="926" spans="1:3" ht="15" x14ac:dyDescent="0.2">
      <c r="A926" s="310">
        <v>16822</v>
      </c>
      <c r="B926" s="311" t="s">
        <v>11</v>
      </c>
      <c r="C926" s="310" t="s">
        <v>12</v>
      </c>
    </row>
    <row r="927" spans="1:3" ht="15" x14ac:dyDescent="0.2">
      <c r="A927" s="310">
        <v>16823</v>
      </c>
      <c r="B927" s="311" t="s">
        <v>11</v>
      </c>
      <c r="C927" s="310" t="s">
        <v>12</v>
      </c>
    </row>
    <row r="928" spans="1:3" ht="15" x14ac:dyDescent="0.2">
      <c r="A928" s="310">
        <v>16825</v>
      </c>
      <c r="B928" s="311" t="s">
        <v>9</v>
      </c>
      <c r="C928" s="310" t="s">
        <v>10</v>
      </c>
    </row>
    <row r="929" spans="1:3" ht="15" x14ac:dyDescent="0.2">
      <c r="A929" s="310">
        <v>16826</v>
      </c>
      <c r="B929" s="311" t="s">
        <v>11</v>
      </c>
      <c r="C929" s="310" t="s">
        <v>12</v>
      </c>
    </row>
    <row r="930" spans="1:3" ht="15" x14ac:dyDescent="0.2">
      <c r="A930" s="310">
        <v>16827</v>
      </c>
      <c r="B930" s="311" t="s">
        <v>11</v>
      </c>
      <c r="C930" s="310" t="s">
        <v>12</v>
      </c>
    </row>
    <row r="931" spans="1:3" ht="15" x14ac:dyDescent="0.2">
      <c r="A931" s="310">
        <v>16828</v>
      </c>
      <c r="B931" s="311" t="s">
        <v>11</v>
      </c>
      <c r="C931" s="310" t="s">
        <v>12</v>
      </c>
    </row>
    <row r="932" spans="1:3" ht="15" x14ac:dyDescent="0.2">
      <c r="A932" s="310">
        <v>16829</v>
      </c>
      <c r="B932" s="311" t="s">
        <v>11</v>
      </c>
      <c r="C932" s="310" t="s">
        <v>12</v>
      </c>
    </row>
    <row r="933" spans="1:3" ht="15" x14ac:dyDescent="0.2">
      <c r="A933" s="310">
        <v>16830</v>
      </c>
      <c r="B933" s="311" t="s">
        <v>9</v>
      </c>
      <c r="C933" s="310" t="s">
        <v>10</v>
      </c>
    </row>
    <row r="934" spans="1:3" ht="15" x14ac:dyDescent="0.2">
      <c r="A934" s="310">
        <v>16832</v>
      </c>
      <c r="B934" s="311" t="s">
        <v>11</v>
      </c>
      <c r="C934" s="310" t="s">
        <v>12</v>
      </c>
    </row>
    <row r="935" spans="1:3" ht="15" x14ac:dyDescent="0.2">
      <c r="A935" s="310">
        <v>16833</v>
      </c>
      <c r="B935" s="311" t="s">
        <v>9</v>
      </c>
      <c r="C935" s="310" t="s">
        <v>10</v>
      </c>
    </row>
    <row r="936" spans="1:3" ht="15" x14ac:dyDescent="0.2">
      <c r="A936" s="310">
        <v>16834</v>
      </c>
      <c r="B936" s="311" t="s">
        <v>9</v>
      </c>
      <c r="C936" s="310" t="s">
        <v>10</v>
      </c>
    </row>
    <row r="937" spans="1:3" ht="15" x14ac:dyDescent="0.2">
      <c r="A937" s="310">
        <v>16835</v>
      </c>
      <c r="B937" s="311" t="s">
        <v>11</v>
      </c>
      <c r="C937" s="310" t="s">
        <v>12</v>
      </c>
    </row>
    <row r="938" spans="1:3" ht="15" x14ac:dyDescent="0.2">
      <c r="A938" s="310">
        <v>16836</v>
      </c>
      <c r="B938" s="311" t="s">
        <v>9</v>
      </c>
      <c r="C938" s="310" t="s">
        <v>10</v>
      </c>
    </row>
    <row r="939" spans="1:3" ht="15" x14ac:dyDescent="0.2">
      <c r="A939" s="310">
        <v>16837</v>
      </c>
      <c r="B939" s="311" t="s">
        <v>9</v>
      </c>
      <c r="C939" s="310" t="s">
        <v>10</v>
      </c>
    </row>
    <row r="940" spans="1:3" ht="15" x14ac:dyDescent="0.2">
      <c r="A940" s="310">
        <v>16838</v>
      </c>
      <c r="B940" s="311" t="s">
        <v>9</v>
      </c>
      <c r="C940" s="310" t="s">
        <v>10</v>
      </c>
    </row>
    <row r="941" spans="1:3" ht="15" x14ac:dyDescent="0.2">
      <c r="A941" s="310">
        <v>16839</v>
      </c>
      <c r="B941" s="311" t="s">
        <v>9</v>
      </c>
      <c r="C941" s="310" t="s">
        <v>10</v>
      </c>
    </row>
    <row r="942" spans="1:3" ht="15" x14ac:dyDescent="0.2">
      <c r="A942" s="310">
        <v>16840</v>
      </c>
      <c r="B942" s="311" t="s">
        <v>9</v>
      </c>
      <c r="C942" s="310" t="s">
        <v>10</v>
      </c>
    </row>
    <row r="943" spans="1:3" ht="15" x14ac:dyDescent="0.2">
      <c r="A943" s="310">
        <v>16841</v>
      </c>
      <c r="B943" s="311" t="s">
        <v>11</v>
      </c>
      <c r="C943" s="310" t="s">
        <v>12</v>
      </c>
    </row>
    <row r="944" spans="1:3" ht="15" x14ac:dyDescent="0.2">
      <c r="A944" s="310">
        <v>16843</v>
      </c>
      <c r="B944" s="311" t="s">
        <v>9</v>
      </c>
      <c r="C944" s="310" t="s">
        <v>10</v>
      </c>
    </row>
    <row r="945" spans="1:3" ht="15" x14ac:dyDescent="0.2">
      <c r="A945" s="310">
        <v>16844</v>
      </c>
      <c r="B945" s="311" t="s">
        <v>11</v>
      </c>
      <c r="C945" s="310" t="s">
        <v>12</v>
      </c>
    </row>
    <row r="946" spans="1:3" ht="15" x14ac:dyDescent="0.2">
      <c r="A946" s="310">
        <v>16845</v>
      </c>
      <c r="B946" s="311" t="s">
        <v>9</v>
      </c>
      <c r="C946" s="310" t="s">
        <v>10</v>
      </c>
    </row>
    <row r="947" spans="1:3" ht="15" x14ac:dyDescent="0.2">
      <c r="A947" s="310">
        <v>16847</v>
      </c>
      <c r="B947" s="311" t="s">
        <v>9</v>
      </c>
      <c r="C947" s="310" t="s">
        <v>10</v>
      </c>
    </row>
    <row r="948" spans="1:3" ht="15" x14ac:dyDescent="0.2">
      <c r="A948" s="310">
        <v>16848</v>
      </c>
      <c r="B948" s="311" t="s">
        <v>11</v>
      </c>
      <c r="C948" s="310" t="s">
        <v>12</v>
      </c>
    </row>
    <row r="949" spans="1:3" ht="15" x14ac:dyDescent="0.2">
      <c r="A949" s="310">
        <v>16849</v>
      </c>
      <c r="B949" s="311" t="s">
        <v>9</v>
      </c>
      <c r="C949" s="310" t="s">
        <v>10</v>
      </c>
    </row>
    <row r="950" spans="1:3" ht="15" x14ac:dyDescent="0.2">
      <c r="A950" s="310">
        <v>16850</v>
      </c>
      <c r="B950" s="311" t="s">
        <v>9</v>
      </c>
      <c r="C950" s="310" t="s">
        <v>10</v>
      </c>
    </row>
    <row r="951" spans="1:3" ht="15" x14ac:dyDescent="0.2">
      <c r="A951" s="310">
        <v>16851</v>
      </c>
      <c r="B951" s="311" t="s">
        <v>11</v>
      </c>
      <c r="C951" s="310" t="s">
        <v>12</v>
      </c>
    </row>
    <row r="952" spans="1:3" ht="15" x14ac:dyDescent="0.2">
      <c r="A952" s="310">
        <v>16852</v>
      </c>
      <c r="B952" s="311" t="s">
        <v>11</v>
      </c>
      <c r="C952" s="310" t="s">
        <v>12</v>
      </c>
    </row>
    <row r="953" spans="1:3" ht="15" x14ac:dyDescent="0.2">
      <c r="A953" s="310">
        <v>16853</v>
      </c>
      <c r="B953" s="311" t="s">
        <v>11</v>
      </c>
      <c r="C953" s="310" t="s">
        <v>12</v>
      </c>
    </row>
    <row r="954" spans="1:3" ht="15" x14ac:dyDescent="0.2">
      <c r="A954" s="310">
        <v>16854</v>
      </c>
      <c r="B954" s="311" t="s">
        <v>11</v>
      </c>
      <c r="C954" s="310" t="s">
        <v>12</v>
      </c>
    </row>
    <row r="955" spans="1:3" ht="15" x14ac:dyDescent="0.2">
      <c r="A955" s="310">
        <v>16855</v>
      </c>
      <c r="B955" s="311" t="s">
        <v>9</v>
      </c>
      <c r="C955" s="310" t="s">
        <v>10</v>
      </c>
    </row>
    <row r="956" spans="1:3" ht="15" x14ac:dyDescent="0.2">
      <c r="A956" s="310">
        <v>16856</v>
      </c>
      <c r="B956" s="311" t="s">
        <v>9</v>
      </c>
      <c r="C956" s="310" t="s">
        <v>10</v>
      </c>
    </row>
    <row r="957" spans="1:3" ht="15" x14ac:dyDescent="0.2">
      <c r="A957" s="310">
        <v>16858</v>
      </c>
      <c r="B957" s="311" t="s">
        <v>9</v>
      </c>
      <c r="C957" s="310" t="s">
        <v>10</v>
      </c>
    </row>
    <row r="958" spans="1:3" ht="15" x14ac:dyDescent="0.2">
      <c r="A958" s="310">
        <v>16859</v>
      </c>
      <c r="B958" s="311" t="s">
        <v>11</v>
      </c>
      <c r="C958" s="310" t="s">
        <v>12</v>
      </c>
    </row>
    <row r="959" spans="1:3" ht="15" x14ac:dyDescent="0.2">
      <c r="A959" s="310">
        <v>16860</v>
      </c>
      <c r="B959" s="311" t="s">
        <v>11</v>
      </c>
      <c r="C959" s="310" t="s">
        <v>12</v>
      </c>
    </row>
    <row r="960" spans="1:3" ht="15" x14ac:dyDescent="0.2">
      <c r="A960" s="310">
        <v>16861</v>
      </c>
      <c r="B960" s="311" t="s">
        <v>9</v>
      </c>
      <c r="C960" s="310" t="s">
        <v>10</v>
      </c>
    </row>
    <row r="961" spans="1:3" ht="15" x14ac:dyDescent="0.2">
      <c r="A961" s="310">
        <v>16863</v>
      </c>
      <c r="B961" s="311" t="s">
        <v>9</v>
      </c>
      <c r="C961" s="310" t="s">
        <v>10</v>
      </c>
    </row>
    <row r="962" spans="1:3" ht="15" x14ac:dyDescent="0.2">
      <c r="A962" s="310">
        <v>16864</v>
      </c>
      <c r="B962" s="311" t="s">
        <v>9</v>
      </c>
      <c r="C962" s="310" t="s">
        <v>10</v>
      </c>
    </row>
    <row r="963" spans="1:3" ht="15" x14ac:dyDescent="0.2">
      <c r="A963" s="310">
        <v>16865</v>
      </c>
      <c r="B963" s="311" t="s">
        <v>11</v>
      </c>
      <c r="C963" s="310" t="s">
        <v>12</v>
      </c>
    </row>
    <row r="964" spans="1:3" ht="15" x14ac:dyDescent="0.2">
      <c r="A964" s="310">
        <v>16866</v>
      </c>
      <c r="B964" s="311" t="s">
        <v>11</v>
      </c>
      <c r="C964" s="310" t="s">
        <v>12</v>
      </c>
    </row>
    <row r="965" spans="1:3" ht="15" x14ac:dyDescent="0.2">
      <c r="A965" s="310">
        <v>16868</v>
      </c>
      <c r="B965" s="311" t="s">
        <v>11</v>
      </c>
      <c r="C965" s="310" t="s">
        <v>12</v>
      </c>
    </row>
    <row r="966" spans="1:3" ht="15" x14ac:dyDescent="0.2">
      <c r="A966" s="310">
        <v>16870</v>
      </c>
      <c r="B966" s="311" t="s">
        <v>11</v>
      </c>
      <c r="C966" s="310" t="s">
        <v>12</v>
      </c>
    </row>
    <row r="967" spans="1:3" ht="15" x14ac:dyDescent="0.2">
      <c r="A967" s="310">
        <v>16871</v>
      </c>
      <c r="B967" s="311" t="s">
        <v>11</v>
      </c>
      <c r="C967" s="310" t="s">
        <v>12</v>
      </c>
    </row>
    <row r="968" spans="1:3" ht="15" x14ac:dyDescent="0.2">
      <c r="A968" s="310">
        <v>16872</v>
      </c>
      <c r="B968" s="311" t="s">
        <v>11</v>
      </c>
      <c r="C968" s="310" t="s">
        <v>12</v>
      </c>
    </row>
    <row r="969" spans="1:3" ht="15" x14ac:dyDescent="0.2">
      <c r="A969" s="310">
        <v>16873</v>
      </c>
      <c r="B969" s="311" t="s">
        <v>9</v>
      </c>
      <c r="C969" s="310" t="s">
        <v>10</v>
      </c>
    </row>
    <row r="970" spans="1:3" ht="15" x14ac:dyDescent="0.2">
      <c r="A970" s="310">
        <v>16874</v>
      </c>
      <c r="B970" s="311" t="s">
        <v>11</v>
      </c>
      <c r="C970" s="310" t="s">
        <v>12</v>
      </c>
    </row>
    <row r="971" spans="1:3" ht="15" x14ac:dyDescent="0.2">
      <c r="A971" s="310">
        <v>16875</v>
      </c>
      <c r="B971" s="311" t="s">
        <v>11</v>
      </c>
      <c r="C971" s="310" t="s">
        <v>12</v>
      </c>
    </row>
    <row r="972" spans="1:3" ht="15" x14ac:dyDescent="0.2">
      <c r="A972" s="310">
        <v>16876</v>
      </c>
      <c r="B972" s="311" t="s">
        <v>9</v>
      </c>
      <c r="C972" s="310" t="s">
        <v>10</v>
      </c>
    </row>
    <row r="973" spans="1:3" ht="15" x14ac:dyDescent="0.2">
      <c r="A973" s="310">
        <v>16877</v>
      </c>
      <c r="B973" s="311" t="s">
        <v>11</v>
      </c>
      <c r="C973" s="310" t="s">
        <v>12</v>
      </c>
    </row>
    <row r="974" spans="1:3" ht="15" x14ac:dyDescent="0.2">
      <c r="A974" s="310">
        <v>16878</v>
      </c>
      <c r="B974" s="311" t="s">
        <v>9</v>
      </c>
      <c r="C974" s="310" t="s">
        <v>10</v>
      </c>
    </row>
    <row r="975" spans="1:3" ht="15" x14ac:dyDescent="0.2">
      <c r="A975" s="310">
        <v>16879</v>
      </c>
      <c r="B975" s="311" t="s">
        <v>9</v>
      </c>
      <c r="C975" s="310" t="s">
        <v>10</v>
      </c>
    </row>
    <row r="976" spans="1:3" ht="15" x14ac:dyDescent="0.2">
      <c r="A976" s="310">
        <v>16881</v>
      </c>
      <c r="B976" s="311" t="s">
        <v>9</v>
      </c>
      <c r="C976" s="310" t="s">
        <v>10</v>
      </c>
    </row>
    <row r="977" spans="1:3" ht="15" x14ac:dyDescent="0.2">
      <c r="A977" s="310">
        <v>16882</v>
      </c>
      <c r="B977" s="311" t="s">
        <v>11</v>
      </c>
      <c r="C977" s="310" t="s">
        <v>12</v>
      </c>
    </row>
    <row r="978" spans="1:3" ht="15" x14ac:dyDescent="0.2">
      <c r="A978" s="310">
        <v>16901</v>
      </c>
      <c r="B978" s="311" t="s">
        <v>9</v>
      </c>
      <c r="C978" s="310" t="s">
        <v>10</v>
      </c>
    </row>
    <row r="979" spans="1:3" ht="15" x14ac:dyDescent="0.2">
      <c r="A979" s="310">
        <v>16910</v>
      </c>
      <c r="B979" s="311" t="s">
        <v>13</v>
      </c>
      <c r="C979" s="310" t="s">
        <v>14</v>
      </c>
    </row>
    <row r="980" spans="1:3" ht="15" x14ac:dyDescent="0.2">
      <c r="A980" s="310">
        <v>16911</v>
      </c>
      <c r="B980" s="311" t="s">
        <v>9</v>
      </c>
      <c r="C980" s="310" t="s">
        <v>10</v>
      </c>
    </row>
    <row r="981" spans="1:3" ht="15" x14ac:dyDescent="0.2">
      <c r="A981" s="310">
        <v>16912</v>
      </c>
      <c r="B981" s="311" t="s">
        <v>9</v>
      </c>
      <c r="C981" s="310" t="s">
        <v>10</v>
      </c>
    </row>
    <row r="982" spans="1:3" ht="15" x14ac:dyDescent="0.2">
      <c r="A982" s="310">
        <v>16914</v>
      </c>
      <c r="B982" s="311" t="s">
        <v>13</v>
      </c>
      <c r="C982" s="310" t="s">
        <v>14</v>
      </c>
    </row>
    <row r="983" spans="1:3" ht="15" x14ac:dyDescent="0.2">
      <c r="A983" s="310">
        <v>16915</v>
      </c>
      <c r="B983" s="311" t="s">
        <v>9</v>
      </c>
      <c r="C983" s="310" t="s">
        <v>10</v>
      </c>
    </row>
    <row r="984" spans="1:3" ht="15" x14ac:dyDescent="0.2">
      <c r="A984" s="310">
        <v>16917</v>
      </c>
      <c r="B984" s="311" t="s">
        <v>9</v>
      </c>
      <c r="C984" s="310" t="s">
        <v>10</v>
      </c>
    </row>
    <row r="985" spans="1:3" ht="15" x14ac:dyDescent="0.2">
      <c r="A985" s="310">
        <v>16918</v>
      </c>
      <c r="B985" s="311" t="s">
        <v>9</v>
      </c>
      <c r="C985" s="310" t="s">
        <v>10</v>
      </c>
    </row>
    <row r="986" spans="1:3" ht="15" x14ac:dyDescent="0.2">
      <c r="A986" s="310">
        <v>16920</v>
      </c>
      <c r="B986" s="311" t="s">
        <v>9</v>
      </c>
      <c r="C986" s="310" t="s">
        <v>10</v>
      </c>
    </row>
    <row r="987" spans="1:3" ht="15" x14ac:dyDescent="0.2">
      <c r="A987" s="310">
        <v>16921</v>
      </c>
      <c r="B987" s="311" t="s">
        <v>9</v>
      </c>
      <c r="C987" s="310" t="s">
        <v>10</v>
      </c>
    </row>
    <row r="988" spans="1:3" ht="15" x14ac:dyDescent="0.2">
      <c r="A988" s="310">
        <v>16922</v>
      </c>
      <c r="B988" s="311" t="s">
        <v>9</v>
      </c>
      <c r="C988" s="310" t="s">
        <v>10</v>
      </c>
    </row>
    <row r="989" spans="1:3" ht="15" x14ac:dyDescent="0.2">
      <c r="A989" s="310">
        <v>16923</v>
      </c>
      <c r="B989" s="311" t="s">
        <v>9</v>
      </c>
      <c r="C989" s="310" t="s">
        <v>10</v>
      </c>
    </row>
    <row r="990" spans="1:3" ht="15" x14ac:dyDescent="0.2">
      <c r="A990" s="310">
        <v>16925</v>
      </c>
      <c r="B990" s="311" t="s">
        <v>13</v>
      </c>
      <c r="C990" s="310" t="s">
        <v>14</v>
      </c>
    </row>
    <row r="991" spans="1:3" ht="15" x14ac:dyDescent="0.2">
      <c r="A991" s="310">
        <v>16926</v>
      </c>
      <c r="B991" s="311" t="s">
        <v>13</v>
      </c>
      <c r="C991" s="310" t="s">
        <v>14</v>
      </c>
    </row>
    <row r="992" spans="1:3" ht="15" x14ac:dyDescent="0.2">
      <c r="A992" s="310">
        <v>16927</v>
      </c>
      <c r="B992" s="311" t="s">
        <v>9</v>
      </c>
      <c r="C992" s="310" t="s">
        <v>10</v>
      </c>
    </row>
    <row r="993" spans="1:3" ht="15" x14ac:dyDescent="0.2">
      <c r="A993" s="310">
        <v>16928</v>
      </c>
      <c r="B993" s="311" t="s">
        <v>9</v>
      </c>
      <c r="C993" s="310" t="s">
        <v>10</v>
      </c>
    </row>
    <row r="994" spans="1:3" ht="15" x14ac:dyDescent="0.2">
      <c r="A994" s="310">
        <v>16929</v>
      </c>
      <c r="B994" s="311" t="s">
        <v>9</v>
      </c>
      <c r="C994" s="310" t="s">
        <v>10</v>
      </c>
    </row>
    <row r="995" spans="1:3" ht="15" x14ac:dyDescent="0.2">
      <c r="A995" s="310">
        <v>16930</v>
      </c>
      <c r="B995" s="311" t="s">
        <v>9</v>
      </c>
      <c r="C995" s="310" t="s">
        <v>10</v>
      </c>
    </row>
    <row r="996" spans="1:3" ht="15" x14ac:dyDescent="0.2">
      <c r="A996" s="310">
        <v>16932</v>
      </c>
      <c r="B996" s="311" t="s">
        <v>9</v>
      </c>
      <c r="C996" s="310" t="s">
        <v>10</v>
      </c>
    </row>
    <row r="997" spans="1:3" ht="15" x14ac:dyDescent="0.2">
      <c r="A997" s="310">
        <v>16933</v>
      </c>
      <c r="B997" s="311" t="s">
        <v>9</v>
      </c>
      <c r="C997" s="310" t="s">
        <v>10</v>
      </c>
    </row>
    <row r="998" spans="1:3" ht="15" x14ac:dyDescent="0.2">
      <c r="A998" s="310">
        <v>16935</v>
      </c>
      <c r="B998" s="311" t="s">
        <v>9</v>
      </c>
      <c r="C998" s="310" t="s">
        <v>10</v>
      </c>
    </row>
    <row r="999" spans="1:3" ht="15" x14ac:dyDescent="0.2">
      <c r="A999" s="310">
        <v>16936</v>
      </c>
      <c r="B999" s="311" t="s">
        <v>9</v>
      </c>
      <c r="C999" s="310" t="s">
        <v>10</v>
      </c>
    </row>
    <row r="1000" spans="1:3" ht="15" x14ac:dyDescent="0.2">
      <c r="A1000" s="310">
        <v>16937</v>
      </c>
      <c r="B1000" s="311" t="s">
        <v>9</v>
      </c>
      <c r="C1000" s="310" t="s">
        <v>10</v>
      </c>
    </row>
    <row r="1001" spans="1:3" ht="15" x14ac:dyDescent="0.2">
      <c r="A1001" s="310">
        <v>16938</v>
      </c>
      <c r="B1001" s="311" t="s">
        <v>9</v>
      </c>
      <c r="C1001" s="310" t="s">
        <v>10</v>
      </c>
    </row>
    <row r="1002" spans="1:3" ht="15" x14ac:dyDescent="0.2">
      <c r="A1002" s="310">
        <v>16939</v>
      </c>
      <c r="B1002" s="311" t="s">
        <v>9</v>
      </c>
      <c r="C1002" s="310" t="s">
        <v>10</v>
      </c>
    </row>
    <row r="1003" spans="1:3" ht="15" x14ac:dyDescent="0.2">
      <c r="A1003" s="310">
        <v>16940</v>
      </c>
      <c r="B1003" s="311" t="s">
        <v>9</v>
      </c>
      <c r="C1003" s="310" t="s">
        <v>10</v>
      </c>
    </row>
    <row r="1004" spans="1:3" ht="15" x14ac:dyDescent="0.2">
      <c r="A1004" s="310">
        <v>16941</v>
      </c>
      <c r="B1004" s="311" t="s">
        <v>9</v>
      </c>
      <c r="C1004" s="310" t="s">
        <v>10</v>
      </c>
    </row>
    <row r="1005" spans="1:3" ht="15" x14ac:dyDescent="0.2">
      <c r="A1005" s="310">
        <v>16942</v>
      </c>
      <c r="B1005" s="311" t="s">
        <v>9</v>
      </c>
      <c r="C1005" s="310" t="s">
        <v>10</v>
      </c>
    </row>
    <row r="1006" spans="1:3" ht="15" x14ac:dyDescent="0.2">
      <c r="A1006" s="310">
        <v>16943</v>
      </c>
      <c r="B1006" s="311" t="s">
        <v>9</v>
      </c>
      <c r="C1006" s="310" t="s">
        <v>10</v>
      </c>
    </row>
    <row r="1007" spans="1:3" ht="15" x14ac:dyDescent="0.2">
      <c r="A1007" s="310">
        <v>16945</v>
      </c>
      <c r="B1007" s="311" t="s">
        <v>13</v>
      </c>
      <c r="C1007" s="310" t="s">
        <v>14</v>
      </c>
    </row>
    <row r="1008" spans="1:3" ht="15" x14ac:dyDescent="0.2">
      <c r="A1008" s="310">
        <v>16946</v>
      </c>
      <c r="B1008" s="311" t="s">
        <v>9</v>
      </c>
      <c r="C1008" s="310" t="s">
        <v>10</v>
      </c>
    </row>
    <row r="1009" spans="1:3" ht="15" x14ac:dyDescent="0.2">
      <c r="A1009" s="310">
        <v>16947</v>
      </c>
      <c r="B1009" s="311" t="s">
        <v>13</v>
      </c>
      <c r="C1009" s="310" t="s">
        <v>14</v>
      </c>
    </row>
    <row r="1010" spans="1:3" ht="15" x14ac:dyDescent="0.2">
      <c r="A1010" s="310">
        <v>16948</v>
      </c>
      <c r="B1010" s="311" t="s">
        <v>9</v>
      </c>
      <c r="C1010" s="310" t="s">
        <v>10</v>
      </c>
    </row>
    <row r="1011" spans="1:3" ht="15" x14ac:dyDescent="0.2">
      <c r="A1011" s="310">
        <v>16950</v>
      </c>
      <c r="B1011" s="311" t="s">
        <v>9</v>
      </c>
      <c r="C1011" s="310" t="s">
        <v>10</v>
      </c>
    </row>
    <row r="1012" spans="1:3" ht="15" x14ac:dyDescent="0.2">
      <c r="A1012" s="310">
        <v>17001</v>
      </c>
      <c r="B1012" s="311" t="s">
        <v>5</v>
      </c>
      <c r="C1012" s="310" t="s">
        <v>6</v>
      </c>
    </row>
    <row r="1013" spans="1:3" ht="15" x14ac:dyDescent="0.2">
      <c r="A1013" s="310">
        <v>17002</v>
      </c>
      <c r="B1013" s="311" t="s">
        <v>11</v>
      </c>
      <c r="C1013" s="310" t="s">
        <v>12</v>
      </c>
    </row>
    <row r="1014" spans="1:3" ht="15" x14ac:dyDescent="0.2">
      <c r="A1014" s="310">
        <v>17003</v>
      </c>
      <c r="B1014" s="311" t="s">
        <v>15</v>
      </c>
      <c r="C1014" s="310" t="s">
        <v>16</v>
      </c>
    </row>
    <row r="1015" spans="1:3" ht="15" x14ac:dyDescent="0.2">
      <c r="A1015" s="310">
        <v>17004</v>
      </c>
      <c r="B1015" s="311" t="s">
        <v>11</v>
      </c>
      <c r="C1015" s="310" t="s">
        <v>12</v>
      </c>
    </row>
    <row r="1016" spans="1:3" ht="15" x14ac:dyDescent="0.2">
      <c r="A1016" s="310">
        <v>17005</v>
      </c>
      <c r="B1016" s="311" t="s">
        <v>11</v>
      </c>
      <c r="C1016" s="310" t="s">
        <v>12</v>
      </c>
    </row>
    <row r="1017" spans="1:3" ht="15" x14ac:dyDescent="0.2">
      <c r="A1017" s="310">
        <v>17006</v>
      </c>
      <c r="B1017" s="311" t="s">
        <v>11</v>
      </c>
      <c r="C1017" s="310" t="s">
        <v>12</v>
      </c>
    </row>
    <row r="1018" spans="1:3" ht="15" x14ac:dyDescent="0.2">
      <c r="A1018" s="310">
        <v>17007</v>
      </c>
      <c r="B1018" s="311" t="s">
        <v>5</v>
      </c>
      <c r="C1018" s="310" t="s">
        <v>6</v>
      </c>
    </row>
    <row r="1019" spans="1:3" ht="15" x14ac:dyDescent="0.2">
      <c r="A1019" s="310">
        <v>17008</v>
      </c>
      <c r="B1019" s="311" t="s">
        <v>5</v>
      </c>
      <c r="C1019" s="310" t="s">
        <v>6</v>
      </c>
    </row>
    <row r="1020" spans="1:3" ht="15" x14ac:dyDescent="0.2">
      <c r="A1020" s="310">
        <v>17009</v>
      </c>
      <c r="B1020" s="311" t="s">
        <v>11</v>
      </c>
      <c r="C1020" s="310" t="s">
        <v>12</v>
      </c>
    </row>
    <row r="1021" spans="1:3" ht="15" x14ac:dyDescent="0.2">
      <c r="A1021" s="310">
        <v>17010</v>
      </c>
      <c r="B1021" s="311" t="s">
        <v>15</v>
      </c>
      <c r="C1021" s="310" t="s">
        <v>16</v>
      </c>
    </row>
    <row r="1022" spans="1:3" ht="15" x14ac:dyDescent="0.2">
      <c r="A1022" s="310">
        <v>17011</v>
      </c>
      <c r="B1022" s="311" t="s">
        <v>5</v>
      </c>
      <c r="C1022" s="310" t="s">
        <v>6</v>
      </c>
    </row>
    <row r="1023" spans="1:3" ht="15" x14ac:dyDescent="0.2">
      <c r="A1023" s="310">
        <v>17012</v>
      </c>
      <c r="B1023" s="311" t="s">
        <v>5</v>
      </c>
      <c r="C1023" s="310" t="s">
        <v>6</v>
      </c>
    </row>
    <row r="1024" spans="1:3" ht="15" x14ac:dyDescent="0.2">
      <c r="A1024" s="310">
        <v>17013</v>
      </c>
      <c r="B1024" s="311" t="s">
        <v>5</v>
      </c>
      <c r="C1024" s="310" t="s">
        <v>6</v>
      </c>
    </row>
    <row r="1025" spans="1:3" ht="15" x14ac:dyDescent="0.2">
      <c r="A1025" s="310">
        <v>17014</v>
      </c>
      <c r="B1025" s="311" t="s">
        <v>11</v>
      </c>
      <c r="C1025" s="310" t="s">
        <v>12</v>
      </c>
    </row>
    <row r="1026" spans="1:3" ht="15" x14ac:dyDescent="0.2">
      <c r="A1026" s="310">
        <v>17015</v>
      </c>
      <c r="B1026" s="311" t="s">
        <v>5</v>
      </c>
      <c r="C1026" s="310" t="s">
        <v>6</v>
      </c>
    </row>
    <row r="1027" spans="1:3" ht="15" x14ac:dyDescent="0.2">
      <c r="A1027" s="310">
        <v>17016</v>
      </c>
      <c r="B1027" s="311" t="s">
        <v>15</v>
      </c>
      <c r="C1027" s="310" t="s">
        <v>16</v>
      </c>
    </row>
    <row r="1028" spans="1:3" ht="15" x14ac:dyDescent="0.2">
      <c r="A1028" s="310">
        <v>17017</v>
      </c>
      <c r="B1028" s="311" t="s">
        <v>11</v>
      </c>
      <c r="C1028" s="310" t="s">
        <v>12</v>
      </c>
    </row>
    <row r="1029" spans="1:3" ht="15" x14ac:dyDescent="0.2">
      <c r="A1029" s="310">
        <v>17018</v>
      </c>
      <c r="B1029" s="311" t="s">
        <v>11</v>
      </c>
      <c r="C1029" s="310" t="s">
        <v>12</v>
      </c>
    </row>
    <row r="1030" spans="1:3" ht="15" x14ac:dyDescent="0.2">
      <c r="A1030" s="310">
        <v>17019</v>
      </c>
      <c r="B1030" s="311" t="s">
        <v>5</v>
      </c>
      <c r="C1030" s="310" t="s">
        <v>6</v>
      </c>
    </row>
    <row r="1031" spans="1:3" ht="15" x14ac:dyDescent="0.2">
      <c r="A1031" s="310">
        <v>17020</v>
      </c>
      <c r="B1031" s="311" t="s">
        <v>11</v>
      </c>
      <c r="C1031" s="310" t="s">
        <v>12</v>
      </c>
    </row>
    <row r="1032" spans="1:3" ht="15" x14ac:dyDescent="0.2">
      <c r="A1032" s="310">
        <v>17021</v>
      </c>
      <c r="B1032" s="311" t="s">
        <v>11</v>
      </c>
      <c r="C1032" s="310" t="s">
        <v>12</v>
      </c>
    </row>
    <row r="1033" spans="1:3" ht="15" x14ac:dyDescent="0.2">
      <c r="A1033" s="310">
        <v>17022</v>
      </c>
      <c r="B1033" s="311" t="s">
        <v>15</v>
      </c>
      <c r="C1033" s="310" t="s">
        <v>16</v>
      </c>
    </row>
    <row r="1034" spans="1:3" ht="15" x14ac:dyDescent="0.2">
      <c r="A1034" s="310">
        <v>17023</v>
      </c>
      <c r="B1034" s="311" t="s">
        <v>11</v>
      </c>
      <c r="C1034" s="310" t="s">
        <v>12</v>
      </c>
    </row>
    <row r="1035" spans="1:3" ht="15" x14ac:dyDescent="0.2">
      <c r="A1035" s="310">
        <v>17024</v>
      </c>
      <c r="B1035" s="311" t="s">
        <v>11</v>
      </c>
      <c r="C1035" s="310" t="s">
        <v>12</v>
      </c>
    </row>
    <row r="1036" spans="1:3" ht="15" x14ac:dyDescent="0.2">
      <c r="A1036" s="310">
        <v>17025</v>
      </c>
      <c r="B1036" s="311" t="s">
        <v>5</v>
      </c>
      <c r="C1036" s="310" t="s">
        <v>6</v>
      </c>
    </row>
    <row r="1037" spans="1:3" ht="15" x14ac:dyDescent="0.2">
      <c r="A1037" s="310">
        <v>17026</v>
      </c>
      <c r="B1037" s="311" t="s">
        <v>15</v>
      </c>
      <c r="C1037" s="310" t="s">
        <v>16</v>
      </c>
    </row>
    <row r="1038" spans="1:3" ht="15" x14ac:dyDescent="0.2">
      <c r="A1038" s="310">
        <v>17027</v>
      </c>
      <c r="B1038" s="311" t="s">
        <v>5</v>
      </c>
      <c r="C1038" s="310" t="s">
        <v>6</v>
      </c>
    </row>
    <row r="1039" spans="1:3" ht="15" x14ac:dyDescent="0.2">
      <c r="A1039" s="310">
        <v>17028</v>
      </c>
      <c r="B1039" s="311" t="s">
        <v>11</v>
      </c>
      <c r="C1039" s="310" t="s">
        <v>12</v>
      </c>
    </row>
    <row r="1040" spans="1:3" ht="15" x14ac:dyDescent="0.2">
      <c r="A1040" s="310">
        <v>17029</v>
      </c>
      <c r="B1040" s="311" t="s">
        <v>11</v>
      </c>
      <c r="C1040" s="310" t="s">
        <v>12</v>
      </c>
    </row>
    <row r="1041" spans="1:3" ht="15" x14ac:dyDescent="0.2">
      <c r="A1041" s="310">
        <v>17030</v>
      </c>
      <c r="B1041" s="311" t="s">
        <v>11</v>
      </c>
      <c r="C1041" s="310" t="s">
        <v>12</v>
      </c>
    </row>
    <row r="1042" spans="1:3" ht="15" x14ac:dyDescent="0.2">
      <c r="A1042" s="310">
        <v>17032</v>
      </c>
      <c r="B1042" s="311" t="s">
        <v>11</v>
      </c>
      <c r="C1042" s="310" t="s">
        <v>12</v>
      </c>
    </row>
    <row r="1043" spans="1:3" ht="15" x14ac:dyDescent="0.2">
      <c r="A1043" s="310">
        <v>17033</v>
      </c>
      <c r="B1043" s="311" t="s">
        <v>11</v>
      </c>
      <c r="C1043" s="310" t="s">
        <v>12</v>
      </c>
    </row>
    <row r="1044" spans="1:3" ht="15" x14ac:dyDescent="0.2">
      <c r="A1044" s="310">
        <v>17034</v>
      </c>
      <c r="B1044" s="311" t="s">
        <v>11</v>
      </c>
      <c r="C1044" s="310" t="s">
        <v>12</v>
      </c>
    </row>
    <row r="1045" spans="1:3" ht="15" x14ac:dyDescent="0.2">
      <c r="A1045" s="310">
        <v>17035</v>
      </c>
      <c r="B1045" s="311" t="s">
        <v>11</v>
      </c>
      <c r="C1045" s="310" t="s">
        <v>12</v>
      </c>
    </row>
    <row r="1046" spans="1:3" ht="15" x14ac:dyDescent="0.2">
      <c r="A1046" s="310">
        <v>17036</v>
      </c>
      <c r="B1046" s="311" t="s">
        <v>11</v>
      </c>
      <c r="C1046" s="310" t="s">
        <v>12</v>
      </c>
    </row>
    <row r="1047" spans="1:3" ht="15" x14ac:dyDescent="0.2">
      <c r="A1047" s="310">
        <v>17037</v>
      </c>
      <c r="B1047" s="311" t="s">
        <v>11</v>
      </c>
      <c r="C1047" s="310" t="s">
        <v>12</v>
      </c>
    </row>
    <row r="1048" spans="1:3" ht="15" x14ac:dyDescent="0.2">
      <c r="A1048" s="310">
        <v>17038</v>
      </c>
      <c r="B1048" s="311" t="s">
        <v>15</v>
      </c>
      <c r="C1048" s="310" t="s">
        <v>16</v>
      </c>
    </row>
    <row r="1049" spans="1:3" ht="15" x14ac:dyDescent="0.2">
      <c r="A1049" s="310">
        <v>17039</v>
      </c>
      <c r="B1049" s="311" t="s">
        <v>15</v>
      </c>
      <c r="C1049" s="310" t="s">
        <v>16</v>
      </c>
    </row>
    <row r="1050" spans="1:3" ht="15" x14ac:dyDescent="0.2">
      <c r="A1050" s="310">
        <v>17040</v>
      </c>
      <c r="B1050" s="311" t="s">
        <v>11</v>
      </c>
      <c r="C1050" s="310" t="s">
        <v>12</v>
      </c>
    </row>
    <row r="1051" spans="1:3" ht="15" x14ac:dyDescent="0.2">
      <c r="A1051" s="310">
        <v>17041</v>
      </c>
      <c r="B1051" s="311" t="s">
        <v>15</v>
      </c>
      <c r="C1051" s="310" t="s">
        <v>16</v>
      </c>
    </row>
    <row r="1052" spans="1:3" ht="15" x14ac:dyDescent="0.2">
      <c r="A1052" s="310">
        <v>17042</v>
      </c>
      <c r="B1052" s="311" t="s">
        <v>15</v>
      </c>
      <c r="C1052" s="310" t="s">
        <v>16</v>
      </c>
    </row>
    <row r="1053" spans="1:3" ht="15" x14ac:dyDescent="0.2">
      <c r="A1053" s="310">
        <v>17043</v>
      </c>
      <c r="B1053" s="311" t="s">
        <v>5</v>
      </c>
      <c r="C1053" s="310" t="s">
        <v>6</v>
      </c>
    </row>
    <row r="1054" spans="1:3" ht="15" x14ac:dyDescent="0.2">
      <c r="A1054" s="310">
        <v>17044</v>
      </c>
      <c r="B1054" s="311" t="s">
        <v>11</v>
      </c>
      <c r="C1054" s="310" t="s">
        <v>12</v>
      </c>
    </row>
    <row r="1055" spans="1:3" ht="15" x14ac:dyDescent="0.2">
      <c r="A1055" s="310">
        <v>17045</v>
      </c>
      <c r="B1055" s="311" t="s">
        <v>11</v>
      </c>
      <c r="C1055" s="310" t="s">
        <v>12</v>
      </c>
    </row>
    <row r="1056" spans="1:3" ht="15" x14ac:dyDescent="0.2">
      <c r="A1056" s="310">
        <v>17046</v>
      </c>
      <c r="B1056" s="311" t="s">
        <v>15</v>
      </c>
      <c r="C1056" s="310" t="s">
        <v>16</v>
      </c>
    </row>
    <row r="1057" spans="1:3" ht="15" x14ac:dyDescent="0.2">
      <c r="A1057" s="310">
        <v>17047</v>
      </c>
      <c r="B1057" s="311" t="s">
        <v>11</v>
      </c>
      <c r="C1057" s="310" t="s">
        <v>12</v>
      </c>
    </row>
    <row r="1058" spans="1:3" ht="15" x14ac:dyDescent="0.2">
      <c r="A1058" s="310">
        <v>17048</v>
      </c>
      <c r="B1058" s="311" t="s">
        <v>11</v>
      </c>
      <c r="C1058" s="310" t="s">
        <v>12</v>
      </c>
    </row>
    <row r="1059" spans="1:3" ht="15" x14ac:dyDescent="0.2">
      <c r="A1059" s="310">
        <v>17049</v>
      </c>
      <c r="B1059" s="311" t="s">
        <v>11</v>
      </c>
      <c r="C1059" s="310" t="s">
        <v>12</v>
      </c>
    </row>
    <row r="1060" spans="1:3" ht="15" x14ac:dyDescent="0.2">
      <c r="A1060" s="310">
        <v>17050</v>
      </c>
      <c r="B1060" s="311" t="s">
        <v>5</v>
      </c>
      <c r="C1060" s="310" t="s">
        <v>6</v>
      </c>
    </row>
    <row r="1061" spans="1:3" ht="15" x14ac:dyDescent="0.2">
      <c r="A1061" s="310">
        <v>17051</v>
      </c>
      <c r="B1061" s="311" t="s">
        <v>11</v>
      </c>
      <c r="C1061" s="310" t="s">
        <v>12</v>
      </c>
    </row>
    <row r="1062" spans="1:3" ht="15" x14ac:dyDescent="0.2">
      <c r="A1062" s="310">
        <v>17052</v>
      </c>
      <c r="B1062" s="311" t="s">
        <v>11</v>
      </c>
      <c r="C1062" s="310" t="s">
        <v>12</v>
      </c>
    </row>
    <row r="1063" spans="1:3" ht="15" x14ac:dyDescent="0.2">
      <c r="A1063" s="310">
        <v>17053</v>
      </c>
      <c r="B1063" s="311" t="s">
        <v>11</v>
      </c>
      <c r="C1063" s="310" t="s">
        <v>12</v>
      </c>
    </row>
    <row r="1064" spans="1:3" ht="15" x14ac:dyDescent="0.2">
      <c r="A1064" s="310">
        <v>17054</v>
      </c>
      <c r="B1064" s="311" t="s">
        <v>11</v>
      </c>
      <c r="C1064" s="310" t="s">
        <v>12</v>
      </c>
    </row>
    <row r="1065" spans="1:3" ht="15" x14ac:dyDescent="0.2">
      <c r="A1065" s="310">
        <v>17055</v>
      </c>
      <c r="B1065" s="311" t="s">
        <v>5</v>
      </c>
      <c r="C1065" s="310" t="s">
        <v>6</v>
      </c>
    </row>
    <row r="1066" spans="1:3" ht="15" x14ac:dyDescent="0.2">
      <c r="A1066" s="310">
        <v>17056</v>
      </c>
      <c r="B1066" s="311" t="s">
        <v>11</v>
      </c>
      <c r="C1066" s="310" t="s">
        <v>12</v>
      </c>
    </row>
    <row r="1067" spans="1:3" ht="15" x14ac:dyDescent="0.2">
      <c r="A1067" s="310">
        <v>17057</v>
      </c>
      <c r="B1067" s="311" t="s">
        <v>11</v>
      </c>
      <c r="C1067" s="310" t="s">
        <v>12</v>
      </c>
    </row>
    <row r="1068" spans="1:3" ht="15" x14ac:dyDescent="0.2">
      <c r="A1068" s="310">
        <v>17058</v>
      </c>
      <c r="B1068" s="311" t="s">
        <v>11</v>
      </c>
      <c r="C1068" s="310" t="s">
        <v>12</v>
      </c>
    </row>
    <row r="1069" spans="1:3" ht="15" x14ac:dyDescent="0.2">
      <c r="A1069" s="310">
        <v>17059</v>
      </c>
      <c r="B1069" s="311" t="s">
        <v>11</v>
      </c>
      <c r="C1069" s="310" t="s">
        <v>12</v>
      </c>
    </row>
    <row r="1070" spans="1:3" ht="15" x14ac:dyDescent="0.2">
      <c r="A1070" s="310">
        <v>17060</v>
      </c>
      <c r="B1070" s="311" t="s">
        <v>11</v>
      </c>
      <c r="C1070" s="310" t="s">
        <v>12</v>
      </c>
    </row>
    <row r="1071" spans="1:3" ht="15" x14ac:dyDescent="0.2">
      <c r="A1071" s="310">
        <v>17061</v>
      </c>
      <c r="B1071" s="311" t="s">
        <v>11</v>
      </c>
      <c r="C1071" s="310" t="s">
        <v>12</v>
      </c>
    </row>
    <row r="1072" spans="1:3" ht="15" x14ac:dyDescent="0.2">
      <c r="A1072" s="310">
        <v>17062</v>
      </c>
      <c r="B1072" s="311" t="s">
        <v>11</v>
      </c>
      <c r="C1072" s="310" t="s">
        <v>12</v>
      </c>
    </row>
    <row r="1073" spans="1:3" ht="15" x14ac:dyDescent="0.2">
      <c r="A1073" s="310">
        <v>17063</v>
      </c>
      <c r="B1073" s="311" t="s">
        <v>11</v>
      </c>
      <c r="C1073" s="310" t="s">
        <v>12</v>
      </c>
    </row>
    <row r="1074" spans="1:3" ht="15" x14ac:dyDescent="0.2">
      <c r="A1074" s="310">
        <v>17064</v>
      </c>
      <c r="B1074" s="311" t="s">
        <v>15</v>
      </c>
      <c r="C1074" s="310" t="s">
        <v>16</v>
      </c>
    </row>
    <row r="1075" spans="1:3" ht="15" x14ac:dyDescent="0.2">
      <c r="A1075" s="310">
        <v>17065</v>
      </c>
      <c r="B1075" s="311" t="s">
        <v>5</v>
      </c>
      <c r="C1075" s="310" t="s">
        <v>6</v>
      </c>
    </row>
    <row r="1076" spans="1:3" ht="15" x14ac:dyDescent="0.2">
      <c r="A1076" s="310">
        <v>17066</v>
      </c>
      <c r="B1076" s="311" t="s">
        <v>11</v>
      </c>
      <c r="C1076" s="310" t="s">
        <v>12</v>
      </c>
    </row>
    <row r="1077" spans="1:3" ht="15" x14ac:dyDescent="0.2">
      <c r="A1077" s="310">
        <v>17067</v>
      </c>
      <c r="B1077" s="311" t="s">
        <v>15</v>
      </c>
      <c r="C1077" s="310" t="s">
        <v>16</v>
      </c>
    </row>
    <row r="1078" spans="1:3" ht="15" x14ac:dyDescent="0.2">
      <c r="A1078" s="310">
        <v>17068</v>
      </c>
      <c r="B1078" s="311" t="s">
        <v>11</v>
      </c>
      <c r="C1078" s="310" t="s">
        <v>12</v>
      </c>
    </row>
    <row r="1079" spans="1:3" ht="15" x14ac:dyDescent="0.2">
      <c r="A1079" s="310">
        <v>17069</v>
      </c>
      <c r="B1079" s="311" t="s">
        <v>11</v>
      </c>
      <c r="C1079" s="310" t="s">
        <v>12</v>
      </c>
    </row>
    <row r="1080" spans="1:3" ht="15" x14ac:dyDescent="0.2">
      <c r="A1080" s="310">
        <v>17070</v>
      </c>
      <c r="B1080" s="311" t="s">
        <v>5</v>
      </c>
      <c r="C1080" s="310" t="s">
        <v>6</v>
      </c>
    </row>
    <row r="1081" spans="1:3" ht="15" x14ac:dyDescent="0.2">
      <c r="A1081" s="310">
        <v>17071</v>
      </c>
      <c r="B1081" s="311" t="s">
        <v>11</v>
      </c>
      <c r="C1081" s="310" t="s">
        <v>12</v>
      </c>
    </row>
    <row r="1082" spans="1:3" ht="15" x14ac:dyDescent="0.2">
      <c r="A1082" s="310">
        <v>17072</v>
      </c>
      <c r="B1082" s="311" t="s">
        <v>5</v>
      </c>
      <c r="C1082" s="310" t="s">
        <v>6</v>
      </c>
    </row>
    <row r="1083" spans="1:3" ht="15" x14ac:dyDescent="0.2">
      <c r="A1083" s="310">
        <v>17073</v>
      </c>
      <c r="B1083" s="311" t="s">
        <v>15</v>
      </c>
      <c r="C1083" s="310" t="s">
        <v>16</v>
      </c>
    </row>
    <row r="1084" spans="1:3" ht="15" x14ac:dyDescent="0.2">
      <c r="A1084" s="310">
        <v>17074</v>
      </c>
      <c r="B1084" s="311" t="s">
        <v>11</v>
      </c>
      <c r="C1084" s="310" t="s">
        <v>12</v>
      </c>
    </row>
    <row r="1085" spans="1:3" ht="15" x14ac:dyDescent="0.2">
      <c r="A1085" s="310">
        <v>17075</v>
      </c>
      <c r="B1085" s="311" t="s">
        <v>11</v>
      </c>
      <c r="C1085" s="310" t="s">
        <v>12</v>
      </c>
    </row>
    <row r="1086" spans="1:3" ht="15" x14ac:dyDescent="0.2">
      <c r="A1086" s="310">
        <v>17076</v>
      </c>
      <c r="B1086" s="311" t="s">
        <v>11</v>
      </c>
      <c r="C1086" s="310" t="s">
        <v>12</v>
      </c>
    </row>
    <row r="1087" spans="1:3" ht="15" x14ac:dyDescent="0.2">
      <c r="A1087" s="310">
        <v>17077</v>
      </c>
      <c r="B1087" s="311" t="s">
        <v>15</v>
      </c>
      <c r="C1087" s="310" t="s">
        <v>16</v>
      </c>
    </row>
    <row r="1088" spans="1:3" ht="15" x14ac:dyDescent="0.2">
      <c r="A1088" s="310">
        <v>17078</v>
      </c>
      <c r="B1088" s="311" t="s">
        <v>15</v>
      </c>
      <c r="C1088" s="310" t="s">
        <v>16</v>
      </c>
    </row>
    <row r="1089" spans="1:3" ht="15" x14ac:dyDescent="0.2">
      <c r="A1089" s="310">
        <v>17080</v>
      </c>
      <c r="B1089" s="311" t="s">
        <v>11</v>
      </c>
      <c r="C1089" s="310" t="s">
        <v>12</v>
      </c>
    </row>
    <row r="1090" spans="1:3" ht="15" x14ac:dyDescent="0.2">
      <c r="A1090" s="310">
        <v>17081</v>
      </c>
      <c r="B1090" s="311" t="s">
        <v>5</v>
      </c>
      <c r="C1090" s="310" t="s">
        <v>6</v>
      </c>
    </row>
    <row r="1091" spans="1:3" ht="15" x14ac:dyDescent="0.2">
      <c r="A1091" s="310">
        <v>17082</v>
      </c>
      <c r="B1091" s="311" t="s">
        <v>11</v>
      </c>
      <c r="C1091" s="310" t="s">
        <v>12</v>
      </c>
    </row>
    <row r="1092" spans="1:3" ht="15" x14ac:dyDescent="0.2">
      <c r="A1092" s="310">
        <v>17083</v>
      </c>
      <c r="B1092" s="311" t="s">
        <v>15</v>
      </c>
      <c r="C1092" s="310" t="s">
        <v>16</v>
      </c>
    </row>
    <row r="1093" spans="1:3" ht="15" x14ac:dyDescent="0.2">
      <c r="A1093" s="310">
        <v>17084</v>
      </c>
      <c r="B1093" s="311" t="s">
        <v>11</v>
      </c>
      <c r="C1093" s="310" t="s">
        <v>12</v>
      </c>
    </row>
    <row r="1094" spans="1:3" ht="15" x14ac:dyDescent="0.2">
      <c r="A1094" s="310">
        <v>17085</v>
      </c>
      <c r="B1094" s="311" t="s">
        <v>15</v>
      </c>
      <c r="C1094" s="310" t="s">
        <v>16</v>
      </c>
    </row>
    <row r="1095" spans="1:3" ht="15" x14ac:dyDescent="0.2">
      <c r="A1095" s="310">
        <v>17086</v>
      </c>
      <c r="B1095" s="311" t="s">
        <v>11</v>
      </c>
      <c r="C1095" s="310" t="s">
        <v>12</v>
      </c>
    </row>
    <row r="1096" spans="1:3" ht="15" x14ac:dyDescent="0.2">
      <c r="A1096" s="310">
        <v>17087</v>
      </c>
      <c r="B1096" s="311" t="s">
        <v>15</v>
      </c>
      <c r="C1096" s="310" t="s">
        <v>16</v>
      </c>
    </row>
    <row r="1097" spans="1:3" ht="15" x14ac:dyDescent="0.2">
      <c r="A1097" s="310">
        <v>17088</v>
      </c>
      <c r="B1097" s="311" t="s">
        <v>15</v>
      </c>
      <c r="C1097" s="310" t="s">
        <v>16</v>
      </c>
    </row>
    <row r="1098" spans="1:3" ht="15" x14ac:dyDescent="0.2">
      <c r="A1098" s="310">
        <v>17089</v>
      </c>
      <c r="B1098" s="311" t="s">
        <v>5</v>
      </c>
      <c r="C1098" s="310" t="s">
        <v>6</v>
      </c>
    </row>
    <row r="1099" spans="1:3" ht="15" x14ac:dyDescent="0.2">
      <c r="A1099" s="310">
        <v>17090</v>
      </c>
      <c r="B1099" s="311" t="s">
        <v>11</v>
      </c>
      <c r="C1099" s="310" t="s">
        <v>12</v>
      </c>
    </row>
    <row r="1100" spans="1:3" ht="15" x14ac:dyDescent="0.2">
      <c r="A1100" s="310">
        <v>17091</v>
      </c>
      <c r="B1100" s="311" t="s">
        <v>15</v>
      </c>
      <c r="C1100" s="310" t="s">
        <v>16</v>
      </c>
    </row>
    <row r="1101" spans="1:3" ht="15" x14ac:dyDescent="0.2">
      <c r="A1101" s="310">
        <v>17093</v>
      </c>
      <c r="B1101" s="311" t="s">
        <v>5</v>
      </c>
      <c r="C1101" s="310" t="s">
        <v>6</v>
      </c>
    </row>
    <row r="1102" spans="1:3" ht="15" x14ac:dyDescent="0.2">
      <c r="A1102" s="310">
        <v>17094</v>
      </c>
      <c r="B1102" s="311" t="s">
        <v>11</v>
      </c>
      <c r="C1102" s="310" t="s">
        <v>12</v>
      </c>
    </row>
    <row r="1103" spans="1:3" ht="15" x14ac:dyDescent="0.2">
      <c r="A1103" s="310">
        <v>17097</v>
      </c>
      <c r="B1103" s="311" t="s">
        <v>11</v>
      </c>
      <c r="C1103" s="310" t="s">
        <v>12</v>
      </c>
    </row>
    <row r="1104" spans="1:3" ht="15" x14ac:dyDescent="0.2">
      <c r="A1104" s="310">
        <v>17098</v>
      </c>
      <c r="B1104" s="311" t="s">
        <v>11</v>
      </c>
      <c r="C1104" s="310" t="s">
        <v>12</v>
      </c>
    </row>
    <row r="1105" spans="1:3" ht="15" x14ac:dyDescent="0.2">
      <c r="A1105" s="310">
        <v>17099</v>
      </c>
      <c r="B1105" s="311" t="s">
        <v>11</v>
      </c>
      <c r="C1105" s="310" t="s">
        <v>12</v>
      </c>
    </row>
    <row r="1106" spans="1:3" ht="15" x14ac:dyDescent="0.2">
      <c r="A1106" s="310">
        <v>17101</v>
      </c>
      <c r="B1106" s="311" t="s">
        <v>11</v>
      </c>
      <c r="C1106" s="310" t="s">
        <v>12</v>
      </c>
    </row>
    <row r="1107" spans="1:3" ht="15" x14ac:dyDescent="0.2">
      <c r="A1107" s="310">
        <v>17102</v>
      </c>
      <c r="B1107" s="311" t="s">
        <v>11</v>
      </c>
      <c r="C1107" s="310" t="s">
        <v>12</v>
      </c>
    </row>
    <row r="1108" spans="1:3" ht="15" x14ac:dyDescent="0.2">
      <c r="A1108" s="310">
        <v>17103</v>
      </c>
      <c r="B1108" s="311" t="s">
        <v>11</v>
      </c>
      <c r="C1108" s="310" t="s">
        <v>12</v>
      </c>
    </row>
    <row r="1109" spans="1:3" ht="15" x14ac:dyDescent="0.2">
      <c r="A1109" s="310">
        <v>17104</v>
      </c>
      <c r="B1109" s="311" t="s">
        <v>11</v>
      </c>
      <c r="C1109" s="310" t="s">
        <v>12</v>
      </c>
    </row>
    <row r="1110" spans="1:3" ht="15" x14ac:dyDescent="0.2">
      <c r="A1110" s="310">
        <v>17105</v>
      </c>
      <c r="B1110" s="311" t="s">
        <v>5</v>
      </c>
      <c r="C1110" s="310" t="s">
        <v>6</v>
      </c>
    </row>
    <row r="1111" spans="1:3" ht="15" x14ac:dyDescent="0.2">
      <c r="A1111" s="310">
        <v>17106</v>
      </c>
      <c r="B1111" s="311" t="s">
        <v>5</v>
      </c>
      <c r="C1111" s="310" t="s">
        <v>6</v>
      </c>
    </row>
    <row r="1112" spans="1:3" ht="15" x14ac:dyDescent="0.2">
      <c r="A1112" s="310">
        <v>17107</v>
      </c>
      <c r="B1112" s="311" t="s">
        <v>5</v>
      </c>
      <c r="C1112" s="310" t="s">
        <v>6</v>
      </c>
    </row>
    <row r="1113" spans="1:3" ht="15" x14ac:dyDescent="0.2">
      <c r="A1113" s="310">
        <v>17108</v>
      </c>
      <c r="B1113" s="311" t="s">
        <v>5</v>
      </c>
      <c r="C1113" s="310" t="s">
        <v>6</v>
      </c>
    </row>
    <row r="1114" spans="1:3" ht="15" x14ac:dyDescent="0.2">
      <c r="A1114" s="310">
        <v>17109</v>
      </c>
      <c r="B1114" s="311" t="s">
        <v>11</v>
      </c>
      <c r="C1114" s="310" t="s">
        <v>12</v>
      </c>
    </row>
    <row r="1115" spans="1:3" ht="15" x14ac:dyDescent="0.2">
      <c r="A1115" s="310">
        <v>17110</v>
      </c>
      <c r="B1115" s="311" t="s">
        <v>11</v>
      </c>
      <c r="C1115" s="310" t="s">
        <v>12</v>
      </c>
    </row>
    <row r="1116" spans="1:3" ht="15" x14ac:dyDescent="0.2">
      <c r="A1116" s="310">
        <v>17111</v>
      </c>
      <c r="B1116" s="311" t="s">
        <v>11</v>
      </c>
      <c r="C1116" s="310" t="s">
        <v>12</v>
      </c>
    </row>
    <row r="1117" spans="1:3" ht="15" x14ac:dyDescent="0.2">
      <c r="A1117" s="310">
        <v>17112</v>
      </c>
      <c r="B1117" s="311" t="s">
        <v>11</v>
      </c>
      <c r="C1117" s="310" t="s">
        <v>12</v>
      </c>
    </row>
    <row r="1118" spans="1:3" ht="15" x14ac:dyDescent="0.2">
      <c r="A1118" s="310">
        <v>17113</v>
      </c>
      <c r="B1118" s="311" t="s">
        <v>11</v>
      </c>
      <c r="C1118" s="310" t="s">
        <v>12</v>
      </c>
    </row>
    <row r="1119" spans="1:3" ht="15" x14ac:dyDescent="0.2">
      <c r="A1119" s="310">
        <v>17120</v>
      </c>
      <c r="B1119" s="311" t="s">
        <v>11</v>
      </c>
      <c r="C1119" s="310" t="s">
        <v>12</v>
      </c>
    </row>
    <row r="1120" spans="1:3" ht="15" x14ac:dyDescent="0.2">
      <c r="A1120" s="310">
        <v>17121</v>
      </c>
      <c r="B1120" s="311" t="s">
        <v>5</v>
      </c>
      <c r="C1120" s="310" t="s">
        <v>6</v>
      </c>
    </row>
    <row r="1121" spans="1:3" ht="15" x14ac:dyDescent="0.2">
      <c r="A1121" s="310">
        <v>17122</v>
      </c>
      <c r="B1121" s="311" t="s">
        <v>5</v>
      </c>
      <c r="C1121" s="310" t="s">
        <v>6</v>
      </c>
    </row>
    <row r="1122" spans="1:3" ht="15" x14ac:dyDescent="0.2">
      <c r="A1122" s="310">
        <v>17123</v>
      </c>
      <c r="B1122" s="311" t="s">
        <v>5</v>
      </c>
      <c r="C1122" s="310" t="s">
        <v>6</v>
      </c>
    </row>
    <row r="1123" spans="1:3" ht="15" x14ac:dyDescent="0.2">
      <c r="A1123" s="310">
        <v>17124</v>
      </c>
      <c r="B1123" s="311" t="s">
        <v>5</v>
      </c>
      <c r="C1123" s="310" t="s">
        <v>6</v>
      </c>
    </row>
    <row r="1124" spans="1:3" ht="15" x14ac:dyDescent="0.2">
      <c r="A1124" s="310">
        <v>17125</v>
      </c>
      <c r="B1124" s="311" t="s">
        <v>5</v>
      </c>
      <c r="C1124" s="310" t="s">
        <v>6</v>
      </c>
    </row>
    <row r="1125" spans="1:3" ht="15" x14ac:dyDescent="0.2">
      <c r="A1125" s="310">
        <v>17126</v>
      </c>
      <c r="B1125" s="311" t="s">
        <v>5</v>
      </c>
      <c r="C1125" s="310" t="s">
        <v>6</v>
      </c>
    </row>
    <row r="1126" spans="1:3" ht="15" x14ac:dyDescent="0.2">
      <c r="A1126" s="310">
        <v>17127</v>
      </c>
      <c r="B1126" s="311" t="s">
        <v>5</v>
      </c>
      <c r="C1126" s="310" t="s">
        <v>6</v>
      </c>
    </row>
    <row r="1127" spans="1:3" ht="15" x14ac:dyDescent="0.2">
      <c r="A1127" s="310">
        <v>17128</v>
      </c>
      <c r="B1127" s="311" t="s">
        <v>5</v>
      </c>
      <c r="C1127" s="310" t="s">
        <v>6</v>
      </c>
    </row>
    <row r="1128" spans="1:3" ht="15" x14ac:dyDescent="0.2">
      <c r="A1128" s="310">
        <v>17129</v>
      </c>
      <c r="B1128" s="311" t="s">
        <v>5</v>
      </c>
      <c r="C1128" s="310" t="s">
        <v>6</v>
      </c>
    </row>
    <row r="1129" spans="1:3" ht="15" x14ac:dyDescent="0.2">
      <c r="A1129" s="310">
        <v>17130</v>
      </c>
      <c r="B1129" s="311" t="s">
        <v>5</v>
      </c>
      <c r="C1129" s="310" t="s">
        <v>6</v>
      </c>
    </row>
    <row r="1130" spans="1:3" ht="15" x14ac:dyDescent="0.2">
      <c r="A1130" s="310">
        <v>17140</v>
      </c>
      <c r="B1130" s="311" t="s">
        <v>5</v>
      </c>
      <c r="C1130" s="310" t="s">
        <v>6</v>
      </c>
    </row>
    <row r="1131" spans="1:3" ht="15" x14ac:dyDescent="0.2">
      <c r="A1131" s="310">
        <v>17177</v>
      </c>
      <c r="B1131" s="311" t="s">
        <v>5</v>
      </c>
      <c r="C1131" s="310" t="s">
        <v>6</v>
      </c>
    </row>
    <row r="1132" spans="1:3" ht="15" x14ac:dyDescent="0.2">
      <c r="A1132" s="310">
        <v>17201</v>
      </c>
      <c r="B1132" s="311" t="s">
        <v>5</v>
      </c>
      <c r="C1132" s="310" t="s">
        <v>6</v>
      </c>
    </row>
    <row r="1133" spans="1:3" ht="15" x14ac:dyDescent="0.2">
      <c r="A1133" s="310">
        <v>17202</v>
      </c>
      <c r="B1133" s="311" t="s">
        <v>5</v>
      </c>
      <c r="C1133" s="310" t="s">
        <v>6</v>
      </c>
    </row>
    <row r="1134" spans="1:3" ht="15" x14ac:dyDescent="0.2">
      <c r="A1134" s="310">
        <v>17210</v>
      </c>
      <c r="B1134" s="311" t="s">
        <v>5</v>
      </c>
      <c r="C1134" s="310" t="s">
        <v>6</v>
      </c>
    </row>
    <row r="1135" spans="1:3" ht="15" x14ac:dyDescent="0.2">
      <c r="A1135" s="310">
        <v>17211</v>
      </c>
      <c r="B1135" s="311" t="s">
        <v>3</v>
      </c>
      <c r="C1135" s="310" t="s">
        <v>4</v>
      </c>
    </row>
    <row r="1136" spans="1:3" ht="15" x14ac:dyDescent="0.2">
      <c r="A1136" s="310">
        <v>17212</v>
      </c>
      <c r="B1136" s="311" t="s">
        <v>5</v>
      </c>
      <c r="C1136" s="310" t="s">
        <v>6</v>
      </c>
    </row>
    <row r="1137" spans="1:3" ht="15" x14ac:dyDescent="0.2">
      <c r="A1137" s="310">
        <v>17213</v>
      </c>
      <c r="B1137" s="311" t="s">
        <v>11</v>
      </c>
      <c r="C1137" s="310" t="s">
        <v>12</v>
      </c>
    </row>
    <row r="1138" spans="1:3" ht="15" x14ac:dyDescent="0.2">
      <c r="A1138" s="310">
        <v>17214</v>
      </c>
      <c r="B1138" s="311" t="s">
        <v>5</v>
      </c>
      <c r="C1138" s="310" t="s">
        <v>6</v>
      </c>
    </row>
    <row r="1139" spans="1:3" ht="15" x14ac:dyDescent="0.2">
      <c r="A1139" s="310">
        <v>17215</v>
      </c>
      <c r="B1139" s="311" t="s">
        <v>5</v>
      </c>
      <c r="C1139" s="310" t="s">
        <v>6</v>
      </c>
    </row>
    <row r="1140" spans="1:3" ht="15" x14ac:dyDescent="0.2">
      <c r="A1140" s="310">
        <v>17217</v>
      </c>
      <c r="B1140" s="311" t="s">
        <v>5</v>
      </c>
      <c r="C1140" s="310" t="s">
        <v>6</v>
      </c>
    </row>
    <row r="1141" spans="1:3" ht="15" x14ac:dyDescent="0.2">
      <c r="A1141" s="310">
        <v>17219</v>
      </c>
      <c r="B1141" s="311" t="s">
        <v>5</v>
      </c>
      <c r="C1141" s="310" t="s">
        <v>6</v>
      </c>
    </row>
    <row r="1142" spans="1:3" ht="15" x14ac:dyDescent="0.2">
      <c r="A1142" s="310">
        <v>17220</v>
      </c>
      <c r="B1142" s="311" t="s">
        <v>5</v>
      </c>
      <c r="C1142" s="310" t="s">
        <v>6</v>
      </c>
    </row>
    <row r="1143" spans="1:3" ht="15" x14ac:dyDescent="0.2">
      <c r="A1143" s="310">
        <v>17221</v>
      </c>
      <c r="B1143" s="311" t="s">
        <v>5</v>
      </c>
      <c r="C1143" s="310" t="s">
        <v>6</v>
      </c>
    </row>
    <row r="1144" spans="1:3" ht="15" x14ac:dyDescent="0.2">
      <c r="A1144" s="310">
        <v>17222</v>
      </c>
      <c r="B1144" s="311" t="s">
        <v>5</v>
      </c>
      <c r="C1144" s="310" t="s">
        <v>6</v>
      </c>
    </row>
    <row r="1145" spans="1:3" ht="15" x14ac:dyDescent="0.2">
      <c r="A1145" s="310">
        <v>17223</v>
      </c>
      <c r="B1145" s="311" t="s">
        <v>5</v>
      </c>
      <c r="C1145" s="310" t="s">
        <v>6</v>
      </c>
    </row>
    <row r="1146" spans="1:3" ht="15" x14ac:dyDescent="0.2">
      <c r="A1146" s="310">
        <v>17224</v>
      </c>
      <c r="B1146" s="311" t="s">
        <v>5</v>
      </c>
      <c r="C1146" s="310" t="s">
        <v>6</v>
      </c>
    </row>
    <row r="1147" spans="1:3" ht="15" x14ac:dyDescent="0.2">
      <c r="A1147" s="310">
        <v>17225</v>
      </c>
      <c r="B1147" s="311" t="s">
        <v>5</v>
      </c>
      <c r="C1147" s="310" t="s">
        <v>6</v>
      </c>
    </row>
    <row r="1148" spans="1:3" ht="15" x14ac:dyDescent="0.2">
      <c r="A1148" s="310">
        <v>17228</v>
      </c>
      <c r="B1148" s="311" t="s">
        <v>5</v>
      </c>
      <c r="C1148" s="310" t="s">
        <v>6</v>
      </c>
    </row>
    <row r="1149" spans="1:3" ht="15" x14ac:dyDescent="0.2">
      <c r="A1149" s="310">
        <v>17229</v>
      </c>
      <c r="B1149" s="311" t="s">
        <v>5</v>
      </c>
      <c r="C1149" s="310" t="s">
        <v>6</v>
      </c>
    </row>
    <row r="1150" spans="1:3" ht="15" x14ac:dyDescent="0.2">
      <c r="A1150" s="310">
        <v>17231</v>
      </c>
      <c r="B1150" s="311" t="s">
        <v>5</v>
      </c>
      <c r="C1150" s="310" t="s">
        <v>6</v>
      </c>
    </row>
    <row r="1151" spans="1:3" ht="15" x14ac:dyDescent="0.2">
      <c r="A1151" s="310">
        <v>17232</v>
      </c>
      <c r="B1151" s="311" t="s">
        <v>5</v>
      </c>
      <c r="C1151" s="310" t="s">
        <v>6</v>
      </c>
    </row>
    <row r="1152" spans="1:3" ht="15" x14ac:dyDescent="0.2">
      <c r="A1152" s="310">
        <v>17233</v>
      </c>
      <c r="B1152" s="311" t="s">
        <v>5</v>
      </c>
      <c r="C1152" s="310" t="s">
        <v>6</v>
      </c>
    </row>
    <row r="1153" spans="1:3" ht="15" x14ac:dyDescent="0.2">
      <c r="A1153" s="310">
        <v>17235</v>
      </c>
      <c r="B1153" s="311" t="s">
        <v>5</v>
      </c>
      <c r="C1153" s="310" t="s">
        <v>6</v>
      </c>
    </row>
    <row r="1154" spans="1:3" ht="15" x14ac:dyDescent="0.2">
      <c r="A1154" s="310">
        <v>17236</v>
      </c>
      <c r="B1154" s="311" t="s">
        <v>5</v>
      </c>
      <c r="C1154" s="310" t="s">
        <v>6</v>
      </c>
    </row>
    <row r="1155" spans="1:3" ht="15" x14ac:dyDescent="0.2">
      <c r="A1155" s="310">
        <v>17237</v>
      </c>
      <c r="B1155" s="311" t="s">
        <v>5</v>
      </c>
      <c r="C1155" s="310" t="s">
        <v>6</v>
      </c>
    </row>
    <row r="1156" spans="1:3" ht="15" x14ac:dyDescent="0.2">
      <c r="A1156" s="310">
        <v>17238</v>
      </c>
      <c r="B1156" s="311" t="s">
        <v>5</v>
      </c>
      <c r="C1156" s="310" t="s">
        <v>6</v>
      </c>
    </row>
    <row r="1157" spans="1:3" ht="15" x14ac:dyDescent="0.2">
      <c r="A1157" s="310">
        <v>17239</v>
      </c>
      <c r="B1157" s="311" t="s">
        <v>11</v>
      </c>
      <c r="C1157" s="310" t="s">
        <v>12</v>
      </c>
    </row>
    <row r="1158" spans="1:3" ht="15" x14ac:dyDescent="0.2">
      <c r="A1158" s="310">
        <v>17240</v>
      </c>
      <c r="B1158" s="311" t="s">
        <v>5</v>
      </c>
      <c r="C1158" s="310" t="s">
        <v>6</v>
      </c>
    </row>
    <row r="1159" spans="1:3" ht="15" x14ac:dyDescent="0.2">
      <c r="A1159" s="310">
        <v>17241</v>
      </c>
      <c r="B1159" s="311" t="s">
        <v>5</v>
      </c>
      <c r="C1159" s="310" t="s">
        <v>6</v>
      </c>
    </row>
    <row r="1160" spans="1:3" ht="15" x14ac:dyDescent="0.2">
      <c r="A1160" s="310">
        <v>17243</v>
      </c>
      <c r="B1160" s="311" t="s">
        <v>11</v>
      </c>
      <c r="C1160" s="310" t="s">
        <v>12</v>
      </c>
    </row>
    <row r="1161" spans="1:3" ht="15" x14ac:dyDescent="0.2">
      <c r="A1161" s="310">
        <v>17244</v>
      </c>
      <c r="B1161" s="311" t="s">
        <v>5</v>
      </c>
      <c r="C1161" s="310" t="s">
        <v>6</v>
      </c>
    </row>
    <row r="1162" spans="1:3" ht="15" x14ac:dyDescent="0.2">
      <c r="A1162" s="310">
        <v>17246</v>
      </c>
      <c r="B1162" s="311" t="s">
        <v>5</v>
      </c>
      <c r="C1162" s="310" t="s">
        <v>6</v>
      </c>
    </row>
    <row r="1163" spans="1:3" ht="15" x14ac:dyDescent="0.2">
      <c r="A1163" s="310">
        <v>17247</v>
      </c>
      <c r="B1163" s="311" t="s">
        <v>5</v>
      </c>
      <c r="C1163" s="310" t="s">
        <v>6</v>
      </c>
    </row>
    <row r="1164" spans="1:3" ht="15" x14ac:dyDescent="0.2">
      <c r="A1164" s="310">
        <v>17249</v>
      </c>
      <c r="B1164" s="311" t="s">
        <v>11</v>
      </c>
      <c r="C1164" s="310" t="s">
        <v>12</v>
      </c>
    </row>
    <row r="1165" spans="1:3" ht="15" x14ac:dyDescent="0.2">
      <c r="A1165" s="310">
        <v>17250</v>
      </c>
      <c r="B1165" s="311" t="s">
        <v>5</v>
      </c>
      <c r="C1165" s="310" t="s">
        <v>6</v>
      </c>
    </row>
    <row r="1166" spans="1:3" ht="15" x14ac:dyDescent="0.2">
      <c r="A1166" s="310">
        <v>17251</v>
      </c>
      <c r="B1166" s="311" t="s">
        <v>5</v>
      </c>
      <c r="C1166" s="310" t="s">
        <v>6</v>
      </c>
    </row>
    <row r="1167" spans="1:3" ht="15" x14ac:dyDescent="0.2">
      <c r="A1167" s="310">
        <v>17252</v>
      </c>
      <c r="B1167" s="311" t="s">
        <v>5</v>
      </c>
      <c r="C1167" s="310" t="s">
        <v>6</v>
      </c>
    </row>
    <row r="1168" spans="1:3" ht="15" x14ac:dyDescent="0.2">
      <c r="A1168" s="310">
        <v>17253</v>
      </c>
      <c r="B1168" s="311" t="s">
        <v>11</v>
      </c>
      <c r="C1168" s="310" t="s">
        <v>12</v>
      </c>
    </row>
    <row r="1169" spans="1:3" ht="15" x14ac:dyDescent="0.2">
      <c r="A1169" s="310">
        <v>17254</v>
      </c>
      <c r="B1169" s="311" t="s">
        <v>5</v>
      </c>
      <c r="C1169" s="310" t="s">
        <v>6</v>
      </c>
    </row>
    <row r="1170" spans="1:3" ht="15" x14ac:dyDescent="0.2">
      <c r="A1170" s="310">
        <v>17255</v>
      </c>
      <c r="B1170" s="311" t="s">
        <v>11</v>
      </c>
      <c r="C1170" s="310" t="s">
        <v>12</v>
      </c>
    </row>
    <row r="1171" spans="1:3" ht="15" x14ac:dyDescent="0.2">
      <c r="A1171" s="310">
        <v>17256</v>
      </c>
      <c r="B1171" s="311" t="s">
        <v>5</v>
      </c>
      <c r="C1171" s="310" t="s">
        <v>6</v>
      </c>
    </row>
    <row r="1172" spans="1:3" ht="15" x14ac:dyDescent="0.2">
      <c r="A1172" s="310">
        <v>17257</v>
      </c>
      <c r="B1172" s="311" t="s">
        <v>5</v>
      </c>
      <c r="C1172" s="310" t="s">
        <v>6</v>
      </c>
    </row>
    <row r="1173" spans="1:3" ht="15" x14ac:dyDescent="0.2">
      <c r="A1173" s="310">
        <v>17260</v>
      </c>
      <c r="B1173" s="311" t="s">
        <v>11</v>
      </c>
      <c r="C1173" s="310" t="s">
        <v>12</v>
      </c>
    </row>
    <row r="1174" spans="1:3" ht="15" x14ac:dyDescent="0.2">
      <c r="A1174" s="310">
        <v>17261</v>
      </c>
      <c r="B1174" s="311" t="s">
        <v>5</v>
      </c>
      <c r="C1174" s="310" t="s">
        <v>6</v>
      </c>
    </row>
    <row r="1175" spans="1:3" ht="15" x14ac:dyDescent="0.2">
      <c r="A1175" s="310">
        <v>17262</v>
      </c>
      <c r="B1175" s="311" t="s">
        <v>5</v>
      </c>
      <c r="C1175" s="310" t="s">
        <v>6</v>
      </c>
    </row>
    <row r="1176" spans="1:3" ht="15" x14ac:dyDescent="0.2">
      <c r="A1176" s="310">
        <v>17263</v>
      </c>
      <c r="B1176" s="311" t="s">
        <v>5</v>
      </c>
      <c r="C1176" s="310" t="s">
        <v>6</v>
      </c>
    </row>
    <row r="1177" spans="1:3" ht="15" x14ac:dyDescent="0.2">
      <c r="A1177" s="310">
        <v>17264</v>
      </c>
      <c r="B1177" s="311" t="s">
        <v>11</v>
      </c>
      <c r="C1177" s="310" t="s">
        <v>12</v>
      </c>
    </row>
    <row r="1178" spans="1:3" ht="15" x14ac:dyDescent="0.2">
      <c r="A1178" s="310">
        <v>17265</v>
      </c>
      <c r="B1178" s="311" t="s">
        <v>5</v>
      </c>
      <c r="C1178" s="310" t="s">
        <v>6</v>
      </c>
    </row>
    <row r="1179" spans="1:3" ht="15" x14ac:dyDescent="0.2">
      <c r="A1179" s="310">
        <v>17266</v>
      </c>
      <c r="B1179" s="311" t="s">
        <v>5</v>
      </c>
      <c r="C1179" s="310" t="s">
        <v>6</v>
      </c>
    </row>
    <row r="1180" spans="1:3" ht="15" x14ac:dyDescent="0.2">
      <c r="A1180" s="310">
        <v>17267</v>
      </c>
      <c r="B1180" s="311" t="s">
        <v>5</v>
      </c>
      <c r="C1180" s="310" t="s">
        <v>6</v>
      </c>
    </row>
    <row r="1181" spans="1:3" ht="15" x14ac:dyDescent="0.2">
      <c r="A1181" s="310">
        <v>17268</v>
      </c>
      <c r="B1181" s="311" t="s">
        <v>5</v>
      </c>
      <c r="C1181" s="310" t="s">
        <v>6</v>
      </c>
    </row>
    <row r="1182" spans="1:3" ht="15" x14ac:dyDescent="0.2">
      <c r="A1182" s="310">
        <v>17270</v>
      </c>
      <c r="B1182" s="311" t="s">
        <v>5</v>
      </c>
      <c r="C1182" s="310" t="s">
        <v>6</v>
      </c>
    </row>
    <row r="1183" spans="1:3" ht="15" x14ac:dyDescent="0.2">
      <c r="A1183" s="310">
        <v>17271</v>
      </c>
      <c r="B1183" s="311" t="s">
        <v>5</v>
      </c>
      <c r="C1183" s="310" t="s">
        <v>6</v>
      </c>
    </row>
    <row r="1184" spans="1:3" ht="15" x14ac:dyDescent="0.2">
      <c r="A1184" s="310">
        <v>17272</v>
      </c>
      <c r="B1184" s="311" t="s">
        <v>5</v>
      </c>
      <c r="C1184" s="310" t="s">
        <v>6</v>
      </c>
    </row>
    <row r="1185" spans="1:3" ht="15" x14ac:dyDescent="0.2">
      <c r="A1185" s="310">
        <v>17301</v>
      </c>
      <c r="B1185" s="311" t="s">
        <v>5</v>
      </c>
      <c r="C1185" s="310" t="s">
        <v>6</v>
      </c>
    </row>
    <row r="1186" spans="1:3" ht="15" x14ac:dyDescent="0.2">
      <c r="A1186" s="310">
        <v>17302</v>
      </c>
      <c r="B1186" s="311" t="s">
        <v>5</v>
      </c>
      <c r="C1186" s="310" t="s">
        <v>6</v>
      </c>
    </row>
    <row r="1187" spans="1:3" ht="15" x14ac:dyDescent="0.2">
      <c r="A1187" s="310">
        <v>17303</v>
      </c>
      <c r="B1187" s="311" t="s">
        <v>5</v>
      </c>
      <c r="C1187" s="310" t="s">
        <v>6</v>
      </c>
    </row>
    <row r="1188" spans="1:3" ht="15" x14ac:dyDescent="0.2">
      <c r="A1188" s="310">
        <v>17304</v>
      </c>
      <c r="B1188" s="311" t="s">
        <v>5</v>
      </c>
      <c r="C1188" s="310" t="s">
        <v>6</v>
      </c>
    </row>
    <row r="1189" spans="1:3" ht="15" x14ac:dyDescent="0.2">
      <c r="A1189" s="310">
        <v>17306</v>
      </c>
      <c r="B1189" s="311" t="s">
        <v>5</v>
      </c>
      <c r="C1189" s="310" t="s">
        <v>6</v>
      </c>
    </row>
    <row r="1190" spans="1:3" ht="15" x14ac:dyDescent="0.2">
      <c r="A1190" s="310">
        <v>17307</v>
      </c>
      <c r="B1190" s="311" t="s">
        <v>5</v>
      </c>
      <c r="C1190" s="310" t="s">
        <v>6</v>
      </c>
    </row>
    <row r="1191" spans="1:3" ht="15" x14ac:dyDescent="0.2">
      <c r="A1191" s="310">
        <v>17309</v>
      </c>
      <c r="B1191" s="311" t="s">
        <v>5</v>
      </c>
      <c r="C1191" s="310" t="s">
        <v>6</v>
      </c>
    </row>
    <row r="1192" spans="1:3" ht="15" x14ac:dyDescent="0.2">
      <c r="A1192" s="310">
        <v>17310</v>
      </c>
      <c r="B1192" s="311" t="s">
        <v>5</v>
      </c>
      <c r="C1192" s="310" t="s">
        <v>6</v>
      </c>
    </row>
    <row r="1193" spans="1:3" ht="15" x14ac:dyDescent="0.2">
      <c r="A1193" s="310">
        <v>17311</v>
      </c>
      <c r="B1193" s="311" t="s">
        <v>5</v>
      </c>
      <c r="C1193" s="310" t="s">
        <v>6</v>
      </c>
    </row>
    <row r="1194" spans="1:3" ht="15" x14ac:dyDescent="0.2">
      <c r="A1194" s="310">
        <v>17312</v>
      </c>
      <c r="B1194" s="311" t="s">
        <v>5</v>
      </c>
      <c r="C1194" s="310" t="s">
        <v>6</v>
      </c>
    </row>
    <row r="1195" spans="1:3" ht="15" x14ac:dyDescent="0.2">
      <c r="A1195" s="310">
        <v>17313</v>
      </c>
      <c r="B1195" s="311" t="s">
        <v>5</v>
      </c>
      <c r="C1195" s="310" t="s">
        <v>6</v>
      </c>
    </row>
    <row r="1196" spans="1:3" ht="15" x14ac:dyDescent="0.2">
      <c r="A1196" s="310">
        <v>17314</v>
      </c>
      <c r="B1196" s="311" t="s">
        <v>5</v>
      </c>
      <c r="C1196" s="310" t="s">
        <v>6</v>
      </c>
    </row>
    <row r="1197" spans="1:3" ht="15" x14ac:dyDescent="0.2">
      <c r="A1197" s="310">
        <v>17315</v>
      </c>
      <c r="B1197" s="311" t="s">
        <v>5</v>
      </c>
      <c r="C1197" s="310" t="s">
        <v>6</v>
      </c>
    </row>
    <row r="1198" spans="1:3" ht="15" x14ac:dyDescent="0.2">
      <c r="A1198" s="310">
        <v>17316</v>
      </c>
      <c r="B1198" s="311" t="s">
        <v>5</v>
      </c>
      <c r="C1198" s="310" t="s">
        <v>6</v>
      </c>
    </row>
    <row r="1199" spans="1:3" ht="15" x14ac:dyDescent="0.2">
      <c r="A1199" s="310">
        <v>17317</v>
      </c>
      <c r="B1199" s="311" t="s">
        <v>5</v>
      </c>
      <c r="C1199" s="310" t="s">
        <v>6</v>
      </c>
    </row>
    <row r="1200" spans="1:3" ht="15" x14ac:dyDescent="0.2">
      <c r="A1200" s="310">
        <v>17318</v>
      </c>
      <c r="B1200" s="311" t="s">
        <v>5</v>
      </c>
      <c r="C1200" s="310" t="s">
        <v>6</v>
      </c>
    </row>
    <row r="1201" spans="1:3" ht="15" x14ac:dyDescent="0.2">
      <c r="A1201" s="310">
        <v>17319</v>
      </c>
      <c r="B1201" s="311" t="s">
        <v>5</v>
      </c>
      <c r="C1201" s="310" t="s">
        <v>6</v>
      </c>
    </row>
    <row r="1202" spans="1:3" ht="15" x14ac:dyDescent="0.2">
      <c r="A1202" s="310">
        <v>17320</v>
      </c>
      <c r="B1202" s="311" t="s">
        <v>5</v>
      </c>
      <c r="C1202" s="310" t="s">
        <v>6</v>
      </c>
    </row>
    <row r="1203" spans="1:3" ht="15" x14ac:dyDescent="0.2">
      <c r="A1203" s="310">
        <v>17321</v>
      </c>
      <c r="B1203" s="311" t="s">
        <v>5</v>
      </c>
      <c r="C1203" s="310" t="s">
        <v>6</v>
      </c>
    </row>
    <row r="1204" spans="1:3" ht="15" x14ac:dyDescent="0.2">
      <c r="A1204" s="310">
        <v>17322</v>
      </c>
      <c r="B1204" s="311" t="s">
        <v>5</v>
      </c>
      <c r="C1204" s="310" t="s">
        <v>6</v>
      </c>
    </row>
    <row r="1205" spans="1:3" ht="15" x14ac:dyDescent="0.2">
      <c r="A1205" s="310">
        <v>17323</v>
      </c>
      <c r="B1205" s="311" t="s">
        <v>5</v>
      </c>
      <c r="C1205" s="310" t="s">
        <v>6</v>
      </c>
    </row>
    <row r="1206" spans="1:3" ht="15" x14ac:dyDescent="0.2">
      <c r="A1206" s="310">
        <v>17324</v>
      </c>
      <c r="B1206" s="311" t="s">
        <v>5</v>
      </c>
      <c r="C1206" s="310" t="s">
        <v>6</v>
      </c>
    </row>
    <row r="1207" spans="1:3" ht="15" x14ac:dyDescent="0.2">
      <c r="A1207" s="310">
        <v>17325</v>
      </c>
      <c r="B1207" s="311" t="s">
        <v>5</v>
      </c>
      <c r="C1207" s="310" t="s">
        <v>6</v>
      </c>
    </row>
    <row r="1208" spans="1:3" ht="15" x14ac:dyDescent="0.2">
      <c r="A1208" s="310">
        <v>17326</v>
      </c>
      <c r="B1208" s="311" t="s">
        <v>5</v>
      </c>
      <c r="C1208" s="310" t="s">
        <v>6</v>
      </c>
    </row>
    <row r="1209" spans="1:3" ht="15" x14ac:dyDescent="0.2">
      <c r="A1209" s="310">
        <v>17327</v>
      </c>
      <c r="B1209" s="311" t="s">
        <v>5</v>
      </c>
      <c r="C1209" s="310" t="s">
        <v>6</v>
      </c>
    </row>
    <row r="1210" spans="1:3" ht="15" x14ac:dyDescent="0.2">
      <c r="A1210" s="310">
        <v>17329</v>
      </c>
      <c r="B1210" s="311" t="s">
        <v>5</v>
      </c>
      <c r="C1210" s="310" t="s">
        <v>6</v>
      </c>
    </row>
    <row r="1211" spans="1:3" ht="15" x14ac:dyDescent="0.2">
      <c r="A1211" s="310">
        <v>17331</v>
      </c>
      <c r="B1211" s="311" t="s">
        <v>5</v>
      </c>
      <c r="C1211" s="310" t="s">
        <v>6</v>
      </c>
    </row>
    <row r="1212" spans="1:3" ht="15" x14ac:dyDescent="0.2">
      <c r="A1212" s="310">
        <v>17332</v>
      </c>
      <c r="B1212" s="311" t="s">
        <v>5</v>
      </c>
      <c r="C1212" s="310" t="s">
        <v>6</v>
      </c>
    </row>
    <row r="1213" spans="1:3" ht="15" x14ac:dyDescent="0.2">
      <c r="A1213" s="310">
        <v>17333</v>
      </c>
      <c r="B1213" s="311" t="s">
        <v>5</v>
      </c>
      <c r="C1213" s="310" t="s">
        <v>6</v>
      </c>
    </row>
    <row r="1214" spans="1:3" ht="15" x14ac:dyDescent="0.2">
      <c r="A1214" s="310">
        <v>17334</v>
      </c>
      <c r="B1214" s="311" t="s">
        <v>5</v>
      </c>
      <c r="C1214" s="310" t="s">
        <v>6</v>
      </c>
    </row>
    <row r="1215" spans="1:3" ht="15" x14ac:dyDescent="0.2">
      <c r="A1215" s="310">
        <v>17337</v>
      </c>
      <c r="B1215" s="311" t="s">
        <v>5</v>
      </c>
      <c r="C1215" s="310" t="s">
        <v>6</v>
      </c>
    </row>
    <row r="1216" spans="1:3" ht="15" x14ac:dyDescent="0.2">
      <c r="A1216" s="310">
        <v>17339</v>
      </c>
      <c r="B1216" s="311" t="s">
        <v>5</v>
      </c>
      <c r="C1216" s="310" t="s">
        <v>6</v>
      </c>
    </row>
    <row r="1217" spans="1:3" ht="15" x14ac:dyDescent="0.2">
      <c r="A1217" s="310">
        <v>17340</v>
      </c>
      <c r="B1217" s="311" t="s">
        <v>5</v>
      </c>
      <c r="C1217" s="310" t="s">
        <v>6</v>
      </c>
    </row>
    <row r="1218" spans="1:3" ht="15" x14ac:dyDescent="0.2">
      <c r="A1218" s="310">
        <v>17342</v>
      </c>
      <c r="B1218" s="311" t="s">
        <v>5</v>
      </c>
      <c r="C1218" s="310" t="s">
        <v>6</v>
      </c>
    </row>
    <row r="1219" spans="1:3" ht="15" x14ac:dyDescent="0.2">
      <c r="A1219" s="310">
        <v>17343</v>
      </c>
      <c r="B1219" s="311" t="s">
        <v>5</v>
      </c>
      <c r="C1219" s="310" t="s">
        <v>6</v>
      </c>
    </row>
    <row r="1220" spans="1:3" ht="15" x14ac:dyDescent="0.2">
      <c r="A1220" s="310">
        <v>17344</v>
      </c>
      <c r="B1220" s="311" t="s">
        <v>5</v>
      </c>
      <c r="C1220" s="310" t="s">
        <v>6</v>
      </c>
    </row>
    <row r="1221" spans="1:3" ht="15" x14ac:dyDescent="0.2">
      <c r="A1221" s="310">
        <v>17345</v>
      </c>
      <c r="B1221" s="311" t="s">
        <v>5</v>
      </c>
      <c r="C1221" s="310" t="s">
        <v>6</v>
      </c>
    </row>
    <row r="1222" spans="1:3" ht="15" x14ac:dyDescent="0.2">
      <c r="A1222" s="310">
        <v>17347</v>
      </c>
      <c r="B1222" s="311" t="s">
        <v>5</v>
      </c>
      <c r="C1222" s="310" t="s">
        <v>6</v>
      </c>
    </row>
    <row r="1223" spans="1:3" ht="15" x14ac:dyDescent="0.2">
      <c r="A1223" s="310">
        <v>17349</v>
      </c>
      <c r="B1223" s="311" t="s">
        <v>5</v>
      </c>
      <c r="C1223" s="310" t="s">
        <v>6</v>
      </c>
    </row>
    <row r="1224" spans="1:3" ht="15" x14ac:dyDescent="0.2">
      <c r="A1224" s="310">
        <v>17350</v>
      </c>
      <c r="B1224" s="311" t="s">
        <v>5</v>
      </c>
      <c r="C1224" s="310" t="s">
        <v>6</v>
      </c>
    </row>
    <row r="1225" spans="1:3" ht="15" x14ac:dyDescent="0.2">
      <c r="A1225" s="310">
        <v>17352</v>
      </c>
      <c r="B1225" s="311" t="s">
        <v>5</v>
      </c>
      <c r="C1225" s="310" t="s">
        <v>6</v>
      </c>
    </row>
    <row r="1226" spans="1:3" ht="15" x14ac:dyDescent="0.2">
      <c r="A1226" s="310">
        <v>17353</v>
      </c>
      <c r="B1226" s="311" t="s">
        <v>5</v>
      </c>
      <c r="C1226" s="310" t="s">
        <v>6</v>
      </c>
    </row>
    <row r="1227" spans="1:3" ht="15" x14ac:dyDescent="0.2">
      <c r="A1227" s="310">
        <v>17354</v>
      </c>
      <c r="B1227" s="311" t="s">
        <v>5</v>
      </c>
      <c r="C1227" s="310" t="s">
        <v>6</v>
      </c>
    </row>
    <row r="1228" spans="1:3" ht="15" x14ac:dyDescent="0.2">
      <c r="A1228" s="310">
        <v>17355</v>
      </c>
      <c r="B1228" s="311" t="s">
        <v>5</v>
      </c>
      <c r="C1228" s="310" t="s">
        <v>6</v>
      </c>
    </row>
    <row r="1229" spans="1:3" ht="15" x14ac:dyDescent="0.2">
      <c r="A1229" s="310">
        <v>17356</v>
      </c>
      <c r="B1229" s="311" t="s">
        <v>5</v>
      </c>
      <c r="C1229" s="310" t="s">
        <v>6</v>
      </c>
    </row>
    <row r="1230" spans="1:3" ht="15" x14ac:dyDescent="0.2">
      <c r="A1230" s="310">
        <v>17358</v>
      </c>
      <c r="B1230" s="311" t="s">
        <v>5</v>
      </c>
      <c r="C1230" s="310" t="s">
        <v>6</v>
      </c>
    </row>
    <row r="1231" spans="1:3" ht="15" x14ac:dyDescent="0.2">
      <c r="A1231" s="310">
        <v>17360</v>
      </c>
      <c r="B1231" s="311" t="s">
        <v>5</v>
      </c>
      <c r="C1231" s="310" t="s">
        <v>6</v>
      </c>
    </row>
    <row r="1232" spans="1:3" ht="15" x14ac:dyDescent="0.2">
      <c r="A1232" s="310">
        <v>17361</v>
      </c>
      <c r="B1232" s="311" t="s">
        <v>5</v>
      </c>
      <c r="C1232" s="310" t="s">
        <v>6</v>
      </c>
    </row>
    <row r="1233" spans="1:3" ht="15" x14ac:dyDescent="0.2">
      <c r="A1233" s="310">
        <v>17362</v>
      </c>
      <c r="B1233" s="311" t="s">
        <v>5</v>
      </c>
      <c r="C1233" s="310" t="s">
        <v>6</v>
      </c>
    </row>
    <row r="1234" spans="1:3" ht="15" x14ac:dyDescent="0.2">
      <c r="A1234" s="310">
        <v>17363</v>
      </c>
      <c r="B1234" s="311" t="s">
        <v>5</v>
      </c>
      <c r="C1234" s="310" t="s">
        <v>6</v>
      </c>
    </row>
    <row r="1235" spans="1:3" ht="15" x14ac:dyDescent="0.2">
      <c r="A1235" s="310">
        <v>17364</v>
      </c>
      <c r="B1235" s="311" t="s">
        <v>5</v>
      </c>
      <c r="C1235" s="310" t="s">
        <v>6</v>
      </c>
    </row>
    <row r="1236" spans="1:3" ht="15" x14ac:dyDescent="0.2">
      <c r="A1236" s="310">
        <v>17365</v>
      </c>
      <c r="B1236" s="311" t="s">
        <v>5</v>
      </c>
      <c r="C1236" s="310" t="s">
        <v>6</v>
      </c>
    </row>
    <row r="1237" spans="1:3" ht="15" x14ac:dyDescent="0.2">
      <c r="A1237" s="310">
        <v>17366</v>
      </c>
      <c r="B1237" s="311" t="s">
        <v>5</v>
      </c>
      <c r="C1237" s="310" t="s">
        <v>6</v>
      </c>
    </row>
    <row r="1238" spans="1:3" ht="15" x14ac:dyDescent="0.2">
      <c r="A1238" s="310">
        <v>17368</v>
      </c>
      <c r="B1238" s="311" t="s">
        <v>5</v>
      </c>
      <c r="C1238" s="310" t="s">
        <v>6</v>
      </c>
    </row>
    <row r="1239" spans="1:3" ht="15" x14ac:dyDescent="0.2">
      <c r="A1239" s="310">
        <v>17370</v>
      </c>
      <c r="B1239" s="311" t="s">
        <v>5</v>
      </c>
      <c r="C1239" s="310" t="s">
        <v>6</v>
      </c>
    </row>
    <row r="1240" spans="1:3" ht="15" x14ac:dyDescent="0.2">
      <c r="A1240" s="310">
        <v>17371</v>
      </c>
      <c r="B1240" s="311" t="s">
        <v>5</v>
      </c>
      <c r="C1240" s="310" t="s">
        <v>6</v>
      </c>
    </row>
    <row r="1241" spans="1:3" ht="15" x14ac:dyDescent="0.2">
      <c r="A1241" s="310">
        <v>17372</v>
      </c>
      <c r="B1241" s="311" t="s">
        <v>5</v>
      </c>
      <c r="C1241" s="310" t="s">
        <v>6</v>
      </c>
    </row>
    <row r="1242" spans="1:3" ht="15" x14ac:dyDescent="0.2">
      <c r="A1242" s="310">
        <v>17375</v>
      </c>
      <c r="B1242" s="311" t="s">
        <v>5</v>
      </c>
      <c r="C1242" s="310" t="s">
        <v>6</v>
      </c>
    </row>
    <row r="1243" spans="1:3" ht="15" x14ac:dyDescent="0.2">
      <c r="A1243" s="310">
        <v>17401</v>
      </c>
      <c r="B1243" s="311" t="s">
        <v>5</v>
      </c>
      <c r="C1243" s="310" t="s">
        <v>6</v>
      </c>
    </row>
    <row r="1244" spans="1:3" ht="15" x14ac:dyDescent="0.2">
      <c r="A1244" s="310">
        <v>17402</v>
      </c>
      <c r="B1244" s="311" t="s">
        <v>5</v>
      </c>
      <c r="C1244" s="310" t="s">
        <v>6</v>
      </c>
    </row>
    <row r="1245" spans="1:3" ht="15" x14ac:dyDescent="0.2">
      <c r="A1245" s="310">
        <v>17403</v>
      </c>
      <c r="B1245" s="311" t="s">
        <v>5</v>
      </c>
      <c r="C1245" s="310" t="s">
        <v>6</v>
      </c>
    </row>
    <row r="1246" spans="1:3" ht="15" x14ac:dyDescent="0.2">
      <c r="A1246" s="310">
        <v>17404</v>
      </c>
      <c r="B1246" s="311" t="s">
        <v>5</v>
      </c>
      <c r="C1246" s="310" t="s">
        <v>6</v>
      </c>
    </row>
    <row r="1247" spans="1:3" ht="15" x14ac:dyDescent="0.2">
      <c r="A1247" s="310">
        <v>17405</v>
      </c>
      <c r="B1247" s="311" t="s">
        <v>5</v>
      </c>
      <c r="C1247" s="310" t="s">
        <v>6</v>
      </c>
    </row>
    <row r="1248" spans="1:3" ht="15" x14ac:dyDescent="0.2">
      <c r="A1248" s="310">
        <v>17406</v>
      </c>
      <c r="B1248" s="311" t="s">
        <v>5</v>
      </c>
      <c r="C1248" s="310" t="s">
        <v>6</v>
      </c>
    </row>
    <row r="1249" spans="1:3" ht="15" x14ac:dyDescent="0.2">
      <c r="A1249" s="310">
        <v>17407</v>
      </c>
      <c r="B1249" s="311" t="s">
        <v>5</v>
      </c>
      <c r="C1249" s="310" t="s">
        <v>6</v>
      </c>
    </row>
    <row r="1250" spans="1:3" ht="15" x14ac:dyDescent="0.2">
      <c r="A1250" s="310">
        <v>17408</v>
      </c>
      <c r="B1250" s="311" t="s">
        <v>5</v>
      </c>
      <c r="C1250" s="310" t="s">
        <v>6</v>
      </c>
    </row>
    <row r="1251" spans="1:3" ht="15" x14ac:dyDescent="0.2">
      <c r="A1251" s="310">
        <v>17415</v>
      </c>
      <c r="B1251" s="311" t="s">
        <v>5</v>
      </c>
      <c r="C1251" s="310" t="s">
        <v>6</v>
      </c>
    </row>
    <row r="1252" spans="1:3" ht="15" x14ac:dyDescent="0.2">
      <c r="A1252" s="310">
        <v>17501</v>
      </c>
      <c r="B1252" s="311" t="s">
        <v>15</v>
      </c>
      <c r="C1252" s="310" t="s">
        <v>16</v>
      </c>
    </row>
    <row r="1253" spans="1:3" ht="15" x14ac:dyDescent="0.2">
      <c r="A1253" s="310">
        <v>17502</v>
      </c>
      <c r="B1253" s="311" t="s">
        <v>15</v>
      </c>
      <c r="C1253" s="310" t="s">
        <v>16</v>
      </c>
    </row>
    <row r="1254" spans="1:3" ht="15" x14ac:dyDescent="0.2">
      <c r="A1254" s="310">
        <v>17503</v>
      </c>
      <c r="B1254" s="311" t="s">
        <v>15</v>
      </c>
      <c r="C1254" s="310" t="s">
        <v>16</v>
      </c>
    </row>
    <row r="1255" spans="1:3" ht="15" x14ac:dyDescent="0.2">
      <c r="A1255" s="310">
        <v>17504</v>
      </c>
      <c r="B1255" s="311" t="s">
        <v>15</v>
      </c>
      <c r="C1255" s="310" t="s">
        <v>16</v>
      </c>
    </row>
    <row r="1256" spans="1:3" ht="15" x14ac:dyDescent="0.2">
      <c r="A1256" s="310">
        <v>17505</v>
      </c>
      <c r="B1256" s="311" t="s">
        <v>15</v>
      </c>
      <c r="C1256" s="310" t="s">
        <v>16</v>
      </c>
    </row>
    <row r="1257" spans="1:3" ht="15" x14ac:dyDescent="0.2">
      <c r="A1257" s="310">
        <v>17506</v>
      </c>
      <c r="B1257" s="311" t="s">
        <v>15</v>
      </c>
      <c r="C1257" s="310" t="s">
        <v>16</v>
      </c>
    </row>
    <row r="1258" spans="1:3" ht="15" x14ac:dyDescent="0.2">
      <c r="A1258" s="310">
        <v>17507</v>
      </c>
      <c r="B1258" s="311" t="s">
        <v>15</v>
      </c>
      <c r="C1258" s="310" t="s">
        <v>16</v>
      </c>
    </row>
    <row r="1259" spans="1:3" ht="15" x14ac:dyDescent="0.2">
      <c r="A1259" s="310">
        <v>17508</v>
      </c>
      <c r="B1259" s="311" t="s">
        <v>15</v>
      </c>
      <c r="C1259" s="310" t="s">
        <v>16</v>
      </c>
    </row>
    <row r="1260" spans="1:3" ht="15" x14ac:dyDescent="0.2">
      <c r="A1260" s="310">
        <v>17509</v>
      </c>
      <c r="B1260" s="311" t="s">
        <v>15</v>
      </c>
      <c r="C1260" s="310" t="s">
        <v>16</v>
      </c>
    </row>
    <row r="1261" spans="1:3" ht="15" x14ac:dyDescent="0.2">
      <c r="A1261" s="310">
        <v>17512</v>
      </c>
      <c r="B1261" s="311" t="s">
        <v>15</v>
      </c>
      <c r="C1261" s="310" t="s">
        <v>16</v>
      </c>
    </row>
    <row r="1262" spans="1:3" ht="15" x14ac:dyDescent="0.2">
      <c r="A1262" s="310">
        <v>17516</v>
      </c>
      <c r="B1262" s="311" t="s">
        <v>15</v>
      </c>
      <c r="C1262" s="310" t="s">
        <v>16</v>
      </c>
    </row>
    <row r="1263" spans="1:3" ht="15" x14ac:dyDescent="0.2">
      <c r="A1263" s="310">
        <v>17517</v>
      </c>
      <c r="B1263" s="311" t="s">
        <v>15</v>
      </c>
      <c r="C1263" s="310" t="s">
        <v>16</v>
      </c>
    </row>
    <row r="1264" spans="1:3" ht="15" x14ac:dyDescent="0.2">
      <c r="A1264" s="310">
        <v>17518</v>
      </c>
      <c r="B1264" s="311" t="s">
        <v>15</v>
      </c>
      <c r="C1264" s="310" t="s">
        <v>16</v>
      </c>
    </row>
    <row r="1265" spans="1:3" ht="15" x14ac:dyDescent="0.2">
      <c r="A1265" s="310">
        <v>17519</v>
      </c>
      <c r="B1265" s="311" t="s">
        <v>15</v>
      </c>
      <c r="C1265" s="310" t="s">
        <v>16</v>
      </c>
    </row>
    <row r="1266" spans="1:3" ht="15" x14ac:dyDescent="0.2">
      <c r="A1266" s="310">
        <v>17520</v>
      </c>
      <c r="B1266" s="311" t="s">
        <v>15</v>
      </c>
      <c r="C1266" s="310" t="s">
        <v>16</v>
      </c>
    </row>
    <row r="1267" spans="1:3" ht="15" x14ac:dyDescent="0.2">
      <c r="A1267" s="310">
        <v>17521</v>
      </c>
      <c r="B1267" s="311" t="s">
        <v>15</v>
      </c>
      <c r="C1267" s="310" t="s">
        <v>16</v>
      </c>
    </row>
    <row r="1268" spans="1:3" ht="15" x14ac:dyDescent="0.2">
      <c r="A1268" s="310">
        <v>17522</v>
      </c>
      <c r="B1268" s="311" t="s">
        <v>15</v>
      </c>
      <c r="C1268" s="310" t="s">
        <v>16</v>
      </c>
    </row>
    <row r="1269" spans="1:3" ht="15" x14ac:dyDescent="0.2">
      <c r="A1269" s="310">
        <v>17527</v>
      </c>
      <c r="B1269" s="311" t="s">
        <v>15</v>
      </c>
      <c r="C1269" s="310" t="s">
        <v>16</v>
      </c>
    </row>
    <row r="1270" spans="1:3" ht="15" x14ac:dyDescent="0.2">
      <c r="A1270" s="310">
        <v>17528</v>
      </c>
      <c r="B1270" s="311" t="s">
        <v>15</v>
      </c>
      <c r="C1270" s="310" t="s">
        <v>16</v>
      </c>
    </row>
    <row r="1271" spans="1:3" ht="15" x14ac:dyDescent="0.2">
      <c r="A1271" s="310">
        <v>17529</v>
      </c>
      <c r="B1271" s="311" t="s">
        <v>15</v>
      </c>
      <c r="C1271" s="310" t="s">
        <v>16</v>
      </c>
    </row>
    <row r="1272" spans="1:3" ht="15" x14ac:dyDescent="0.2">
      <c r="A1272" s="310">
        <v>17532</v>
      </c>
      <c r="B1272" s="311" t="s">
        <v>15</v>
      </c>
      <c r="C1272" s="310" t="s">
        <v>16</v>
      </c>
    </row>
    <row r="1273" spans="1:3" ht="15" x14ac:dyDescent="0.2">
      <c r="A1273" s="310">
        <v>17533</v>
      </c>
      <c r="B1273" s="311" t="s">
        <v>15</v>
      </c>
      <c r="C1273" s="310" t="s">
        <v>16</v>
      </c>
    </row>
    <row r="1274" spans="1:3" ht="15" x14ac:dyDescent="0.2">
      <c r="A1274" s="310">
        <v>17534</v>
      </c>
      <c r="B1274" s="311" t="s">
        <v>15</v>
      </c>
      <c r="C1274" s="310" t="s">
        <v>16</v>
      </c>
    </row>
    <row r="1275" spans="1:3" ht="15" x14ac:dyDescent="0.2">
      <c r="A1275" s="310">
        <v>17535</v>
      </c>
      <c r="B1275" s="311" t="s">
        <v>15</v>
      </c>
      <c r="C1275" s="310" t="s">
        <v>16</v>
      </c>
    </row>
    <row r="1276" spans="1:3" ht="15" x14ac:dyDescent="0.2">
      <c r="A1276" s="310">
        <v>17536</v>
      </c>
      <c r="B1276" s="311" t="s">
        <v>15</v>
      </c>
      <c r="C1276" s="310" t="s">
        <v>16</v>
      </c>
    </row>
    <row r="1277" spans="1:3" ht="15" x14ac:dyDescent="0.2">
      <c r="A1277" s="310">
        <v>17537</v>
      </c>
      <c r="B1277" s="311" t="s">
        <v>15</v>
      </c>
      <c r="C1277" s="310" t="s">
        <v>16</v>
      </c>
    </row>
    <row r="1278" spans="1:3" ht="15" x14ac:dyDescent="0.2">
      <c r="A1278" s="310">
        <v>17538</v>
      </c>
      <c r="B1278" s="311" t="s">
        <v>15</v>
      </c>
      <c r="C1278" s="310" t="s">
        <v>16</v>
      </c>
    </row>
    <row r="1279" spans="1:3" ht="15" x14ac:dyDescent="0.2">
      <c r="A1279" s="310">
        <v>17540</v>
      </c>
      <c r="B1279" s="311" t="s">
        <v>15</v>
      </c>
      <c r="C1279" s="310" t="s">
        <v>16</v>
      </c>
    </row>
    <row r="1280" spans="1:3" ht="15" x14ac:dyDescent="0.2">
      <c r="A1280" s="310">
        <v>17543</v>
      </c>
      <c r="B1280" s="311" t="s">
        <v>15</v>
      </c>
      <c r="C1280" s="310" t="s">
        <v>16</v>
      </c>
    </row>
    <row r="1281" spans="1:3" ht="15" x14ac:dyDescent="0.2">
      <c r="A1281" s="310">
        <v>17545</v>
      </c>
      <c r="B1281" s="311" t="s">
        <v>15</v>
      </c>
      <c r="C1281" s="310" t="s">
        <v>16</v>
      </c>
    </row>
    <row r="1282" spans="1:3" ht="15" x14ac:dyDescent="0.2">
      <c r="A1282" s="310">
        <v>17547</v>
      </c>
      <c r="B1282" s="311" t="s">
        <v>15</v>
      </c>
      <c r="C1282" s="310" t="s">
        <v>16</v>
      </c>
    </row>
    <row r="1283" spans="1:3" ht="15" x14ac:dyDescent="0.2">
      <c r="A1283" s="310">
        <v>17549</v>
      </c>
      <c r="B1283" s="311" t="s">
        <v>15</v>
      </c>
      <c r="C1283" s="310" t="s">
        <v>16</v>
      </c>
    </row>
    <row r="1284" spans="1:3" ht="15" x14ac:dyDescent="0.2">
      <c r="A1284" s="310">
        <v>17550</v>
      </c>
      <c r="B1284" s="311" t="s">
        <v>15</v>
      </c>
      <c r="C1284" s="310" t="s">
        <v>16</v>
      </c>
    </row>
    <row r="1285" spans="1:3" ht="15" x14ac:dyDescent="0.2">
      <c r="A1285" s="310">
        <v>17551</v>
      </c>
      <c r="B1285" s="311" t="s">
        <v>15</v>
      </c>
      <c r="C1285" s="310" t="s">
        <v>16</v>
      </c>
    </row>
    <row r="1286" spans="1:3" ht="15" x14ac:dyDescent="0.2">
      <c r="A1286" s="310">
        <v>17552</v>
      </c>
      <c r="B1286" s="311" t="s">
        <v>15</v>
      </c>
      <c r="C1286" s="310" t="s">
        <v>16</v>
      </c>
    </row>
    <row r="1287" spans="1:3" ht="15" x14ac:dyDescent="0.2">
      <c r="A1287" s="310">
        <v>17554</v>
      </c>
      <c r="B1287" s="311" t="s">
        <v>15</v>
      </c>
      <c r="C1287" s="310" t="s">
        <v>16</v>
      </c>
    </row>
    <row r="1288" spans="1:3" ht="15" x14ac:dyDescent="0.2">
      <c r="A1288" s="310">
        <v>17555</v>
      </c>
      <c r="B1288" s="311" t="s">
        <v>15</v>
      </c>
      <c r="C1288" s="310" t="s">
        <v>16</v>
      </c>
    </row>
    <row r="1289" spans="1:3" ht="15" x14ac:dyDescent="0.2">
      <c r="A1289" s="310">
        <v>17557</v>
      </c>
      <c r="B1289" s="311" t="s">
        <v>15</v>
      </c>
      <c r="C1289" s="310" t="s">
        <v>16</v>
      </c>
    </row>
    <row r="1290" spans="1:3" ht="15" x14ac:dyDescent="0.2">
      <c r="A1290" s="310">
        <v>17560</v>
      </c>
      <c r="B1290" s="311" t="s">
        <v>15</v>
      </c>
      <c r="C1290" s="310" t="s">
        <v>16</v>
      </c>
    </row>
    <row r="1291" spans="1:3" ht="15" x14ac:dyDescent="0.2">
      <c r="A1291" s="310">
        <v>17562</v>
      </c>
      <c r="B1291" s="311" t="s">
        <v>15</v>
      </c>
      <c r="C1291" s="310" t="s">
        <v>16</v>
      </c>
    </row>
    <row r="1292" spans="1:3" ht="15" x14ac:dyDescent="0.2">
      <c r="A1292" s="310">
        <v>17563</v>
      </c>
      <c r="B1292" s="311" t="s">
        <v>15</v>
      </c>
      <c r="C1292" s="310" t="s">
        <v>16</v>
      </c>
    </row>
    <row r="1293" spans="1:3" ht="15" x14ac:dyDescent="0.2">
      <c r="A1293" s="310">
        <v>17564</v>
      </c>
      <c r="B1293" s="311" t="s">
        <v>15</v>
      </c>
      <c r="C1293" s="310" t="s">
        <v>16</v>
      </c>
    </row>
    <row r="1294" spans="1:3" ht="15" x14ac:dyDescent="0.2">
      <c r="A1294" s="310">
        <v>17565</v>
      </c>
      <c r="B1294" s="311" t="s">
        <v>15</v>
      </c>
      <c r="C1294" s="310" t="s">
        <v>16</v>
      </c>
    </row>
    <row r="1295" spans="1:3" ht="15" x14ac:dyDescent="0.2">
      <c r="A1295" s="310">
        <v>17566</v>
      </c>
      <c r="B1295" s="311" t="s">
        <v>15</v>
      </c>
      <c r="C1295" s="310" t="s">
        <v>16</v>
      </c>
    </row>
    <row r="1296" spans="1:3" ht="15" x14ac:dyDescent="0.2">
      <c r="A1296" s="310">
        <v>17567</v>
      </c>
      <c r="B1296" s="311" t="s">
        <v>15</v>
      </c>
      <c r="C1296" s="310" t="s">
        <v>16</v>
      </c>
    </row>
    <row r="1297" spans="1:3" ht="15" x14ac:dyDescent="0.2">
      <c r="A1297" s="310">
        <v>17568</v>
      </c>
      <c r="B1297" s="311" t="s">
        <v>15</v>
      </c>
      <c r="C1297" s="310" t="s">
        <v>16</v>
      </c>
    </row>
    <row r="1298" spans="1:3" ht="15" x14ac:dyDescent="0.2">
      <c r="A1298" s="310">
        <v>17569</v>
      </c>
      <c r="B1298" s="311" t="s">
        <v>15</v>
      </c>
      <c r="C1298" s="310" t="s">
        <v>16</v>
      </c>
    </row>
    <row r="1299" spans="1:3" ht="15" x14ac:dyDescent="0.2">
      <c r="A1299" s="310">
        <v>17570</v>
      </c>
      <c r="B1299" s="311" t="s">
        <v>15</v>
      </c>
      <c r="C1299" s="310" t="s">
        <v>16</v>
      </c>
    </row>
    <row r="1300" spans="1:3" ht="15" x14ac:dyDescent="0.2">
      <c r="A1300" s="310">
        <v>17572</v>
      </c>
      <c r="B1300" s="311" t="s">
        <v>15</v>
      </c>
      <c r="C1300" s="310" t="s">
        <v>16</v>
      </c>
    </row>
    <row r="1301" spans="1:3" ht="15" x14ac:dyDescent="0.2">
      <c r="A1301" s="310">
        <v>17573</v>
      </c>
      <c r="B1301" s="311" t="s">
        <v>15</v>
      </c>
      <c r="C1301" s="310" t="s">
        <v>16</v>
      </c>
    </row>
    <row r="1302" spans="1:3" ht="15" x14ac:dyDescent="0.2">
      <c r="A1302" s="310">
        <v>17575</v>
      </c>
      <c r="B1302" s="311" t="s">
        <v>15</v>
      </c>
      <c r="C1302" s="310" t="s">
        <v>16</v>
      </c>
    </row>
    <row r="1303" spans="1:3" ht="15" x14ac:dyDescent="0.2">
      <c r="A1303" s="310">
        <v>17576</v>
      </c>
      <c r="B1303" s="311" t="s">
        <v>15</v>
      </c>
      <c r="C1303" s="310" t="s">
        <v>16</v>
      </c>
    </row>
    <row r="1304" spans="1:3" ht="15" x14ac:dyDescent="0.2">
      <c r="A1304" s="310">
        <v>17577</v>
      </c>
      <c r="B1304" s="311" t="s">
        <v>15</v>
      </c>
      <c r="C1304" s="310" t="s">
        <v>16</v>
      </c>
    </row>
    <row r="1305" spans="1:3" ht="15" x14ac:dyDescent="0.2">
      <c r="A1305" s="310">
        <v>17578</v>
      </c>
      <c r="B1305" s="311" t="s">
        <v>15</v>
      </c>
      <c r="C1305" s="310" t="s">
        <v>16</v>
      </c>
    </row>
    <row r="1306" spans="1:3" ht="15" x14ac:dyDescent="0.2">
      <c r="A1306" s="310">
        <v>17579</v>
      </c>
      <c r="B1306" s="311" t="s">
        <v>15</v>
      </c>
      <c r="C1306" s="310" t="s">
        <v>16</v>
      </c>
    </row>
    <row r="1307" spans="1:3" ht="15" x14ac:dyDescent="0.2">
      <c r="A1307" s="310">
        <v>17580</v>
      </c>
      <c r="B1307" s="311" t="s">
        <v>15</v>
      </c>
      <c r="C1307" s="310" t="s">
        <v>16</v>
      </c>
    </row>
    <row r="1308" spans="1:3" ht="15" x14ac:dyDescent="0.2">
      <c r="A1308" s="310">
        <v>17581</v>
      </c>
      <c r="B1308" s="311" t="s">
        <v>15</v>
      </c>
      <c r="C1308" s="310" t="s">
        <v>16</v>
      </c>
    </row>
    <row r="1309" spans="1:3" ht="15" x14ac:dyDescent="0.2">
      <c r="A1309" s="310">
        <v>17582</v>
      </c>
      <c r="B1309" s="311" t="s">
        <v>15</v>
      </c>
      <c r="C1309" s="310" t="s">
        <v>16</v>
      </c>
    </row>
    <row r="1310" spans="1:3" ht="15" x14ac:dyDescent="0.2">
      <c r="A1310" s="310">
        <v>17583</v>
      </c>
      <c r="B1310" s="311" t="s">
        <v>15</v>
      </c>
      <c r="C1310" s="310" t="s">
        <v>16</v>
      </c>
    </row>
    <row r="1311" spans="1:3" ht="15" x14ac:dyDescent="0.2">
      <c r="A1311" s="310">
        <v>17584</v>
      </c>
      <c r="B1311" s="311" t="s">
        <v>15</v>
      </c>
      <c r="C1311" s="310" t="s">
        <v>16</v>
      </c>
    </row>
    <row r="1312" spans="1:3" ht="15" x14ac:dyDescent="0.2">
      <c r="A1312" s="310">
        <v>17585</v>
      </c>
      <c r="B1312" s="311" t="s">
        <v>15</v>
      </c>
      <c r="C1312" s="310" t="s">
        <v>16</v>
      </c>
    </row>
    <row r="1313" spans="1:3" ht="15" x14ac:dyDescent="0.2">
      <c r="A1313" s="310">
        <v>17601</v>
      </c>
      <c r="B1313" s="311" t="s">
        <v>15</v>
      </c>
      <c r="C1313" s="310" t="s">
        <v>16</v>
      </c>
    </row>
    <row r="1314" spans="1:3" ht="15" x14ac:dyDescent="0.2">
      <c r="A1314" s="310">
        <v>17602</v>
      </c>
      <c r="B1314" s="311" t="s">
        <v>15</v>
      </c>
      <c r="C1314" s="310" t="s">
        <v>16</v>
      </c>
    </row>
    <row r="1315" spans="1:3" ht="15" x14ac:dyDescent="0.2">
      <c r="A1315" s="310">
        <v>17603</v>
      </c>
      <c r="B1315" s="311" t="s">
        <v>15</v>
      </c>
      <c r="C1315" s="310" t="s">
        <v>16</v>
      </c>
    </row>
    <row r="1316" spans="1:3" ht="15" x14ac:dyDescent="0.2">
      <c r="A1316" s="310">
        <v>17604</v>
      </c>
      <c r="B1316" s="311" t="s">
        <v>15</v>
      </c>
      <c r="C1316" s="310" t="s">
        <v>16</v>
      </c>
    </row>
    <row r="1317" spans="1:3" ht="15" x14ac:dyDescent="0.2">
      <c r="A1317" s="310">
        <v>17605</v>
      </c>
      <c r="B1317" s="311" t="s">
        <v>15</v>
      </c>
      <c r="C1317" s="310" t="s">
        <v>16</v>
      </c>
    </row>
    <row r="1318" spans="1:3" ht="15" x14ac:dyDescent="0.2">
      <c r="A1318" s="310">
        <v>17606</v>
      </c>
      <c r="B1318" s="311" t="s">
        <v>15</v>
      </c>
      <c r="C1318" s="310" t="s">
        <v>16</v>
      </c>
    </row>
    <row r="1319" spans="1:3" ht="15" x14ac:dyDescent="0.2">
      <c r="A1319" s="310">
        <v>17607</v>
      </c>
      <c r="B1319" s="311" t="s">
        <v>15</v>
      </c>
      <c r="C1319" s="310" t="s">
        <v>16</v>
      </c>
    </row>
    <row r="1320" spans="1:3" ht="15" x14ac:dyDescent="0.2">
      <c r="A1320" s="310">
        <v>17608</v>
      </c>
      <c r="B1320" s="311" t="s">
        <v>15</v>
      </c>
      <c r="C1320" s="310" t="s">
        <v>16</v>
      </c>
    </row>
    <row r="1321" spans="1:3" ht="15" x14ac:dyDescent="0.2">
      <c r="A1321" s="310">
        <v>17611</v>
      </c>
      <c r="B1321" s="311" t="s">
        <v>15</v>
      </c>
      <c r="C1321" s="310" t="s">
        <v>16</v>
      </c>
    </row>
    <row r="1322" spans="1:3" ht="15" x14ac:dyDescent="0.2">
      <c r="A1322" s="310">
        <v>17622</v>
      </c>
      <c r="B1322" s="311" t="s">
        <v>15</v>
      </c>
      <c r="C1322" s="310" t="s">
        <v>16</v>
      </c>
    </row>
    <row r="1323" spans="1:3" ht="15" x14ac:dyDescent="0.2">
      <c r="A1323" s="310">
        <v>17699</v>
      </c>
      <c r="B1323" s="311" t="s">
        <v>15</v>
      </c>
      <c r="C1323" s="310" t="s">
        <v>16</v>
      </c>
    </row>
    <row r="1324" spans="1:3" ht="15" x14ac:dyDescent="0.2">
      <c r="A1324" s="310">
        <v>17701</v>
      </c>
      <c r="B1324" s="311" t="s">
        <v>11</v>
      </c>
      <c r="C1324" s="310" t="s">
        <v>12</v>
      </c>
    </row>
    <row r="1325" spans="1:3" ht="15" x14ac:dyDescent="0.2">
      <c r="A1325" s="310">
        <v>17702</v>
      </c>
      <c r="B1325" s="311" t="s">
        <v>11</v>
      </c>
      <c r="C1325" s="310" t="s">
        <v>12</v>
      </c>
    </row>
    <row r="1326" spans="1:3" ht="15" x14ac:dyDescent="0.2">
      <c r="A1326" s="310">
        <v>17703</v>
      </c>
      <c r="B1326" s="311" t="s">
        <v>11</v>
      </c>
      <c r="C1326" s="310" t="s">
        <v>12</v>
      </c>
    </row>
    <row r="1327" spans="1:3" ht="15" x14ac:dyDescent="0.2">
      <c r="A1327" s="310">
        <v>17705</v>
      </c>
      <c r="B1327" s="311" t="s">
        <v>11</v>
      </c>
      <c r="C1327" s="310" t="s">
        <v>12</v>
      </c>
    </row>
    <row r="1328" spans="1:3" ht="15" x14ac:dyDescent="0.2">
      <c r="A1328" s="310">
        <v>17720</v>
      </c>
      <c r="B1328" s="311" t="s">
        <v>11</v>
      </c>
      <c r="C1328" s="310" t="s">
        <v>12</v>
      </c>
    </row>
    <row r="1329" spans="1:3" ht="15" x14ac:dyDescent="0.2">
      <c r="A1329" s="310">
        <v>17721</v>
      </c>
      <c r="B1329" s="311" t="s">
        <v>11</v>
      </c>
      <c r="C1329" s="310" t="s">
        <v>12</v>
      </c>
    </row>
    <row r="1330" spans="1:3" ht="15" x14ac:dyDescent="0.2">
      <c r="A1330" s="310">
        <v>17722</v>
      </c>
      <c r="B1330" s="311" t="s">
        <v>11</v>
      </c>
      <c r="C1330" s="310" t="s">
        <v>12</v>
      </c>
    </row>
    <row r="1331" spans="1:3" ht="15" x14ac:dyDescent="0.2">
      <c r="A1331" s="310">
        <v>17723</v>
      </c>
      <c r="B1331" s="311" t="s">
        <v>11</v>
      </c>
      <c r="C1331" s="310" t="s">
        <v>12</v>
      </c>
    </row>
    <row r="1332" spans="1:3" ht="15" x14ac:dyDescent="0.2">
      <c r="A1332" s="310">
        <v>17724</v>
      </c>
      <c r="B1332" s="311" t="s">
        <v>13</v>
      </c>
      <c r="C1332" s="310" t="s">
        <v>14</v>
      </c>
    </row>
    <row r="1333" spans="1:3" ht="15" x14ac:dyDescent="0.2">
      <c r="A1333" s="310">
        <v>17726</v>
      </c>
      <c r="B1333" s="311" t="s">
        <v>11</v>
      </c>
      <c r="C1333" s="310" t="s">
        <v>12</v>
      </c>
    </row>
    <row r="1334" spans="1:3" ht="15" x14ac:dyDescent="0.2">
      <c r="A1334" s="310">
        <v>17727</v>
      </c>
      <c r="B1334" s="311" t="s">
        <v>11</v>
      </c>
      <c r="C1334" s="310" t="s">
        <v>12</v>
      </c>
    </row>
    <row r="1335" spans="1:3" ht="15" x14ac:dyDescent="0.2">
      <c r="A1335" s="310">
        <v>17728</v>
      </c>
      <c r="B1335" s="311" t="s">
        <v>11</v>
      </c>
      <c r="C1335" s="310" t="s">
        <v>12</v>
      </c>
    </row>
    <row r="1336" spans="1:3" ht="15" x14ac:dyDescent="0.2">
      <c r="A1336" s="310">
        <v>17729</v>
      </c>
      <c r="B1336" s="311" t="s">
        <v>11</v>
      </c>
      <c r="C1336" s="310" t="s">
        <v>12</v>
      </c>
    </row>
    <row r="1337" spans="1:3" ht="15" x14ac:dyDescent="0.2">
      <c r="A1337" s="310">
        <v>17730</v>
      </c>
      <c r="B1337" s="311" t="s">
        <v>11</v>
      </c>
      <c r="C1337" s="310" t="s">
        <v>12</v>
      </c>
    </row>
    <row r="1338" spans="1:3" ht="15" x14ac:dyDescent="0.2">
      <c r="A1338" s="310">
        <v>17731</v>
      </c>
      <c r="B1338" s="311" t="s">
        <v>13</v>
      </c>
      <c r="C1338" s="310" t="s">
        <v>14</v>
      </c>
    </row>
    <row r="1339" spans="1:3" ht="15" x14ac:dyDescent="0.2">
      <c r="A1339" s="310">
        <v>17735</v>
      </c>
      <c r="B1339" s="311" t="s">
        <v>13</v>
      </c>
      <c r="C1339" s="310" t="s">
        <v>14</v>
      </c>
    </row>
    <row r="1340" spans="1:3" ht="15" x14ac:dyDescent="0.2">
      <c r="A1340" s="310">
        <v>17737</v>
      </c>
      <c r="B1340" s="311" t="s">
        <v>11</v>
      </c>
      <c r="C1340" s="310" t="s">
        <v>12</v>
      </c>
    </row>
    <row r="1341" spans="1:3" ht="15" x14ac:dyDescent="0.2">
      <c r="A1341" s="310">
        <v>17738</v>
      </c>
      <c r="B1341" s="311" t="s">
        <v>11</v>
      </c>
      <c r="C1341" s="310" t="s">
        <v>12</v>
      </c>
    </row>
    <row r="1342" spans="1:3" ht="15" x14ac:dyDescent="0.2">
      <c r="A1342" s="310">
        <v>17739</v>
      </c>
      <c r="B1342" s="311" t="s">
        <v>11</v>
      </c>
      <c r="C1342" s="310" t="s">
        <v>12</v>
      </c>
    </row>
    <row r="1343" spans="1:3" ht="15" x14ac:dyDescent="0.2">
      <c r="A1343" s="310">
        <v>17740</v>
      </c>
      <c r="B1343" s="311" t="s">
        <v>11</v>
      </c>
      <c r="C1343" s="310" t="s">
        <v>12</v>
      </c>
    </row>
    <row r="1344" spans="1:3" ht="15" x14ac:dyDescent="0.2">
      <c r="A1344" s="310">
        <v>17742</v>
      </c>
      <c r="B1344" s="311" t="s">
        <v>11</v>
      </c>
      <c r="C1344" s="310" t="s">
        <v>12</v>
      </c>
    </row>
    <row r="1345" spans="1:3" ht="15" x14ac:dyDescent="0.2">
      <c r="A1345" s="310">
        <v>17744</v>
      </c>
      <c r="B1345" s="311" t="s">
        <v>11</v>
      </c>
      <c r="C1345" s="310" t="s">
        <v>12</v>
      </c>
    </row>
    <row r="1346" spans="1:3" ht="15" x14ac:dyDescent="0.2">
      <c r="A1346" s="310">
        <v>17745</v>
      </c>
      <c r="B1346" s="311" t="s">
        <v>11</v>
      </c>
      <c r="C1346" s="310" t="s">
        <v>12</v>
      </c>
    </row>
    <row r="1347" spans="1:3" ht="15" x14ac:dyDescent="0.2">
      <c r="A1347" s="310">
        <v>17747</v>
      </c>
      <c r="B1347" s="311" t="s">
        <v>11</v>
      </c>
      <c r="C1347" s="310" t="s">
        <v>12</v>
      </c>
    </row>
    <row r="1348" spans="1:3" ht="15" x14ac:dyDescent="0.2">
      <c r="A1348" s="310">
        <v>17748</v>
      </c>
      <c r="B1348" s="311" t="s">
        <v>11</v>
      </c>
      <c r="C1348" s="310" t="s">
        <v>12</v>
      </c>
    </row>
    <row r="1349" spans="1:3" ht="15" x14ac:dyDescent="0.2">
      <c r="A1349" s="310">
        <v>17749</v>
      </c>
      <c r="B1349" s="311" t="s">
        <v>11</v>
      </c>
      <c r="C1349" s="310" t="s">
        <v>12</v>
      </c>
    </row>
    <row r="1350" spans="1:3" ht="15" x14ac:dyDescent="0.2">
      <c r="A1350" s="310">
        <v>17750</v>
      </c>
      <c r="B1350" s="311" t="s">
        <v>11</v>
      </c>
      <c r="C1350" s="310" t="s">
        <v>12</v>
      </c>
    </row>
    <row r="1351" spans="1:3" ht="15" x14ac:dyDescent="0.2">
      <c r="A1351" s="310">
        <v>17751</v>
      </c>
      <c r="B1351" s="311" t="s">
        <v>11</v>
      </c>
      <c r="C1351" s="310" t="s">
        <v>12</v>
      </c>
    </row>
    <row r="1352" spans="1:3" ht="15" x14ac:dyDescent="0.2">
      <c r="A1352" s="310">
        <v>17752</v>
      </c>
      <c r="B1352" s="311" t="s">
        <v>11</v>
      </c>
      <c r="C1352" s="310" t="s">
        <v>12</v>
      </c>
    </row>
    <row r="1353" spans="1:3" ht="15" x14ac:dyDescent="0.2">
      <c r="A1353" s="310">
        <v>17754</v>
      </c>
      <c r="B1353" s="311" t="s">
        <v>11</v>
      </c>
      <c r="C1353" s="310" t="s">
        <v>12</v>
      </c>
    </row>
    <row r="1354" spans="1:3" ht="15" x14ac:dyDescent="0.2">
      <c r="A1354" s="310">
        <v>17756</v>
      </c>
      <c r="B1354" s="311" t="s">
        <v>11</v>
      </c>
      <c r="C1354" s="310" t="s">
        <v>12</v>
      </c>
    </row>
    <row r="1355" spans="1:3" ht="15" x14ac:dyDescent="0.2">
      <c r="A1355" s="310">
        <v>17758</v>
      </c>
      <c r="B1355" s="311" t="s">
        <v>13</v>
      </c>
      <c r="C1355" s="310" t="s">
        <v>14</v>
      </c>
    </row>
    <row r="1356" spans="1:3" ht="15" x14ac:dyDescent="0.2">
      <c r="A1356" s="310">
        <v>17759</v>
      </c>
      <c r="B1356" s="311" t="s">
        <v>11</v>
      </c>
      <c r="C1356" s="310" t="s">
        <v>12</v>
      </c>
    </row>
    <row r="1357" spans="1:3" ht="15" x14ac:dyDescent="0.2">
      <c r="A1357" s="310">
        <v>17760</v>
      </c>
      <c r="B1357" s="311" t="s">
        <v>11</v>
      </c>
      <c r="C1357" s="310" t="s">
        <v>12</v>
      </c>
    </row>
    <row r="1358" spans="1:3" ht="15" x14ac:dyDescent="0.2">
      <c r="A1358" s="310">
        <v>17762</v>
      </c>
      <c r="B1358" s="311" t="s">
        <v>11</v>
      </c>
      <c r="C1358" s="310" t="s">
        <v>12</v>
      </c>
    </row>
    <row r="1359" spans="1:3" ht="15" x14ac:dyDescent="0.2">
      <c r="A1359" s="310">
        <v>17763</v>
      </c>
      <c r="B1359" s="311" t="s">
        <v>11</v>
      </c>
      <c r="C1359" s="310" t="s">
        <v>12</v>
      </c>
    </row>
    <row r="1360" spans="1:3" ht="15" x14ac:dyDescent="0.2">
      <c r="A1360" s="310">
        <v>17764</v>
      </c>
      <c r="B1360" s="311" t="s">
        <v>11</v>
      </c>
      <c r="C1360" s="310" t="s">
        <v>12</v>
      </c>
    </row>
    <row r="1361" spans="1:3" ht="15" x14ac:dyDescent="0.2">
      <c r="A1361" s="310">
        <v>17765</v>
      </c>
      <c r="B1361" s="311" t="s">
        <v>9</v>
      </c>
      <c r="C1361" s="310" t="s">
        <v>10</v>
      </c>
    </row>
    <row r="1362" spans="1:3" ht="15" x14ac:dyDescent="0.2">
      <c r="A1362" s="310">
        <v>17767</v>
      </c>
      <c r="B1362" s="311" t="s">
        <v>11</v>
      </c>
      <c r="C1362" s="310" t="s">
        <v>12</v>
      </c>
    </row>
    <row r="1363" spans="1:3" ht="15" x14ac:dyDescent="0.2">
      <c r="A1363" s="310">
        <v>17768</v>
      </c>
      <c r="B1363" s="311" t="s">
        <v>13</v>
      </c>
      <c r="C1363" s="310" t="s">
        <v>14</v>
      </c>
    </row>
    <row r="1364" spans="1:3" ht="15" x14ac:dyDescent="0.2">
      <c r="A1364" s="310">
        <v>17769</v>
      </c>
      <c r="B1364" s="311" t="s">
        <v>11</v>
      </c>
      <c r="C1364" s="310" t="s">
        <v>12</v>
      </c>
    </row>
    <row r="1365" spans="1:3" ht="15" x14ac:dyDescent="0.2">
      <c r="A1365" s="310">
        <v>17771</v>
      </c>
      <c r="B1365" s="311" t="s">
        <v>11</v>
      </c>
      <c r="C1365" s="310" t="s">
        <v>12</v>
      </c>
    </row>
    <row r="1366" spans="1:3" ht="15" x14ac:dyDescent="0.2">
      <c r="A1366" s="310">
        <v>17772</v>
      </c>
      <c r="B1366" s="311" t="s">
        <v>11</v>
      </c>
      <c r="C1366" s="310" t="s">
        <v>12</v>
      </c>
    </row>
    <row r="1367" spans="1:3" ht="15" x14ac:dyDescent="0.2">
      <c r="A1367" s="310">
        <v>17773</v>
      </c>
      <c r="B1367" s="311" t="s">
        <v>11</v>
      </c>
      <c r="C1367" s="310" t="s">
        <v>12</v>
      </c>
    </row>
    <row r="1368" spans="1:3" ht="15" x14ac:dyDescent="0.2">
      <c r="A1368" s="310">
        <v>17774</v>
      </c>
      <c r="B1368" s="311" t="s">
        <v>11</v>
      </c>
      <c r="C1368" s="310" t="s">
        <v>12</v>
      </c>
    </row>
    <row r="1369" spans="1:3" ht="15" x14ac:dyDescent="0.2">
      <c r="A1369" s="310">
        <v>17776</v>
      </c>
      <c r="B1369" s="311" t="s">
        <v>11</v>
      </c>
      <c r="C1369" s="310" t="s">
        <v>12</v>
      </c>
    </row>
    <row r="1370" spans="1:3" ht="15" x14ac:dyDescent="0.2">
      <c r="A1370" s="310">
        <v>17777</v>
      </c>
      <c r="B1370" s="311" t="s">
        <v>11</v>
      </c>
      <c r="C1370" s="310" t="s">
        <v>12</v>
      </c>
    </row>
    <row r="1371" spans="1:3" ht="15" x14ac:dyDescent="0.2">
      <c r="A1371" s="310">
        <v>17778</v>
      </c>
      <c r="B1371" s="311" t="s">
        <v>11</v>
      </c>
      <c r="C1371" s="310" t="s">
        <v>12</v>
      </c>
    </row>
    <row r="1372" spans="1:3" ht="15" x14ac:dyDescent="0.2">
      <c r="A1372" s="310">
        <v>17779</v>
      </c>
      <c r="B1372" s="311" t="s">
        <v>11</v>
      </c>
      <c r="C1372" s="310" t="s">
        <v>12</v>
      </c>
    </row>
    <row r="1373" spans="1:3" ht="15" x14ac:dyDescent="0.2">
      <c r="A1373" s="310">
        <v>17801</v>
      </c>
      <c r="B1373" s="311" t="s">
        <v>11</v>
      </c>
      <c r="C1373" s="310" t="s">
        <v>12</v>
      </c>
    </row>
    <row r="1374" spans="1:3" ht="15" x14ac:dyDescent="0.2">
      <c r="A1374" s="310">
        <v>17810</v>
      </c>
      <c r="B1374" s="311" t="s">
        <v>11</v>
      </c>
      <c r="C1374" s="310" t="s">
        <v>12</v>
      </c>
    </row>
    <row r="1375" spans="1:3" ht="15" x14ac:dyDescent="0.2">
      <c r="A1375" s="310">
        <v>17812</v>
      </c>
      <c r="B1375" s="311" t="s">
        <v>11</v>
      </c>
      <c r="C1375" s="310" t="s">
        <v>12</v>
      </c>
    </row>
    <row r="1376" spans="1:3" ht="15" x14ac:dyDescent="0.2">
      <c r="A1376" s="310">
        <v>17813</v>
      </c>
      <c r="B1376" s="311" t="s">
        <v>11</v>
      </c>
      <c r="C1376" s="310" t="s">
        <v>12</v>
      </c>
    </row>
    <row r="1377" spans="1:3" ht="15" x14ac:dyDescent="0.2">
      <c r="A1377" s="310">
        <v>17814</v>
      </c>
      <c r="B1377" s="311" t="s">
        <v>11</v>
      </c>
      <c r="C1377" s="310" t="s">
        <v>12</v>
      </c>
    </row>
    <row r="1378" spans="1:3" ht="15" x14ac:dyDescent="0.2">
      <c r="A1378" s="310">
        <v>17815</v>
      </c>
      <c r="B1378" s="311" t="s">
        <v>11</v>
      </c>
      <c r="C1378" s="310" t="s">
        <v>12</v>
      </c>
    </row>
    <row r="1379" spans="1:3" ht="15" x14ac:dyDescent="0.2">
      <c r="A1379" s="310">
        <v>17820</v>
      </c>
      <c r="B1379" s="311" t="s">
        <v>11</v>
      </c>
      <c r="C1379" s="310" t="s">
        <v>12</v>
      </c>
    </row>
    <row r="1380" spans="1:3" ht="15" x14ac:dyDescent="0.2">
      <c r="A1380" s="310">
        <v>17821</v>
      </c>
      <c r="B1380" s="311" t="s">
        <v>11</v>
      </c>
      <c r="C1380" s="310" t="s">
        <v>12</v>
      </c>
    </row>
    <row r="1381" spans="1:3" ht="15" x14ac:dyDescent="0.2">
      <c r="A1381" s="310">
        <v>17822</v>
      </c>
      <c r="B1381" s="311" t="s">
        <v>11</v>
      </c>
      <c r="C1381" s="310" t="s">
        <v>12</v>
      </c>
    </row>
    <row r="1382" spans="1:3" ht="15" x14ac:dyDescent="0.2">
      <c r="A1382" s="310">
        <v>17823</v>
      </c>
      <c r="B1382" s="311" t="s">
        <v>11</v>
      </c>
      <c r="C1382" s="310" t="s">
        <v>12</v>
      </c>
    </row>
    <row r="1383" spans="1:3" ht="15" x14ac:dyDescent="0.2">
      <c r="A1383" s="310">
        <v>17824</v>
      </c>
      <c r="B1383" s="311" t="s">
        <v>11</v>
      </c>
      <c r="C1383" s="310" t="s">
        <v>12</v>
      </c>
    </row>
    <row r="1384" spans="1:3" ht="15" x14ac:dyDescent="0.2">
      <c r="A1384" s="310">
        <v>17827</v>
      </c>
      <c r="B1384" s="311" t="s">
        <v>11</v>
      </c>
      <c r="C1384" s="310" t="s">
        <v>12</v>
      </c>
    </row>
    <row r="1385" spans="1:3" ht="15" x14ac:dyDescent="0.2">
      <c r="A1385" s="310">
        <v>17829</v>
      </c>
      <c r="B1385" s="311" t="s">
        <v>11</v>
      </c>
      <c r="C1385" s="310" t="s">
        <v>12</v>
      </c>
    </row>
    <row r="1386" spans="1:3" ht="15" x14ac:dyDescent="0.2">
      <c r="A1386" s="310">
        <v>17830</v>
      </c>
      <c r="B1386" s="311" t="s">
        <v>11</v>
      </c>
      <c r="C1386" s="310" t="s">
        <v>12</v>
      </c>
    </row>
    <row r="1387" spans="1:3" ht="15" x14ac:dyDescent="0.2">
      <c r="A1387" s="310">
        <v>17831</v>
      </c>
      <c r="B1387" s="311" t="s">
        <v>11</v>
      </c>
      <c r="C1387" s="310" t="s">
        <v>12</v>
      </c>
    </row>
    <row r="1388" spans="1:3" ht="15" x14ac:dyDescent="0.2">
      <c r="A1388" s="310">
        <v>17832</v>
      </c>
      <c r="B1388" s="311" t="s">
        <v>11</v>
      </c>
      <c r="C1388" s="310" t="s">
        <v>12</v>
      </c>
    </row>
    <row r="1389" spans="1:3" ht="15" x14ac:dyDescent="0.2">
      <c r="A1389" s="310">
        <v>17833</v>
      </c>
      <c r="B1389" s="311" t="s">
        <v>11</v>
      </c>
      <c r="C1389" s="310" t="s">
        <v>12</v>
      </c>
    </row>
    <row r="1390" spans="1:3" ht="15" x14ac:dyDescent="0.2">
      <c r="A1390" s="310">
        <v>17834</v>
      </c>
      <c r="B1390" s="311" t="s">
        <v>11</v>
      </c>
      <c r="C1390" s="310" t="s">
        <v>12</v>
      </c>
    </row>
    <row r="1391" spans="1:3" ht="15" x14ac:dyDescent="0.2">
      <c r="A1391" s="310">
        <v>17835</v>
      </c>
      <c r="B1391" s="311" t="s">
        <v>11</v>
      </c>
      <c r="C1391" s="310" t="s">
        <v>12</v>
      </c>
    </row>
    <row r="1392" spans="1:3" ht="15" x14ac:dyDescent="0.2">
      <c r="A1392" s="310">
        <v>17836</v>
      </c>
      <c r="B1392" s="311" t="s">
        <v>11</v>
      </c>
      <c r="C1392" s="310" t="s">
        <v>12</v>
      </c>
    </row>
    <row r="1393" spans="1:3" ht="15" x14ac:dyDescent="0.2">
      <c r="A1393" s="310">
        <v>17837</v>
      </c>
      <c r="B1393" s="311" t="s">
        <v>11</v>
      </c>
      <c r="C1393" s="310" t="s">
        <v>12</v>
      </c>
    </row>
    <row r="1394" spans="1:3" ht="15" x14ac:dyDescent="0.2">
      <c r="A1394" s="310">
        <v>17839</v>
      </c>
      <c r="B1394" s="311" t="s">
        <v>11</v>
      </c>
      <c r="C1394" s="310" t="s">
        <v>12</v>
      </c>
    </row>
    <row r="1395" spans="1:3" ht="15" x14ac:dyDescent="0.2">
      <c r="A1395" s="310">
        <v>17840</v>
      </c>
      <c r="B1395" s="311" t="s">
        <v>11</v>
      </c>
      <c r="C1395" s="310" t="s">
        <v>12</v>
      </c>
    </row>
    <row r="1396" spans="1:3" ht="15" x14ac:dyDescent="0.2">
      <c r="A1396" s="310">
        <v>17841</v>
      </c>
      <c r="B1396" s="311" t="s">
        <v>11</v>
      </c>
      <c r="C1396" s="310" t="s">
        <v>12</v>
      </c>
    </row>
    <row r="1397" spans="1:3" ht="15" x14ac:dyDescent="0.2">
      <c r="A1397" s="310">
        <v>17842</v>
      </c>
      <c r="B1397" s="311" t="s">
        <v>11</v>
      </c>
      <c r="C1397" s="310" t="s">
        <v>12</v>
      </c>
    </row>
    <row r="1398" spans="1:3" ht="15" x14ac:dyDescent="0.2">
      <c r="A1398" s="310">
        <v>17843</v>
      </c>
      <c r="B1398" s="311" t="s">
        <v>11</v>
      </c>
      <c r="C1398" s="310" t="s">
        <v>12</v>
      </c>
    </row>
    <row r="1399" spans="1:3" ht="15" x14ac:dyDescent="0.2">
      <c r="A1399" s="310">
        <v>17844</v>
      </c>
      <c r="B1399" s="311" t="s">
        <v>11</v>
      </c>
      <c r="C1399" s="310" t="s">
        <v>12</v>
      </c>
    </row>
    <row r="1400" spans="1:3" ht="15" x14ac:dyDescent="0.2">
      <c r="A1400" s="310">
        <v>17845</v>
      </c>
      <c r="B1400" s="311" t="s">
        <v>11</v>
      </c>
      <c r="C1400" s="310" t="s">
        <v>12</v>
      </c>
    </row>
    <row r="1401" spans="1:3" ht="15" x14ac:dyDescent="0.2">
      <c r="A1401" s="310">
        <v>17846</v>
      </c>
      <c r="B1401" s="311" t="s">
        <v>11</v>
      </c>
      <c r="C1401" s="310" t="s">
        <v>12</v>
      </c>
    </row>
    <row r="1402" spans="1:3" ht="15" x14ac:dyDescent="0.2">
      <c r="A1402" s="310">
        <v>17847</v>
      </c>
      <c r="B1402" s="311" t="s">
        <v>11</v>
      </c>
      <c r="C1402" s="310" t="s">
        <v>12</v>
      </c>
    </row>
    <row r="1403" spans="1:3" ht="15" x14ac:dyDescent="0.2">
      <c r="A1403" s="310">
        <v>17850</v>
      </c>
      <c r="B1403" s="311" t="s">
        <v>11</v>
      </c>
      <c r="C1403" s="310" t="s">
        <v>12</v>
      </c>
    </row>
    <row r="1404" spans="1:3" ht="15" x14ac:dyDescent="0.2">
      <c r="A1404" s="310">
        <v>17851</v>
      </c>
      <c r="B1404" s="311" t="s">
        <v>11</v>
      </c>
      <c r="C1404" s="310" t="s">
        <v>12</v>
      </c>
    </row>
    <row r="1405" spans="1:3" ht="15" x14ac:dyDescent="0.2">
      <c r="A1405" s="310">
        <v>17853</v>
      </c>
      <c r="B1405" s="311" t="s">
        <v>11</v>
      </c>
      <c r="C1405" s="310" t="s">
        <v>12</v>
      </c>
    </row>
    <row r="1406" spans="1:3" ht="15" x14ac:dyDescent="0.2">
      <c r="A1406" s="310">
        <v>17855</v>
      </c>
      <c r="B1406" s="311" t="s">
        <v>11</v>
      </c>
      <c r="C1406" s="310" t="s">
        <v>12</v>
      </c>
    </row>
    <row r="1407" spans="1:3" ht="15" x14ac:dyDescent="0.2">
      <c r="A1407" s="310">
        <v>17856</v>
      </c>
      <c r="B1407" s="311" t="s">
        <v>11</v>
      </c>
      <c r="C1407" s="310" t="s">
        <v>12</v>
      </c>
    </row>
    <row r="1408" spans="1:3" ht="15" x14ac:dyDescent="0.2">
      <c r="A1408" s="310">
        <v>17857</v>
      </c>
      <c r="B1408" s="311" t="s">
        <v>11</v>
      </c>
      <c r="C1408" s="310" t="s">
        <v>12</v>
      </c>
    </row>
    <row r="1409" spans="1:3" ht="15" x14ac:dyDescent="0.2">
      <c r="A1409" s="310">
        <v>17858</v>
      </c>
      <c r="B1409" s="311" t="s">
        <v>11</v>
      </c>
      <c r="C1409" s="310" t="s">
        <v>12</v>
      </c>
    </row>
    <row r="1410" spans="1:3" ht="15" x14ac:dyDescent="0.2">
      <c r="A1410" s="310">
        <v>17859</v>
      </c>
      <c r="B1410" s="311" t="s">
        <v>11</v>
      </c>
      <c r="C1410" s="310" t="s">
        <v>12</v>
      </c>
    </row>
    <row r="1411" spans="1:3" ht="15" x14ac:dyDescent="0.2">
      <c r="A1411" s="310">
        <v>17860</v>
      </c>
      <c r="B1411" s="311" t="s">
        <v>11</v>
      </c>
      <c r="C1411" s="310" t="s">
        <v>12</v>
      </c>
    </row>
    <row r="1412" spans="1:3" ht="15" x14ac:dyDescent="0.2">
      <c r="A1412" s="310">
        <v>17861</v>
      </c>
      <c r="B1412" s="311" t="s">
        <v>11</v>
      </c>
      <c r="C1412" s="310" t="s">
        <v>12</v>
      </c>
    </row>
    <row r="1413" spans="1:3" ht="15" x14ac:dyDescent="0.2">
      <c r="A1413" s="310">
        <v>17862</v>
      </c>
      <c r="B1413" s="311" t="s">
        <v>11</v>
      </c>
      <c r="C1413" s="310" t="s">
        <v>12</v>
      </c>
    </row>
    <row r="1414" spans="1:3" ht="15" x14ac:dyDescent="0.2">
      <c r="A1414" s="310">
        <v>17864</v>
      </c>
      <c r="B1414" s="311" t="s">
        <v>11</v>
      </c>
      <c r="C1414" s="310" t="s">
        <v>12</v>
      </c>
    </row>
    <row r="1415" spans="1:3" ht="15" x14ac:dyDescent="0.2">
      <c r="A1415" s="310">
        <v>17865</v>
      </c>
      <c r="B1415" s="311" t="s">
        <v>11</v>
      </c>
      <c r="C1415" s="310" t="s">
        <v>12</v>
      </c>
    </row>
    <row r="1416" spans="1:3" ht="15" x14ac:dyDescent="0.2">
      <c r="A1416" s="310">
        <v>17866</v>
      </c>
      <c r="B1416" s="311" t="s">
        <v>11</v>
      </c>
      <c r="C1416" s="310" t="s">
        <v>12</v>
      </c>
    </row>
    <row r="1417" spans="1:3" ht="15" x14ac:dyDescent="0.2">
      <c r="A1417" s="310">
        <v>17867</v>
      </c>
      <c r="B1417" s="311" t="s">
        <v>11</v>
      </c>
      <c r="C1417" s="310" t="s">
        <v>12</v>
      </c>
    </row>
    <row r="1418" spans="1:3" ht="15" x14ac:dyDescent="0.2">
      <c r="A1418" s="310">
        <v>17868</v>
      </c>
      <c r="B1418" s="311" t="s">
        <v>11</v>
      </c>
      <c r="C1418" s="310" t="s">
        <v>12</v>
      </c>
    </row>
    <row r="1419" spans="1:3" ht="15" x14ac:dyDescent="0.2">
      <c r="A1419" s="310">
        <v>17870</v>
      </c>
      <c r="B1419" s="311" t="s">
        <v>11</v>
      </c>
      <c r="C1419" s="310" t="s">
        <v>12</v>
      </c>
    </row>
    <row r="1420" spans="1:3" ht="15" x14ac:dyDescent="0.2">
      <c r="A1420" s="310">
        <v>17872</v>
      </c>
      <c r="B1420" s="311" t="s">
        <v>11</v>
      </c>
      <c r="C1420" s="310" t="s">
        <v>12</v>
      </c>
    </row>
    <row r="1421" spans="1:3" ht="15" x14ac:dyDescent="0.2">
      <c r="A1421" s="310">
        <v>17876</v>
      </c>
      <c r="B1421" s="311" t="s">
        <v>11</v>
      </c>
      <c r="C1421" s="310" t="s">
        <v>12</v>
      </c>
    </row>
    <row r="1422" spans="1:3" ht="15" x14ac:dyDescent="0.2">
      <c r="A1422" s="310">
        <v>17877</v>
      </c>
      <c r="B1422" s="311" t="s">
        <v>11</v>
      </c>
      <c r="C1422" s="310" t="s">
        <v>12</v>
      </c>
    </row>
    <row r="1423" spans="1:3" ht="15" x14ac:dyDescent="0.2">
      <c r="A1423" s="310">
        <v>17878</v>
      </c>
      <c r="B1423" s="311" t="s">
        <v>11</v>
      </c>
      <c r="C1423" s="310" t="s">
        <v>12</v>
      </c>
    </row>
    <row r="1424" spans="1:3" ht="15" x14ac:dyDescent="0.2">
      <c r="A1424" s="310">
        <v>17880</v>
      </c>
      <c r="B1424" s="311" t="s">
        <v>11</v>
      </c>
      <c r="C1424" s="310" t="s">
        <v>12</v>
      </c>
    </row>
    <row r="1425" spans="1:3" ht="15" x14ac:dyDescent="0.2">
      <c r="A1425" s="310">
        <v>17881</v>
      </c>
      <c r="B1425" s="311" t="s">
        <v>11</v>
      </c>
      <c r="C1425" s="310" t="s">
        <v>12</v>
      </c>
    </row>
    <row r="1426" spans="1:3" ht="15" x14ac:dyDescent="0.2">
      <c r="A1426" s="310">
        <v>17882</v>
      </c>
      <c r="B1426" s="311" t="s">
        <v>11</v>
      </c>
      <c r="C1426" s="310" t="s">
        <v>12</v>
      </c>
    </row>
    <row r="1427" spans="1:3" ht="15" x14ac:dyDescent="0.2">
      <c r="A1427" s="310">
        <v>17883</v>
      </c>
      <c r="B1427" s="311" t="s">
        <v>11</v>
      </c>
      <c r="C1427" s="310" t="s">
        <v>12</v>
      </c>
    </row>
    <row r="1428" spans="1:3" ht="15" x14ac:dyDescent="0.2">
      <c r="A1428" s="310">
        <v>17884</v>
      </c>
      <c r="B1428" s="311" t="s">
        <v>11</v>
      </c>
      <c r="C1428" s="310" t="s">
        <v>12</v>
      </c>
    </row>
    <row r="1429" spans="1:3" ht="15" x14ac:dyDescent="0.2">
      <c r="A1429" s="310">
        <v>17885</v>
      </c>
      <c r="B1429" s="311" t="s">
        <v>11</v>
      </c>
      <c r="C1429" s="310" t="s">
        <v>12</v>
      </c>
    </row>
    <row r="1430" spans="1:3" ht="15" x14ac:dyDescent="0.2">
      <c r="A1430" s="310">
        <v>17886</v>
      </c>
      <c r="B1430" s="311" t="s">
        <v>11</v>
      </c>
      <c r="C1430" s="310" t="s">
        <v>12</v>
      </c>
    </row>
    <row r="1431" spans="1:3" ht="15" x14ac:dyDescent="0.2">
      <c r="A1431" s="310">
        <v>17887</v>
      </c>
      <c r="B1431" s="311" t="s">
        <v>11</v>
      </c>
      <c r="C1431" s="310" t="s">
        <v>12</v>
      </c>
    </row>
    <row r="1432" spans="1:3" ht="15" x14ac:dyDescent="0.2">
      <c r="A1432" s="310">
        <v>17888</v>
      </c>
      <c r="B1432" s="311" t="s">
        <v>11</v>
      </c>
      <c r="C1432" s="310" t="s">
        <v>12</v>
      </c>
    </row>
    <row r="1433" spans="1:3" ht="15" x14ac:dyDescent="0.2">
      <c r="A1433" s="310">
        <v>17889</v>
      </c>
      <c r="B1433" s="311" t="s">
        <v>11</v>
      </c>
      <c r="C1433" s="310" t="s">
        <v>12</v>
      </c>
    </row>
    <row r="1434" spans="1:3" ht="15" x14ac:dyDescent="0.2">
      <c r="A1434" s="310">
        <v>17901</v>
      </c>
      <c r="B1434" s="311" t="s">
        <v>17</v>
      </c>
      <c r="C1434" s="310" t="s">
        <v>18</v>
      </c>
    </row>
    <row r="1435" spans="1:3" ht="15" x14ac:dyDescent="0.2">
      <c r="A1435" s="310">
        <v>17920</v>
      </c>
      <c r="B1435" s="311" t="s">
        <v>11</v>
      </c>
      <c r="C1435" s="310" t="s">
        <v>12</v>
      </c>
    </row>
    <row r="1436" spans="1:3" ht="15" x14ac:dyDescent="0.2">
      <c r="A1436" s="310">
        <v>17921</v>
      </c>
      <c r="B1436" s="311" t="s">
        <v>17</v>
      </c>
      <c r="C1436" s="310" t="s">
        <v>18</v>
      </c>
    </row>
    <row r="1437" spans="1:3" ht="15" x14ac:dyDescent="0.2">
      <c r="A1437" s="310">
        <v>17922</v>
      </c>
      <c r="B1437" s="311" t="s">
        <v>17</v>
      </c>
      <c r="C1437" s="310" t="s">
        <v>18</v>
      </c>
    </row>
    <row r="1438" spans="1:3" ht="15" x14ac:dyDescent="0.2">
      <c r="A1438" s="310">
        <v>17923</v>
      </c>
      <c r="B1438" s="311" t="s">
        <v>17</v>
      </c>
      <c r="C1438" s="310" t="s">
        <v>18</v>
      </c>
    </row>
    <row r="1439" spans="1:3" ht="15" x14ac:dyDescent="0.2">
      <c r="A1439" s="310">
        <v>17925</v>
      </c>
      <c r="B1439" s="311" t="s">
        <v>17</v>
      </c>
      <c r="C1439" s="310" t="s">
        <v>18</v>
      </c>
    </row>
    <row r="1440" spans="1:3" ht="15" x14ac:dyDescent="0.2">
      <c r="A1440" s="310">
        <v>17929</v>
      </c>
      <c r="B1440" s="311" t="s">
        <v>17</v>
      </c>
      <c r="C1440" s="310" t="s">
        <v>18</v>
      </c>
    </row>
    <row r="1441" spans="1:3" ht="15" x14ac:dyDescent="0.2">
      <c r="A1441" s="310">
        <v>17930</v>
      </c>
      <c r="B1441" s="311" t="s">
        <v>17</v>
      </c>
      <c r="C1441" s="310" t="s">
        <v>18</v>
      </c>
    </row>
    <row r="1442" spans="1:3" ht="15" x14ac:dyDescent="0.2">
      <c r="A1442" s="310">
        <v>17931</v>
      </c>
      <c r="B1442" s="311" t="s">
        <v>17</v>
      </c>
      <c r="C1442" s="310" t="s">
        <v>18</v>
      </c>
    </row>
    <row r="1443" spans="1:3" ht="15" x14ac:dyDescent="0.2">
      <c r="A1443" s="310">
        <v>17932</v>
      </c>
      <c r="B1443" s="311" t="s">
        <v>17</v>
      </c>
      <c r="C1443" s="310" t="s">
        <v>18</v>
      </c>
    </row>
    <row r="1444" spans="1:3" ht="15" x14ac:dyDescent="0.2">
      <c r="A1444" s="310">
        <v>17933</v>
      </c>
      <c r="B1444" s="311" t="s">
        <v>17</v>
      </c>
      <c r="C1444" s="310" t="s">
        <v>18</v>
      </c>
    </row>
    <row r="1445" spans="1:3" ht="15" x14ac:dyDescent="0.2">
      <c r="A1445" s="310">
        <v>17934</v>
      </c>
      <c r="B1445" s="311" t="s">
        <v>17</v>
      </c>
      <c r="C1445" s="310" t="s">
        <v>18</v>
      </c>
    </row>
    <row r="1446" spans="1:3" ht="15" x14ac:dyDescent="0.2">
      <c r="A1446" s="310">
        <v>17935</v>
      </c>
      <c r="B1446" s="311" t="s">
        <v>17</v>
      </c>
      <c r="C1446" s="310" t="s">
        <v>18</v>
      </c>
    </row>
    <row r="1447" spans="1:3" ht="15" x14ac:dyDescent="0.2">
      <c r="A1447" s="310">
        <v>17936</v>
      </c>
      <c r="B1447" s="311" t="s">
        <v>17</v>
      </c>
      <c r="C1447" s="310" t="s">
        <v>18</v>
      </c>
    </row>
    <row r="1448" spans="1:3" ht="15" x14ac:dyDescent="0.2">
      <c r="A1448" s="310">
        <v>17938</v>
      </c>
      <c r="B1448" s="311" t="s">
        <v>17</v>
      </c>
      <c r="C1448" s="310" t="s">
        <v>18</v>
      </c>
    </row>
    <row r="1449" spans="1:3" ht="15" x14ac:dyDescent="0.2">
      <c r="A1449" s="310">
        <v>17941</v>
      </c>
      <c r="B1449" s="311" t="s">
        <v>17</v>
      </c>
      <c r="C1449" s="310" t="s">
        <v>18</v>
      </c>
    </row>
    <row r="1450" spans="1:3" ht="15" x14ac:dyDescent="0.2">
      <c r="A1450" s="310">
        <v>17942</v>
      </c>
      <c r="B1450" s="311" t="s">
        <v>17</v>
      </c>
      <c r="C1450" s="310" t="s">
        <v>18</v>
      </c>
    </row>
    <row r="1451" spans="1:3" ht="15" x14ac:dyDescent="0.2">
      <c r="A1451" s="310">
        <v>17943</v>
      </c>
      <c r="B1451" s="311" t="s">
        <v>17</v>
      </c>
      <c r="C1451" s="310" t="s">
        <v>18</v>
      </c>
    </row>
    <row r="1452" spans="1:3" ht="15" x14ac:dyDescent="0.2">
      <c r="A1452" s="310">
        <v>17944</v>
      </c>
      <c r="B1452" s="311" t="s">
        <v>17</v>
      </c>
      <c r="C1452" s="310" t="s">
        <v>18</v>
      </c>
    </row>
    <row r="1453" spans="1:3" ht="15" x14ac:dyDescent="0.2">
      <c r="A1453" s="310">
        <v>17945</v>
      </c>
      <c r="B1453" s="311" t="s">
        <v>11</v>
      </c>
      <c r="C1453" s="310" t="s">
        <v>12</v>
      </c>
    </row>
    <row r="1454" spans="1:3" ht="15" x14ac:dyDescent="0.2">
      <c r="A1454" s="310">
        <v>17946</v>
      </c>
      <c r="B1454" s="311" t="s">
        <v>17</v>
      </c>
      <c r="C1454" s="310" t="s">
        <v>18</v>
      </c>
    </row>
    <row r="1455" spans="1:3" ht="15" x14ac:dyDescent="0.2">
      <c r="A1455" s="310">
        <v>17948</v>
      </c>
      <c r="B1455" s="311" t="s">
        <v>17</v>
      </c>
      <c r="C1455" s="310" t="s">
        <v>18</v>
      </c>
    </row>
    <row r="1456" spans="1:3" ht="15" x14ac:dyDescent="0.2">
      <c r="A1456" s="310">
        <v>17949</v>
      </c>
      <c r="B1456" s="311" t="s">
        <v>17</v>
      </c>
      <c r="C1456" s="310" t="s">
        <v>18</v>
      </c>
    </row>
    <row r="1457" spans="1:3" ht="15" x14ac:dyDescent="0.2">
      <c r="A1457" s="310">
        <v>17951</v>
      </c>
      <c r="B1457" s="311" t="s">
        <v>17</v>
      </c>
      <c r="C1457" s="310" t="s">
        <v>18</v>
      </c>
    </row>
    <row r="1458" spans="1:3" ht="15" x14ac:dyDescent="0.2">
      <c r="A1458" s="310">
        <v>17952</v>
      </c>
      <c r="B1458" s="311" t="s">
        <v>17</v>
      </c>
      <c r="C1458" s="310" t="s">
        <v>18</v>
      </c>
    </row>
    <row r="1459" spans="1:3" ht="15" x14ac:dyDescent="0.2">
      <c r="A1459" s="310">
        <v>17953</v>
      </c>
      <c r="B1459" s="311" t="s">
        <v>17</v>
      </c>
      <c r="C1459" s="310" t="s">
        <v>18</v>
      </c>
    </row>
    <row r="1460" spans="1:3" ht="15" x14ac:dyDescent="0.2">
      <c r="A1460" s="310">
        <v>17954</v>
      </c>
      <c r="B1460" s="311" t="s">
        <v>17</v>
      </c>
      <c r="C1460" s="310" t="s">
        <v>18</v>
      </c>
    </row>
    <row r="1461" spans="1:3" ht="15" x14ac:dyDescent="0.2">
      <c r="A1461" s="310">
        <v>17957</v>
      </c>
      <c r="B1461" s="311" t="s">
        <v>17</v>
      </c>
      <c r="C1461" s="310" t="s">
        <v>18</v>
      </c>
    </row>
    <row r="1462" spans="1:3" ht="15" x14ac:dyDescent="0.2">
      <c r="A1462" s="310">
        <v>17959</v>
      </c>
      <c r="B1462" s="311" t="s">
        <v>17</v>
      </c>
      <c r="C1462" s="310" t="s">
        <v>18</v>
      </c>
    </row>
    <row r="1463" spans="1:3" ht="15" x14ac:dyDescent="0.2">
      <c r="A1463" s="310">
        <v>17960</v>
      </c>
      <c r="B1463" s="311" t="s">
        <v>17</v>
      </c>
      <c r="C1463" s="310" t="s">
        <v>18</v>
      </c>
    </row>
    <row r="1464" spans="1:3" ht="15" x14ac:dyDescent="0.2">
      <c r="A1464" s="310">
        <v>17961</v>
      </c>
      <c r="B1464" s="311" t="s">
        <v>17</v>
      </c>
      <c r="C1464" s="310" t="s">
        <v>18</v>
      </c>
    </row>
    <row r="1465" spans="1:3" ht="15" x14ac:dyDescent="0.2">
      <c r="A1465" s="310">
        <v>17963</v>
      </c>
      <c r="B1465" s="311" t="s">
        <v>17</v>
      </c>
      <c r="C1465" s="310" t="s">
        <v>18</v>
      </c>
    </row>
    <row r="1466" spans="1:3" ht="15" x14ac:dyDescent="0.2">
      <c r="A1466" s="310">
        <v>17964</v>
      </c>
      <c r="B1466" s="311" t="s">
        <v>17</v>
      </c>
      <c r="C1466" s="310" t="s">
        <v>18</v>
      </c>
    </row>
    <row r="1467" spans="1:3" ht="15" x14ac:dyDescent="0.2">
      <c r="A1467" s="310">
        <v>17965</v>
      </c>
      <c r="B1467" s="311" t="s">
        <v>17</v>
      </c>
      <c r="C1467" s="310" t="s">
        <v>18</v>
      </c>
    </row>
    <row r="1468" spans="1:3" ht="15" x14ac:dyDescent="0.2">
      <c r="A1468" s="310">
        <v>17966</v>
      </c>
      <c r="B1468" s="311" t="s">
        <v>17</v>
      </c>
      <c r="C1468" s="310" t="s">
        <v>18</v>
      </c>
    </row>
    <row r="1469" spans="1:3" ht="15" x14ac:dyDescent="0.2">
      <c r="A1469" s="310">
        <v>17967</v>
      </c>
      <c r="B1469" s="311" t="s">
        <v>17</v>
      </c>
      <c r="C1469" s="310" t="s">
        <v>18</v>
      </c>
    </row>
    <row r="1470" spans="1:3" ht="15" x14ac:dyDescent="0.2">
      <c r="A1470" s="310">
        <v>17968</v>
      </c>
      <c r="B1470" s="311" t="s">
        <v>17</v>
      </c>
      <c r="C1470" s="310" t="s">
        <v>18</v>
      </c>
    </row>
    <row r="1471" spans="1:3" ht="15" x14ac:dyDescent="0.2">
      <c r="A1471" s="310">
        <v>17970</v>
      </c>
      <c r="B1471" s="311" t="s">
        <v>17</v>
      </c>
      <c r="C1471" s="310" t="s">
        <v>18</v>
      </c>
    </row>
    <row r="1472" spans="1:3" ht="15" x14ac:dyDescent="0.2">
      <c r="A1472" s="310">
        <v>17972</v>
      </c>
      <c r="B1472" s="311" t="s">
        <v>17</v>
      </c>
      <c r="C1472" s="310" t="s">
        <v>18</v>
      </c>
    </row>
    <row r="1473" spans="1:3" ht="15" x14ac:dyDescent="0.2">
      <c r="A1473" s="310">
        <v>17974</v>
      </c>
      <c r="B1473" s="311" t="s">
        <v>17</v>
      </c>
      <c r="C1473" s="310" t="s">
        <v>18</v>
      </c>
    </row>
    <row r="1474" spans="1:3" ht="15" x14ac:dyDescent="0.2">
      <c r="A1474" s="310">
        <v>17976</v>
      </c>
      <c r="B1474" s="311" t="s">
        <v>17</v>
      </c>
      <c r="C1474" s="310" t="s">
        <v>18</v>
      </c>
    </row>
    <row r="1475" spans="1:3" ht="15" x14ac:dyDescent="0.2">
      <c r="A1475" s="310">
        <v>17978</v>
      </c>
      <c r="B1475" s="311" t="s">
        <v>17</v>
      </c>
      <c r="C1475" s="310" t="s">
        <v>18</v>
      </c>
    </row>
    <row r="1476" spans="1:3" ht="15" x14ac:dyDescent="0.2">
      <c r="A1476" s="310">
        <v>17979</v>
      </c>
      <c r="B1476" s="311" t="s">
        <v>17</v>
      </c>
      <c r="C1476" s="310" t="s">
        <v>18</v>
      </c>
    </row>
    <row r="1477" spans="1:3" ht="15" x14ac:dyDescent="0.2">
      <c r="A1477" s="310">
        <v>17980</v>
      </c>
      <c r="B1477" s="311" t="s">
        <v>17</v>
      </c>
      <c r="C1477" s="310" t="s">
        <v>18</v>
      </c>
    </row>
    <row r="1478" spans="1:3" ht="15" x14ac:dyDescent="0.2">
      <c r="A1478" s="310">
        <v>17981</v>
      </c>
      <c r="B1478" s="311" t="s">
        <v>17</v>
      </c>
      <c r="C1478" s="310" t="s">
        <v>18</v>
      </c>
    </row>
    <row r="1479" spans="1:3" ht="15" x14ac:dyDescent="0.2">
      <c r="A1479" s="310">
        <v>17982</v>
      </c>
      <c r="B1479" s="311" t="s">
        <v>17</v>
      </c>
      <c r="C1479" s="310" t="s">
        <v>18</v>
      </c>
    </row>
    <row r="1480" spans="1:3" ht="15" x14ac:dyDescent="0.2">
      <c r="A1480" s="310">
        <v>17983</v>
      </c>
      <c r="B1480" s="311" t="s">
        <v>17</v>
      </c>
      <c r="C1480" s="310" t="s">
        <v>18</v>
      </c>
    </row>
    <row r="1481" spans="1:3" ht="15" x14ac:dyDescent="0.2">
      <c r="A1481" s="310">
        <v>17985</v>
      </c>
      <c r="B1481" s="311" t="s">
        <v>17</v>
      </c>
      <c r="C1481" s="310" t="s">
        <v>18</v>
      </c>
    </row>
    <row r="1482" spans="1:3" ht="15" x14ac:dyDescent="0.2">
      <c r="A1482" s="310">
        <v>18001</v>
      </c>
      <c r="B1482" s="311" t="s">
        <v>17</v>
      </c>
      <c r="C1482" s="310" t="s">
        <v>18</v>
      </c>
    </row>
    <row r="1483" spans="1:3" ht="15" x14ac:dyDescent="0.2">
      <c r="A1483" s="310">
        <v>18002</v>
      </c>
      <c r="B1483" s="311" t="s">
        <v>17</v>
      </c>
      <c r="C1483" s="310" t="s">
        <v>18</v>
      </c>
    </row>
    <row r="1484" spans="1:3" ht="15" x14ac:dyDescent="0.2">
      <c r="A1484" s="310">
        <v>18003</v>
      </c>
      <c r="B1484" s="311" t="s">
        <v>17</v>
      </c>
      <c r="C1484" s="310" t="s">
        <v>18</v>
      </c>
    </row>
    <row r="1485" spans="1:3" ht="15" x14ac:dyDescent="0.2">
      <c r="A1485" s="310">
        <v>18010</v>
      </c>
      <c r="B1485" s="311" t="s">
        <v>17</v>
      </c>
      <c r="C1485" s="310" t="s">
        <v>18</v>
      </c>
    </row>
    <row r="1486" spans="1:3" ht="15" x14ac:dyDescent="0.2">
      <c r="A1486" s="310">
        <v>18011</v>
      </c>
      <c r="B1486" s="311" t="s">
        <v>17</v>
      </c>
      <c r="C1486" s="310" t="s">
        <v>18</v>
      </c>
    </row>
    <row r="1487" spans="1:3" ht="15" x14ac:dyDescent="0.2">
      <c r="A1487" s="310">
        <v>18012</v>
      </c>
      <c r="B1487" s="311" t="s">
        <v>17</v>
      </c>
      <c r="C1487" s="310" t="s">
        <v>18</v>
      </c>
    </row>
    <row r="1488" spans="1:3" ht="15" x14ac:dyDescent="0.2">
      <c r="A1488" s="310">
        <v>18013</v>
      </c>
      <c r="B1488" s="311" t="s">
        <v>17</v>
      </c>
      <c r="C1488" s="310" t="s">
        <v>18</v>
      </c>
    </row>
    <row r="1489" spans="1:3" ht="15" x14ac:dyDescent="0.2">
      <c r="A1489" s="310">
        <v>18014</v>
      </c>
      <c r="B1489" s="311" t="s">
        <v>17</v>
      </c>
      <c r="C1489" s="310" t="s">
        <v>18</v>
      </c>
    </row>
    <row r="1490" spans="1:3" ht="15" x14ac:dyDescent="0.2">
      <c r="A1490" s="310">
        <v>18015</v>
      </c>
      <c r="B1490" s="311" t="s">
        <v>17</v>
      </c>
      <c r="C1490" s="310" t="s">
        <v>18</v>
      </c>
    </row>
    <row r="1491" spans="1:3" ht="15" x14ac:dyDescent="0.2">
      <c r="A1491" s="310">
        <v>18016</v>
      </c>
      <c r="B1491" s="311" t="s">
        <v>17</v>
      </c>
      <c r="C1491" s="310" t="s">
        <v>18</v>
      </c>
    </row>
    <row r="1492" spans="1:3" ht="15" x14ac:dyDescent="0.2">
      <c r="A1492" s="310">
        <v>18017</v>
      </c>
      <c r="B1492" s="311" t="s">
        <v>17</v>
      </c>
      <c r="C1492" s="310" t="s">
        <v>18</v>
      </c>
    </row>
    <row r="1493" spans="1:3" ht="15" x14ac:dyDescent="0.2">
      <c r="A1493" s="310">
        <v>18018</v>
      </c>
      <c r="B1493" s="311" t="s">
        <v>17</v>
      </c>
      <c r="C1493" s="310" t="s">
        <v>18</v>
      </c>
    </row>
    <row r="1494" spans="1:3" ht="15" x14ac:dyDescent="0.2">
      <c r="A1494" s="310">
        <v>18020</v>
      </c>
      <c r="B1494" s="311" t="s">
        <v>17</v>
      </c>
      <c r="C1494" s="310" t="s">
        <v>18</v>
      </c>
    </row>
    <row r="1495" spans="1:3" ht="15" x14ac:dyDescent="0.2">
      <c r="A1495" s="310">
        <v>18025</v>
      </c>
      <c r="B1495" s="311" t="s">
        <v>17</v>
      </c>
      <c r="C1495" s="310" t="s">
        <v>18</v>
      </c>
    </row>
    <row r="1496" spans="1:3" ht="15" x14ac:dyDescent="0.2">
      <c r="A1496" s="310">
        <v>18030</v>
      </c>
      <c r="B1496" s="311" t="s">
        <v>17</v>
      </c>
      <c r="C1496" s="310" t="s">
        <v>18</v>
      </c>
    </row>
    <row r="1497" spans="1:3" ht="15" x14ac:dyDescent="0.2">
      <c r="A1497" s="310">
        <v>18031</v>
      </c>
      <c r="B1497" s="311" t="s">
        <v>17</v>
      </c>
      <c r="C1497" s="310" t="s">
        <v>18</v>
      </c>
    </row>
    <row r="1498" spans="1:3" ht="15" x14ac:dyDescent="0.2">
      <c r="A1498" s="310">
        <v>18032</v>
      </c>
      <c r="B1498" s="311" t="s">
        <v>17</v>
      </c>
      <c r="C1498" s="310" t="s">
        <v>18</v>
      </c>
    </row>
    <row r="1499" spans="1:3" ht="15" x14ac:dyDescent="0.2">
      <c r="A1499" s="310">
        <v>18034</v>
      </c>
      <c r="B1499" s="311" t="s">
        <v>17</v>
      </c>
      <c r="C1499" s="310" t="s">
        <v>18</v>
      </c>
    </row>
    <row r="1500" spans="1:3" ht="15" x14ac:dyDescent="0.2">
      <c r="A1500" s="310">
        <v>18035</v>
      </c>
      <c r="B1500" s="311" t="s">
        <v>17</v>
      </c>
      <c r="C1500" s="310" t="s">
        <v>18</v>
      </c>
    </row>
    <row r="1501" spans="1:3" ht="15" x14ac:dyDescent="0.2">
      <c r="A1501" s="310">
        <v>18036</v>
      </c>
      <c r="B1501" s="311" t="s">
        <v>17</v>
      </c>
      <c r="C1501" s="310" t="s">
        <v>18</v>
      </c>
    </row>
    <row r="1502" spans="1:3" ht="15" x14ac:dyDescent="0.2">
      <c r="A1502" s="310">
        <v>18037</v>
      </c>
      <c r="B1502" s="311" t="s">
        <v>17</v>
      </c>
      <c r="C1502" s="310" t="s">
        <v>18</v>
      </c>
    </row>
    <row r="1503" spans="1:3" ht="15" x14ac:dyDescent="0.2">
      <c r="A1503" s="310">
        <v>18038</v>
      </c>
      <c r="B1503" s="311" t="s">
        <v>17</v>
      </c>
      <c r="C1503" s="310" t="s">
        <v>18</v>
      </c>
    </row>
    <row r="1504" spans="1:3" ht="15" x14ac:dyDescent="0.2">
      <c r="A1504" s="310">
        <v>18039</v>
      </c>
      <c r="B1504" s="311" t="s">
        <v>15</v>
      </c>
      <c r="C1504" s="310" t="s">
        <v>16</v>
      </c>
    </row>
    <row r="1505" spans="1:3" ht="15" x14ac:dyDescent="0.2">
      <c r="A1505" s="310">
        <v>18040</v>
      </c>
      <c r="B1505" s="311" t="s">
        <v>17</v>
      </c>
      <c r="C1505" s="310" t="s">
        <v>18</v>
      </c>
    </row>
    <row r="1506" spans="1:3" ht="15" x14ac:dyDescent="0.2">
      <c r="A1506" s="310">
        <v>18041</v>
      </c>
      <c r="B1506" s="311" t="s">
        <v>15</v>
      </c>
      <c r="C1506" s="310" t="s">
        <v>16</v>
      </c>
    </row>
    <row r="1507" spans="1:3" ht="15" x14ac:dyDescent="0.2">
      <c r="A1507" s="310">
        <v>18042</v>
      </c>
      <c r="B1507" s="311" t="s">
        <v>17</v>
      </c>
      <c r="C1507" s="310" t="s">
        <v>18</v>
      </c>
    </row>
    <row r="1508" spans="1:3" ht="15" x14ac:dyDescent="0.2">
      <c r="A1508" s="310">
        <v>18043</v>
      </c>
      <c r="B1508" s="311" t="s">
        <v>17</v>
      </c>
      <c r="C1508" s="310" t="s">
        <v>18</v>
      </c>
    </row>
    <row r="1509" spans="1:3" ht="15" x14ac:dyDescent="0.2">
      <c r="A1509" s="310">
        <v>18044</v>
      </c>
      <c r="B1509" s="311" t="s">
        <v>17</v>
      </c>
      <c r="C1509" s="310" t="s">
        <v>18</v>
      </c>
    </row>
    <row r="1510" spans="1:3" ht="15" x14ac:dyDescent="0.2">
      <c r="A1510" s="310">
        <v>18045</v>
      </c>
      <c r="B1510" s="311" t="s">
        <v>17</v>
      </c>
      <c r="C1510" s="310" t="s">
        <v>18</v>
      </c>
    </row>
    <row r="1511" spans="1:3" ht="15" x14ac:dyDescent="0.2">
      <c r="A1511" s="310">
        <v>18046</v>
      </c>
      <c r="B1511" s="311" t="s">
        <v>17</v>
      </c>
      <c r="C1511" s="310" t="s">
        <v>18</v>
      </c>
    </row>
    <row r="1512" spans="1:3" ht="15" x14ac:dyDescent="0.2">
      <c r="A1512" s="310">
        <v>18049</v>
      </c>
      <c r="B1512" s="311" t="s">
        <v>17</v>
      </c>
      <c r="C1512" s="310" t="s">
        <v>18</v>
      </c>
    </row>
    <row r="1513" spans="1:3" ht="15" x14ac:dyDescent="0.2">
      <c r="A1513" s="310">
        <v>18050</v>
      </c>
      <c r="B1513" s="311" t="s">
        <v>17</v>
      </c>
      <c r="C1513" s="310" t="s">
        <v>18</v>
      </c>
    </row>
    <row r="1514" spans="1:3" ht="15" x14ac:dyDescent="0.2">
      <c r="A1514" s="310">
        <v>18051</v>
      </c>
      <c r="B1514" s="311" t="s">
        <v>17</v>
      </c>
      <c r="C1514" s="310" t="s">
        <v>18</v>
      </c>
    </row>
    <row r="1515" spans="1:3" ht="15" x14ac:dyDescent="0.2">
      <c r="A1515" s="310">
        <v>18052</v>
      </c>
      <c r="B1515" s="311" t="s">
        <v>17</v>
      </c>
      <c r="C1515" s="310" t="s">
        <v>18</v>
      </c>
    </row>
    <row r="1516" spans="1:3" ht="15" x14ac:dyDescent="0.2">
      <c r="A1516" s="310">
        <v>18053</v>
      </c>
      <c r="B1516" s="311" t="s">
        <v>17</v>
      </c>
      <c r="C1516" s="310" t="s">
        <v>18</v>
      </c>
    </row>
    <row r="1517" spans="1:3" ht="15" x14ac:dyDescent="0.2">
      <c r="A1517" s="310">
        <v>18054</v>
      </c>
      <c r="B1517" s="311" t="s">
        <v>15</v>
      </c>
      <c r="C1517" s="310" t="s">
        <v>16</v>
      </c>
    </row>
    <row r="1518" spans="1:3" ht="15" x14ac:dyDescent="0.2">
      <c r="A1518" s="310">
        <v>18055</v>
      </c>
      <c r="B1518" s="311" t="s">
        <v>17</v>
      </c>
      <c r="C1518" s="310" t="s">
        <v>18</v>
      </c>
    </row>
    <row r="1519" spans="1:3" ht="15" x14ac:dyDescent="0.2">
      <c r="A1519" s="310">
        <v>18056</v>
      </c>
      <c r="B1519" s="311" t="s">
        <v>15</v>
      </c>
      <c r="C1519" s="310" t="s">
        <v>16</v>
      </c>
    </row>
    <row r="1520" spans="1:3" ht="15" x14ac:dyDescent="0.2">
      <c r="A1520" s="310">
        <v>18058</v>
      </c>
      <c r="B1520" s="311" t="s">
        <v>13</v>
      </c>
      <c r="C1520" s="310" t="s">
        <v>14</v>
      </c>
    </row>
    <row r="1521" spans="1:3" ht="15" x14ac:dyDescent="0.2">
      <c r="A1521" s="310">
        <v>18059</v>
      </c>
      <c r="B1521" s="311" t="s">
        <v>17</v>
      </c>
      <c r="C1521" s="310" t="s">
        <v>18</v>
      </c>
    </row>
    <row r="1522" spans="1:3" ht="15" x14ac:dyDescent="0.2">
      <c r="A1522" s="310">
        <v>18060</v>
      </c>
      <c r="B1522" s="311" t="s">
        <v>17</v>
      </c>
      <c r="C1522" s="310" t="s">
        <v>18</v>
      </c>
    </row>
    <row r="1523" spans="1:3" ht="15" x14ac:dyDescent="0.2">
      <c r="A1523" s="310">
        <v>18062</v>
      </c>
      <c r="B1523" s="311" t="s">
        <v>17</v>
      </c>
      <c r="C1523" s="310" t="s">
        <v>18</v>
      </c>
    </row>
    <row r="1524" spans="1:3" ht="15" x14ac:dyDescent="0.2">
      <c r="A1524" s="310">
        <v>18063</v>
      </c>
      <c r="B1524" s="311" t="s">
        <v>17</v>
      </c>
      <c r="C1524" s="310" t="s">
        <v>18</v>
      </c>
    </row>
    <row r="1525" spans="1:3" ht="15" x14ac:dyDescent="0.2">
      <c r="A1525" s="310">
        <v>18064</v>
      </c>
      <c r="B1525" s="311" t="s">
        <v>17</v>
      </c>
      <c r="C1525" s="310" t="s">
        <v>18</v>
      </c>
    </row>
    <row r="1526" spans="1:3" ht="15" x14ac:dyDescent="0.2">
      <c r="A1526" s="310">
        <v>18065</v>
      </c>
      <c r="B1526" s="311" t="s">
        <v>17</v>
      </c>
      <c r="C1526" s="310" t="s">
        <v>18</v>
      </c>
    </row>
    <row r="1527" spans="1:3" ht="15" x14ac:dyDescent="0.2">
      <c r="A1527" s="310">
        <v>18066</v>
      </c>
      <c r="B1527" s="311" t="s">
        <v>17</v>
      </c>
      <c r="C1527" s="310" t="s">
        <v>18</v>
      </c>
    </row>
    <row r="1528" spans="1:3" ht="15" x14ac:dyDescent="0.2">
      <c r="A1528" s="310">
        <v>18067</v>
      </c>
      <c r="B1528" s="311" t="s">
        <v>17</v>
      </c>
      <c r="C1528" s="310" t="s">
        <v>18</v>
      </c>
    </row>
    <row r="1529" spans="1:3" ht="15" x14ac:dyDescent="0.2">
      <c r="A1529" s="310">
        <v>18068</v>
      </c>
      <c r="B1529" s="311" t="s">
        <v>17</v>
      </c>
      <c r="C1529" s="310" t="s">
        <v>18</v>
      </c>
    </row>
    <row r="1530" spans="1:3" ht="15" x14ac:dyDescent="0.2">
      <c r="A1530" s="310">
        <v>18069</v>
      </c>
      <c r="B1530" s="311" t="s">
        <v>17</v>
      </c>
      <c r="C1530" s="310" t="s">
        <v>18</v>
      </c>
    </row>
    <row r="1531" spans="1:3" ht="15" x14ac:dyDescent="0.2">
      <c r="A1531" s="310">
        <v>18070</v>
      </c>
      <c r="B1531" s="311" t="s">
        <v>15</v>
      </c>
      <c r="C1531" s="310" t="s">
        <v>16</v>
      </c>
    </row>
    <row r="1532" spans="1:3" ht="15" x14ac:dyDescent="0.2">
      <c r="A1532" s="310">
        <v>18071</v>
      </c>
      <c r="B1532" s="311" t="s">
        <v>17</v>
      </c>
      <c r="C1532" s="310" t="s">
        <v>18</v>
      </c>
    </row>
    <row r="1533" spans="1:3" ht="15" x14ac:dyDescent="0.2">
      <c r="A1533" s="310">
        <v>18072</v>
      </c>
      <c r="B1533" s="311" t="s">
        <v>17</v>
      </c>
      <c r="C1533" s="310" t="s">
        <v>18</v>
      </c>
    </row>
    <row r="1534" spans="1:3" ht="15" x14ac:dyDescent="0.2">
      <c r="A1534" s="310">
        <v>18073</v>
      </c>
      <c r="B1534" s="311" t="s">
        <v>15</v>
      </c>
      <c r="C1534" s="310" t="s">
        <v>16</v>
      </c>
    </row>
    <row r="1535" spans="1:3" ht="15" x14ac:dyDescent="0.2">
      <c r="A1535" s="310">
        <v>18074</v>
      </c>
      <c r="B1535" s="311" t="s">
        <v>15</v>
      </c>
      <c r="C1535" s="310" t="s">
        <v>16</v>
      </c>
    </row>
    <row r="1536" spans="1:3" ht="15" x14ac:dyDescent="0.2">
      <c r="A1536" s="310">
        <v>18076</v>
      </c>
      <c r="B1536" s="311" t="s">
        <v>15</v>
      </c>
      <c r="C1536" s="310" t="s">
        <v>16</v>
      </c>
    </row>
    <row r="1537" spans="1:3" ht="15" x14ac:dyDescent="0.2">
      <c r="A1537" s="310">
        <v>18077</v>
      </c>
      <c r="B1537" s="311" t="s">
        <v>15</v>
      </c>
      <c r="C1537" s="310" t="s">
        <v>16</v>
      </c>
    </row>
    <row r="1538" spans="1:3" ht="15" x14ac:dyDescent="0.2">
      <c r="A1538" s="310">
        <v>18078</v>
      </c>
      <c r="B1538" s="311" t="s">
        <v>17</v>
      </c>
      <c r="C1538" s="310" t="s">
        <v>18</v>
      </c>
    </row>
    <row r="1539" spans="1:3" ht="15" x14ac:dyDescent="0.2">
      <c r="A1539" s="310">
        <v>18079</v>
      </c>
      <c r="B1539" s="311" t="s">
        <v>17</v>
      </c>
      <c r="C1539" s="310" t="s">
        <v>18</v>
      </c>
    </row>
    <row r="1540" spans="1:3" ht="15" x14ac:dyDescent="0.2">
      <c r="A1540" s="310">
        <v>18080</v>
      </c>
      <c r="B1540" s="311" t="s">
        <v>17</v>
      </c>
      <c r="C1540" s="310" t="s">
        <v>18</v>
      </c>
    </row>
    <row r="1541" spans="1:3" ht="15" x14ac:dyDescent="0.2">
      <c r="A1541" s="310">
        <v>18081</v>
      </c>
      <c r="B1541" s="311" t="s">
        <v>15</v>
      </c>
      <c r="C1541" s="310" t="s">
        <v>16</v>
      </c>
    </row>
    <row r="1542" spans="1:3" ht="15" x14ac:dyDescent="0.2">
      <c r="A1542" s="310">
        <v>18083</v>
      </c>
      <c r="B1542" s="311" t="s">
        <v>17</v>
      </c>
      <c r="C1542" s="310" t="s">
        <v>18</v>
      </c>
    </row>
    <row r="1543" spans="1:3" ht="15" x14ac:dyDescent="0.2">
      <c r="A1543" s="310">
        <v>18084</v>
      </c>
      <c r="B1543" s="311" t="s">
        <v>15</v>
      </c>
      <c r="C1543" s="310" t="s">
        <v>16</v>
      </c>
    </row>
    <row r="1544" spans="1:3" ht="15" x14ac:dyDescent="0.2">
      <c r="A1544" s="310">
        <v>18085</v>
      </c>
      <c r="B1544" s="311" t="s">
        <v>17</v>
      </c>
      <c r="C1544" s="310" t="s">
        <v>18</v>
      </c>
    </row>
    <row r="1545" spans="1:3" ht="15" x14ac:dyDescent="0.2">
      <c r="A1545" s="310">
        <v>18086</v>
      </c>
      <c r="B1545" s="311" t="s">
        <v>17</v>
      </c>
      <c r="C1545" s="310" t="s">
        <v>18</v>
      </c>
    </row>
    <row r="1546" spans="1:3" ht="15" x14ac:dyDescent="0.2">
      <c r="A1546" s="310">
        <v>18087</v>
      </c>
      <c r="B1546" s="311" t="s">
        <v>17</v>
      </c>
      <c r="C1546" s="310" t="s">
        <v>18</v>
      </c>
    </row>
    <row r="1547" spans="1:3" ht="15" x14ac:dyDescent="0.2">
      <c r="A1547" s="310">
        <v>18088</v>
      </c>
      <c r="B1547" s="311" t="s">
        <v>17</v>
      </c>
      <c r="C1547" s="310" t="s">
        <v>18</v>
      </c>
    </row>
    <row r="1548" spans="1:3" ht="15" x14ac:dyDescent="0.2">
      <c r="A1548" s="310">
        <v>18091</v>
      </c>
      <c r="B1548" s="311" t="s">
        <v>17</v>
      </c>
      <c r="C1548" s="310" t="s">
        <v>18</v>
      </c>
    </row>
    <row r="1549" spans="1:3" ht="15" x14ac:dyDescent="0.2">
      <c r="A1549" s="310">
        <v>18092</v>
      </c>
      <c r="B1549" s="311" t="s">
        <v>17</v>
      </c>
      <c r="C1549" s="310" t="s">
        <v>18</v>
      </c>
    </row>
    <row r="1550" spans="1:3" ht="15" x14ac:dyDescent="0.2">
      <c r="A1550" s="310">
        <v>18098</v>
      </c>
      <c r="B1550" s="311" t="s">
        <v>17</v>
      </c>
      <c r="C1550" s="310" t="s">
        <v>18</v>
      </c>
    </row>
    <row r="1551" spans="1:3" ht="15" x14ac:dyDescent="0.2">
      <c r="A1551" s="310">
        <v>18099</v>
      </c>
      <c r="B1551" s="311" t="s">
        <v>17</v>
      </c>
      <c r="C1551" s="310" t="s">
        <v>18</v>
      </c>
    </row>
    <row r="1552" spans="1:3" ht="15" x14ac:dyDescent="0.2">
      <c r="A1552" s="310">
        <v>18101</v>
      </c>
      <c r="B1552" s="311" t="s">
        <v>17</v>
      </c>
      <c r="C1552" s="310" t="s">
        <v>18</v>
      </c>
    </row>
    <row r="1553" spans="1:3" ht="15" x14ac:dyDescent="0.2">
      <c r="A1553" s="310">
        <v>18102</v>
      </c>
      <c r="B1553" s="311" t="s">
        <v>17</v>
      </c>
      <c r="C1553" s="310" t="s">
        <v>18</v>
      </c>
    </row>
    <row r="1554" spans="1:3" ht="15" x14ac:dyDescent="0.2">
      <c r="A1554" s="310">
        <v>18103</v>
      </c>
      <c r="B1554" s="311" t="s">
        <v>17</v>
      </c>
      <c r="C1554" s="310" t="s">
        <v>18</v>
      </c>
    </row>
    <row r="1555" spans="1:3" ht="15" x14ac:dyDescent="0.2">
      <c r="A1555" s="310">
        <v>18104</v>
      </c>
      <c r="B1555" s="311" t="s">
        <v>17</v>
      </c>
      <c r="C1555" s="310" t="s">
        <v>18</v>
      </c>
    </row>
    <row r="1556" spans="1:3" ht="15" x14ac:dyDescent="0.2">
      <c r="A1556" s="310">
        <v>18105</v>
      </c>
      <c r="B1556" s="311" t="s">
        <v>17</v>
      </c>
      <c r="C1556" s="310" t="s">
        <v>18</v>
      </c>
    </row>
    <row r="1557" spans="1:3" ht="15" x14ac:dyDescent="0.2">
      <c r="A1557" s="310">
        <v>18106</v>
      </c>
      <c r="B1557" s="311" t="s">
        <v>17</v>
      </c>
      <c r="C1557" s="310" t="s">
        <v>18</v>
      </c>
    </row>
    <row r="1558" spans="1:3" ht="15" x14ac:dyDescent="0.2">
      <c r="A1558" s="310">
        <v>18109</v>
      </c>
      <c r="B1558" s="311" t="s">
        <v>17</v>
      </c>
      <c r="C1558" s="310" t="s">
        <v>18</v>
      </c>
    </row>
    <row r="1559" spans="1:3" ht="15" x14ac:dyDescent="0.2">
      <c r="A1559" s="310">
        <v>18175</v>
      </c>
      <c r="B1559" s="311" t="s">
        <v>17</v>
      </c>
      <c r="C1559" s="310" t="s">
        <v>18</v>
      </c>
    </row>
    <row r="1560" spans="1:3" ht="15" x14ac:dyDescent="0.2">
      <c r="A1560" s="310">
        <v>18195</v>
      </c>
      <c r="B1560" s="311" t="s">
        <v>17</v>
      </c>
      <c r="C1560" s="310" t="s">
        <v>18</v>
      </c>
    </row>
    <row r="1561" spans="1:3" ht="15" x14ac:dyDescent="0.2">
      <c r="A1561" s="310">
        <v>18201</v>
      </c>
      <c r="B1561" s="311" t="s">
        <v>13</v>
      </c>
      <c r="C1561" s="310" t="s">
        <v>14</v>
      </c>
    </row>
    <row r="1562" spans="1:3" ht="15" x14ac:dyDescent="0.2">
      <c r="A1562" s="310">
        <v>18202</v>
      </c>
      <c r="B1562" s="311" t="s">
        <v>13</v>
      </c>
      <c r="C1562" s="310" t="s">
        <v>14</v>
      </c>
    </row>
    <row r="1563" spans="1:3" ht="15" x14ac:dyDescent="0.2">
      <c r="A1563" s="310">
        <v>18210</v>
      </c>
      <c r="B1563" s="311" t="s">
        <v>17</v>
      </c>
      <c r="C1563" s="310" t="s">
        <v>18</v>
      </c>
    </row>
    <row r="1564" spans="1:3" ht="15" x14ac:dyDescent="0.2">
      <c r="A1564" s="310">
        <v>18211</v>
      </c>
      <c r="B1564" s="311" t="s">
        <v>17</v>
      </c>
      <c r="C1564" s="310" t="s">
        <v>18</v>
      </c>
    </row>
    <row r="1565" spans="1:3" ht="15" x14ac:dyDescent="0.2">
      <c r="A1565" s="310">
        <v>18212</v>
      </c>
      <c r="B1565" s="311" t="s">
        <v>17</v>
      </c>
      <c r="C1565" s="310" t="s">
        <v>18</v>
      </c>
    </row>
    <row r="1566" spans="1:3" ht="15" x14ac:dyDescent="0.2">
      <c r="A1566" s="310">
        <v>18214</v>
      </c>
      <c r="B1566" s="311" t="s">
        <v>17</v>
      </c>
      <c r="C1566" s="310" t="s">
        <v>18</v>
      </c>
    </row>
    <row r="1567" spans="1:3" ht="15" x14ac:dyDescent="0.2">
      <c r="A1567" s="310">
        <v>18216</v>
      </c>
      <c r="B1567" s="311" t="s">
        <v>17</v>
      </c>
      <c r="C1567" s="310" t="s">
        <v>18</v>
      </c>
    </row>
    <row r="1568" spans="1:3" ht="15" x14ac:dyDescent="0.2">
      <c r="A1568" s="310">
        <v>18218</v>
      </c>
      <c r="B1568" s="311" t="s">
        <v>17</v>
      </c>
      <c r="C1568" s="310" t="s">
        <v>18</v>
      </c>
    </row>
    <row r="1569" spans="1:3" ht="15" x14ac:dyDescent="0.2">
      <c r="A1569" s="310">
        <v>18219</v>
      </c>
      <c r="B1569" s="311" t="s">
        <v>13</v>
      </c>
      <c r="C1569" s="310" t="s">
        <v>14</v>
      </c>
    </row>
    <row r="1570" spans="1:3" ht="15" x14ac:dyDescent="0.2">
      <c r="A1570" s="310">
        <v>18220</v>
      </c>
      <c r="B1570" s="311" t="s">
        <v>17</v>
      </c>
      <c r="C1570" s="310" t="s">
        <v>18</v>
      </c>
    </row>
    <row r="1571" spans="1:3" ht="15" x14ac:dyDescent="0.2">
      <c r="A1571" s="310">
        <v>18221</v>
      </c>
      <c r="B1571" s="311" t="s">
        <v>13</v>
      </c>
      <c r="C1571" s="310" t="s">
        <v>14</v>
      </c>
    </row>
    <row r="1572" spans="1:3" ht="15" x14ac:dyDescent="0.2">
      <c r="A1572" s="310">
        <v>18222</v>
      </c>
      <c r="B1572" s="311" t="s">
        <v>13</v>
      </c>
      <c r="C1572" s="310" t="s">
        <v>14</v>
      </c>
    </row>
    <row r="1573" spans="1:3" ht="15" x14ac:dyDescent="0.2">
      <c r="A1573" s="310">
        <v>18223</v>
      </c>
      <c r="B1573" s="311" t="s">
        <v>13</v>
      </c>
      <c r="C1573" s="310" t="s">
        <v>14</v>
      </c>
    </row>
    <row r="1574" spans="1:3" ht="15" x14ac:dyDescent="0.2">
      <c r="A1574" s="310">
        <v>18224</v>
      </c>
      <c r="B1574" s="311" t="s">
        <v>13</v>
      </c>
      <c r="C1574" s="310" t="s">
        <v>14</v>
      </c>
    </row>
    <row r="1575" spans="1:3" ht="15" x14ac:dyDescent="0.2">
      <c r="A1575" s="310">
        <v>18225</v>
      </c>
      <c r="B1575" s="311" t="s">
        <v>13</v>
      </c>
      <c r="C1575" s="310" t="s">
        <v>14</v>
      </c>
    </row>
    <row r="1576" spans="1:3" ht="15" x14ac:dyDescent="0.2">
      <c r="A1576" s="310">
        <v>18229</v>
      </c>
      <c r="B1576" s="311" t="s">
        <v>17</v>
      </c>
      <c r="C1576" s="310" t="s">
        <v>18</v>
      </c>
    </row>
    <row r="1577" spans="1:3" ht="15" x14ac:dyDescent="0.2">
      <c r="A1577" s="310">
        <v>18230</v>
      </c>
      <c r="B1577" s="311" t="s">
        <v>17</v>
      </c>
      <c r="C1577" s="310" t="s">
        <v>18</v>
      </c>
    </row>
    <row r="1578" spans="1:3" ht="15" x14ac:dyDescent="0.2">
      <c r="A1578" s="310">
        <v>18231</v>
      </c>
      <c r="B1578" s="311" t="s">
        <v>17</v>
      </c>
      <c r="C1578" s="310" t="s">
        <v>18</v>
      </c>
    </row>
    <row r="1579" spans="1:3" ht="15" x14ac:dyDescent="0.2">
      <c r="A1579" s="310">
        <v>18232</v>
      </c>
      <c r="B1579" s="311" t="s">
        <v>17</v>
      </c>
      <c r="C1579" s="310" t="s">
        <v>18</v>
      </c>
    </row>
    <row r="1580" spans="1:3" ht="15" x14ac:dyDescent="0.2">
      <c r="A1580" s="310">
        <v>18234</v>
      </c>
      <c r="B1580" s="311" t="s">
        <v>13</v>
      </c>
      <c r="C1580" s="310" t="s">
        <v>14</v>
      </c>
    </row>
    <row r="1581" spans="1:3" ht="15" x14ac:dyDescent="0.2">
      <c r="A1581" s="310">
        <v>18235</v>
      </c>
      <c r="B1581" s="311" t="s">
        <v>17</v>
      </c>
      <c r="C1581" s="310" t="s">
        <v>18</v>
      </c>
    </row>
    <row r="1582" spans="1:3" ht="15" x14ac:dyDescent="0.2">
      <c r="A1582" s="310">
        <v>18237</v>
      </c>
      <c r="B1582" s="311" t="s">
        <v>17</v>
      </c>
      <c r="C1582" s="310" t="s">
        <v>18</v>
      </c>
    </row>
    <row r="1583" spans="1:3" ht="15" x14ac:dyDescent="0.2">
      <c r="A1583" s="310">
        <v>18239</v>
      </c>
      <c r="B1583" s="311" t="s">
        <v>13</v>
      </c>
      <c r="C1583" s="310" t="s">
        <v>14</v>
      </c>
    </row>
    <row r="1584" spans="1:3" ht="15" x14ac:dyDescent="0.2">
      <c r="A1584" s="310">
        <v>18240</v>
      </c>
      <c r="B1584" s="311" t="s">
        <v>17</v>
      </c>
      <c r="C1584" s="310" t="s">
        <v>18</v>
      </c>
    </row>
    <row r="1585" spans="1:3" ht="15" x14ac:dyDescent="0.2">
      <c r="A1585" s="310">
        <v>18241</v>
      </c>
      <c r="B1585" s="311" t="s">
        <v>17</v>
      </c>
      <c r="C1585" s="310" t="s">
        <v>18</v>
      </c>
    </row>
    <row r="1586" spans="1:3" ht="15" x14ac:dyDescent="0.2">
      <c r="A1586" s="310">
        <v>18242</v>
      </c>
      <c r="B1586" s="311" t="s">
        <v>17</v>
      </c>
      <c r="C1586" s="310" t="s">
        <v>18</v>
      </c>
    </row>
    <row r="1587" spans="1:3" ht="15" x14ac:dyDescent="0.2">
      <c r="A1587" s="310">
        <v>18244</v>
      </c>
      <c r="B1587" s="311" t="s">
        <v>17</v>
      </c>
      <c r="C1587" s="310" t="s">
        <v>18</v>
      </c>
    </row>
    <row r="1588" spans="1:3" ht="15" x14ac:dyDescent="0.2">
      <c r="A1588" s="310">
        <v>18245</v>
      </c>
      <c r="B1588" s="311" t="s">
        <v>17</v>
      </c>
      <c r="C1588" s="310" t="s">
        <v>18</v>
      </c>
    </row>
    <row r="1589" spans="1:3" ht="15" x14ac:dyDescent="0.2">
      <c r="A1589" s="310">
        <v>18246</v>
      </c>
      <c r="B1589" s="311" t="s">
        <v>13</v>
      </c>
      <c r="C1589" s="310" t="s">
        <v>14</v>
      </c>
    </row>
    <row r="1590" spans="1:3" ht="15" x14ac:dyDescent="0.2">
      <c r="A1590" s="310">
        <v>18247</v>
      </c>
      <c r="B1590" s="311" t="s">
        <v>13</v>
      </c>
      <c r="C1590" s="310" t="s">
        <v>14</v>
      </c>
    </row>
    <row r="1591" spans="1:3" ht="15" x14ac:dyDescent="0.2">
      <c r="A1591" s="310">
        <v>18248</v>
      </c>
      <c r="B1591" s="311" t="s">
        <v>17</v>
      </c>
      <c r="C1591" s="310" t="s">
        <v>18</v>
      </c>
    </row>
    <row r="1592" spans="1:3" ht="15" x14ac:dyDescent="0.2">
      <c r="A1592" s="310">
        <v>18249</v>
      </c>
      <c r="B1592" s="311" t="s">
        <v>13</v>
      </c>
      <c r="C1592" s="310" t="s">
        <v>14</v>
      </c>
    </row>
    <row r="1593" spans="1:3" ht="15" x14ac:dyDescent="0.2">
      <c r="A1593" s="310">
        <v>18250</v>
      </c>
      <c r="B1593" s="311" t="s">
        <v>17</v>
      </c>
      <c r="C1593" s="310" t="s">
        <v>18</v>
      </c>
    </row>
    <row r="1594" spans="1:3" ht="15" x14ac:dyDescent="0.2">
      <c r="A1594" s="310">
        <v>18251</v>
      </c>
      <c r="B1594" s="311" t="s">
        <v>13</v>
      </c>
      <c r="C1594" s="310" t="s">
        <v>14</v>
      </c>
    </row>
    <row r="1595" spans="1:3" ht="15" x14ac:dyDescent="0.2">
      <c r="A1595" s="310">
        <v>18252</v>
      </c>
      <c r="B1595" s="311" t="s">
        <v>17</v>
      </c>
      <c r="C1595" s="310" t="s">
        <v>18</v>
      </c>
    </row>
    <row r="1596" spans="1:3" ht="15" x14ac:dyDescent="0.2">
      <c r="A1596" s="310">
        <v>18254</v>
      </c>
      <c r="B1596" s="311" t="s">
        <v>17</v>
      </c>
      <c r="C1596" s="310" t="s">
        <v>18</v>
      </c>
    </row>
    <row r="1597" spans="1:3" ht="15" x14ac:dyDescent="0.2">
      <c r="A1597" s="310">
        <v>18255</v>
      </c>
      <c r="B1597" s="311" t="s">
        <v>17</v>
      </c>
      <c r="C1597" s="310" t="s">
        <v>18</v>
      </c>
    </row>
    <row r="1598" spans="1:3" ht="15" x14ac:dyDescent="0.2">
      <c r="A1598" s="310">
        <v>18256</v>
      </c>
      <c r="B1598" s="311" t="s">
        <v>13</v>
      </c>
      <c r="C1598" s="310" t="s">
        <v>14</v>
      </c>
    </row>
    <row r="1599" spans="1:3" ht="15" x14ac:dyDescent="0.2">
      <c r="A1599" s="310">
        <v>18301</v>
      </c>
      <c r="B1599" s="311" t="s">
        <v>13</v>
      </c>
      <c r="C1599" s="310" t="s">
        <v>14</v>
      </c>
    </row>
    <row r="1600" spans="1:3" ht="15" x14ac:dyDescent="0.2">
      <c r="A1600" s="310">
        <v>18302</v>
      </c>
      <c r="B1600" s="311" t="s">
        <v>13</v>
      </c>
      <c r="C1600" s="310" t="s">
        <v>14</v>
      </c>
    </row>
    <row r="1601" spans="1:3" ht="15" x14ac:dyDescent="0.2">
      <c r="A1601" s="310">
        <v>18320</v>
      </c>
      <c r="B1601" s="311" t="s">
        <v>13</v>
      </c>
      <c r="C1601" s="310" t="s">
        <v>14</v>
      </c>
    </row>
    <row r="1602" spans="1:3" ht="15" x14ac:dyDescent="0.2">
      <c r="A1602" s="310">
        <v>18321</v>
      </c>
      <c r="B1602" s="311" t="s">
        <v>13</v>
      </c>
      <c r="C1602" s="310" t="s">
        <v>14</v>
      </c>
    </row>
    <row r="1603" spans="1:3" ht="15" x14ac:dyDescent="0.2">
      <c r="A1603" s="310">
        <v>18322</v>
      </c>
      <c r="B1603" s="311" t="s">
        <v>13</v>
      </c>
      <c r="C1603" s="310" t="s">
        <v>14</v>
      </c>
    </row>
    <row r="1604" spans="1:3" ht="15" x14ac:dyDescent="0.2">
      <c r="A1604" s="310">
        <v>18323</v>
      </c>
      <c r="B1604" s="311" t="s">
        <v>13</v>
      </c>
      <c r="C1604" s="310" t="s">
        <v>14</v>
      </c>
    </row>
    <row r="1605" spans="1:3" ht="15" x14ac:dyDescent="0.2">
      <c r="A1605" s="310">
        <v>18324</v>
      </c>
      <c r="B1605" s="311" t="s">
        <v>13</v>
      </c>
      <c r="C1605" s="310" t="s">
        <v>14</v>
      </c>
    </row>
    <row r="1606" spans="1:3" ht="15" x14ac:dyDescent="0.2">
      <c r="A1606" s="310">
        <v>18325</v>
      </c>
      <c r="B1606" s="311" t="s">
        <v>13</v>
      </c>
      <c r="C1606" s="310" t="s">
        <v>14</v>
      </c>
    </row>
    <row r="1607" spans="1:3" ht="15" x14ac:dyDescent="0.2">
      <c r="A1607" s="310">
        <v>18326</v>
      </c>
      <c r="B1607" s="311" t="s">
        <v>13</v>
      </c>
      <c r="C1607" s="310" t="s">
        <v>14</v>
      </c>
    </row>
    <row r="1608" spans="1:3" ht="15" x14ac:dyDescent="0.2">
      <c r="A1608" s="310">
        <v>18327</v>
      </c>
      <c r="B1608" s="311" t="s">
        <v>13</v>
      </c>
      <c r="C1608" s="310" t="s">
        <v>14</v>
      </c>
    </row>
    <row r="1609" spans="1:3" ht="15" x14ac:dyDescent="0.2">
      <c r="A1609" s="310">
        <v>18328</v>
      </c>
      <c r="B1609" s="311" t="s">
        <v>13</v>
      </c>
      <c r="C1609" s="310" t="s">
        <v>14</v>
      </c>
    </row>
    <row r="1610" spans="1:3" ht="15" x14ac:dyDescent="0.2">
      <c r="A1610" s="310">
        <v>18330</v>
      </c>
      <c r="B1610" s="311" t="s">
        <v>13</v>
      </c>
      <c r="C1610" s="310" t="s">
        <v>14</v>
      </c>
    </row>
    <row r="1611" spans="1:3" ht="15" x14ac:dyDescent="0.2">
      <c r="A1611" s="310">
        <v>18331</v>
      </c>
      <c r="B1611" s="311" t="s">
        <v>13</v>
      </c>
      <c r="C1611" s="310" t="s">
        <v>14</v>
      </c>
    </row>
    <row r="1612" spans="1:3" ht="15" x14ac:dyDescent="0.2">
      <c r="A1612" s="310">
        <v>18332</v>
      </c>
      <c r="B1612" s="311" t="s">
        <v>13</v>
      </c>
      <c r="C1612" s="310" t="s">
        <v>14</v>
      </c>
    </row>
    <row r="1613" spans="1:3" ht="15" x14ac:dyDescent="0.2">
      <c r="A1613" s="310">
        <v>18333</v>
      </c>
      <c r="B1613" s="311" t="s">
        <v>13</v>
      </c>
      <c r="C1613" s="310" t="s">
        <v>14</v>
      </c>
    </row>
    <row r="1614" spans="1:3" ht="15" x14ac:dyDescent="0.2">
      <c r="A1614" s="310">
        <v>18334</v>
      </c>
      <c r="B1614" s="311" t="s">
        <v>13</v>
      </c>
      <c r="C1614" s="310" t="s">
        <v>14</v>
      </c>
    </row>
    <row r="1615" spans="1:3" ht="15" x14ac:dyDescent="0.2">
      <c r="A1615" s="310">
        <v>18335</v>
      </c>
      <c r="B1615" s="311" t="s">
        <v>13</v>
      </c>
      <c r="C1615" s="310" t="s">
        <v>14</v>
      </c>
    </row>
    <row r="1616" spans="1:3" ht="15" x14ac:dyDescent="0.2">
      <c r="A1616" s="310">
        <v>18336</v>
      </c>
      <c r="B1616" s="311" t="s">
        <v>13</v>
      </c>
      <c r="C1616" s="310" t="s">
        <v>14</v>
      </c>
    </row>
    <row r="1617" spans="1:3" ht="15" x14ac:dyDescent="0.2">
      <c r="A1617" s="310">
        <v>18337</v>
      </c>
      <c r="B1617" s="311" t="s">
        <v>13</v>
      </c>
      <c r="C1617" s="310" t="s">
        <v>14</v>
      </c>
    </row>
    <row r="1618" spans="1:3" ht="15" x14ac:dyDescent="0.2">
      <c r="A1618" s="310">
        <v>18340</v>
      </c>
      <c r="B1618" s="311" t="s">
        <v>13</v>
      </c>
      <c r="C1618" s="310" t="s">
        <v>14</v>
      </c>
    </row>
    <row r="1619" spans="1:3" ht="15" x14ac:dyDescent="0.2">
      <c r="A1619" s="310">
        <v>18341</v>
      </c>
      <c r="B1619" s="311" t="s">
        <v>13</v>
      </c>
      <c r="C1619" s="310" t="s">
        <v>14</v>
      </c>
    </row>
    <row r="1620" spans="1:3" ht="15" x14ac:dyDescent="0.2">
      <c r="A1620" s="310">
        <v>18342</v>
      </c>
      <c r="B1620" s="311" t="s">
        <v>13</v>
      </c>
      <c r="C1620" s="310" t="s">
        <v>14</v>
      </c>
    </row>
    <row r="1621" spans="1:3" ht="15" x14ac:dyDescent="0.2">
      <c r="A1621" s="310">
        <v>18343</v>
      </c>
      <c r="B1621" s="311" t="s">
        <v>17</v>
      </c>
      <c r="C1621" s="310" t="s">
        <v>18</v>
      </c>
    </row>
    <row r="1622" spans="1:3" ht="15" x14ac:dyDescent="0.2">
      <c r="A1622" s="310">
        <v>18344</v>
      </c>
      <c r="B1622" s="311" t="s">
        <v>13</v>
      </c>
      <c r="C1622" s="310" t="s">
        <v>14</v>
      </c>
    </row>
    <row r="1623" spans="1:3" ht="15" x14ac:dyDescent="0.2">
      <c r="A1623" s="310">
        <v>18346</v>
      </c>
      <c r="B1623" s="311" t="s">
        <v>13</v>
      </c>
      <c r="C1623" s="310" t="s">
        <v>14</v>
      </c>
    </row>
    <row r="1624" spans="1:3" ht="15" x14ac:dyDescent="0.2">
      <c r="A1624" s="310">
        <v>18347</v>
      </c>
      <c r="B1624" s="311" t="s">
        <v>13</v>
      </c>
      <c r="C1624" s="310" t="s">
        <v>14</v>
      </c>
    </row>
    <row r="1625" spans="1:3" ht="15" x14ac:dyDescent="0.2">
      <c r="A1625" s="310">
        <v>18348</v>
      </c>
      <c r="B1625" s="311" t="s">
        <v>13</v>
      </c>
      <c r="C1625" s="310" t="s">
        <v>14</v>
      </c>
    </row>
    <row r="1626" spans="1:3" ht="15" x14ac:dyDescent="0.2">
      <c r="A1626" s="310">
        <v>18349</v>
      </c>
      <c r="B1626" s="311" t="s">
        <v>13</v>
      </c>
      <c r="C1626" s="310" t="s">
        <v>14</v>
      </c>
    </row>
    <row r="1627" spans="1:3" ht="15" x14ac:dyDescent="0.2">
      <c r="A1627" s="310">
        <v>18350</v>
      </c>
      <c r="B1627" s="311" t="s">
        <v>13</v>
      </c>
      <c r="C1627" s="310" t="s">
        <v>14</v>
      </c>
    </row>
    <row r="1628" spans="1:3" ht="15" x14ac:dyDescent="0.2">
      <c r="A1628" s="310">
        <v>18351</v>
      </c>
      <c r="B1628" s="311" t="s">
        <v>17</v>
      </c>
      <c r="C1628" s="310" t="s">
        <v>18</v>
      </c>
    </row>
    <row r="1629" spans="1:3" ht="15" x14ac:dyDescent="0.2">
      <c r="A1629" s="310">
        <v>18352</v>
      </c>
      <c r="B1629" s="311" t="s">
        <v>13</v>
      </c>
      <c r="C1629" s="310" t="s">
        <v>14</v>
      </c>
    </row>
    <row r="1630" spans="1:3" ht="15" x14ac:dyDescent="0.2">
      <c r="A1630" s="310">
        <v>18353</v>
      </c>
      <c r="B1630" s="311" t="s">
        <v>13</v>
      </c>
      <c r="C1630" s="310" t="s">
        <v>14</v>
      </c>
    </row>
    <row r="1631" spans="1:3" ht="15" x14ac:dyDescent="0.2">
      <c r="A1631" s="310">
        <v>18354</v>
      </c>
      <c r="B1631" s="311" t="s">
        <v>13</v>
      </c>
      <c r="C1631" s="310" t="s">
        <v>14</v>
      </c>
    </row>
    <row r="1632" spans="1:3" ht="15" x14ac:dyDescent="0.2">
      <c r="A1632" s="310">
        <v>18355</v>
      </c>
      <c r="B1632" s="311" t="s">
        <v>13</v>
      </c>
      <c r="C1632" s="310" t="s">
        <v>14</v>
      </c>
    </row>
    <row r="1633" spans="1:3" ht="15" x14ac:dyDescent="0.2">
      <c r="A1633" s="310">
        <v>18356</v>
      </c>
      <c r="B1633" s="311" t="s">
        <v>13</v>
      </c>
      <c r="C1633" s="310" t="s">
        <v>14</v>
      </c>
    </row>
    <row r="1634" spans="1:3" ht="15" x14ac:dyDescent="0.2">
      <c r="A1634" s="310">
        <v>18357</v>
      </c>
      <c r="B1634" s="311" t="s">
        <v>13</v>
      </c>
      <c r="C1634" s="310" t="s">
        <v>14</v>
      </c>
    </row>
    <row r="1635" spans="1:3" ht="15" x14ac:dyDescent="0.2">
      <c r="A1635" s="310">
        <v>18360</v>
      </c>
      <c r="B1635" s="311" t="s">
        <v>13</v>
      </c>
      <c r="C1635" s="310" t="s">
        <v>14</v>
      </c>
    </row>
    <row r="1636" spans="1:3" ht="15" x14ac:dyDescent="0.2">
      <c r="A1636" s="310">
        <v>18370</v>
      </c>
      <c r="B1636" s="311" t="s">
        <v>13</v>
      </c>
      <c r="C1636" s="310" t="s">
        <v>14</v>
      </c>
    </row>
    <row r="1637" spans="1:3" ht="15" x14ac:dyDescent="0.2">
      <c r="A1637" s="310">
        <v>18371</v>
      </c>
      <c r="B1637" s="311" t="s">
        <v>13</v>
      </c>
      <c r="C1637" s="310" t="s">
        <v>14</v>
      </c>
    </row>
    <row r="1638" spans="1:3" ht="15" x14ac:dyDescent="0.2">
      <c r="A1638" s="310">
        <v>18372</v>
      </c>
      <c r="B1638" s="311" t="s">
        <v>13</v>
      </c>
      <c r="C1638" s="310" t="s">
        <v>14</v>
      </c>
    </row>
    <row r="1639" spans="1:3" ht="15" x14ac:dyDescent="0.2">
      <c r="A1639" s="310">
        <v>18373</v>
      </c>
      <c r="B1639" s="311" t="s">
        <v>13</v>
      </c>
      <c r="C1639" s="310" t="s">
        <v>14</v>
      </c>
    </row>
    <row r="1640" spans="1:3" ht="15" x14ac:dyDescent="0.2">
      <c r="A1640" s="310">
        <v>18401</v>
      </c>
      <c r="B1640" s="311" t="s">
        <v>19</v>
      </c>
      <c r="C1640" s="310" t="s">
        <v>20</v>
      </c>
    </row>
    <row r="1641" spans="1:3" ht="15" x14ac:dyDescent="0.2">
      <c r="A1641" s="310">
        <v>18403</v>
      </c>
      <c r="B1641" s="311" t="s">
        <v>13</v>
      </c>
      <c r="C1641" s="310" t="s">
        <v>14</v>
      </c>
    </row>
    <row r="1642" spans="1:3" ht="15" x14ac:dyDescent="0.2">
      <c r="A1642" s="310">
        <v>18405</v>
      </c>
      <c r="B1642" s="311" t="s">
        <v>19</v>
      </c>
      <c r="C1642" s="310" t="s">
        <v>20</v>
      </c>
    </row>
    <row r="1643" spans="1:3" ht="15" x14ac:dyDescent="0.2">
      <c r="A1643" s="310">
        <v>18407</v>
      </c>
      <c r="B1643" s="311" t="s">
        <v>13</v>
      </c>
      <c r="C1643" s="310" t="s">
        <v>14</v>
      </c>
    </row>
    <row r="1644" spans="1:3" ht="15" x14ac:dyDescent="0.2">
      <c r="A1644" s="310">
        <v>18410</v>
      </c>
      <c r="B1644" s="311" t="s">
        <v>13</v>
      </c>
      <c r="C1644" s="310" t="s">
        <v>14</v>
      </c>
    </row>
    <row r="1645" spans="1:3" ht="15" x14ac:dyDescent="0.2">
      <c r="A1645" s="310">
        <v>18411</v>
      </c>
      <c r="B1645" s="311" t="s">
        <v>13</v>
      </c>
      <c r="C1645" s="310" t="s">
        <v>14</v>
      </c>
    </row>
    <row r="1646" spans="1:3" ht="15" x14ac:dyDescent="0.2">
      <c r="A1646" s="310">
        <v>18413</v>
      </c>
      <c r="B1646" s="311" t="s">
        <v>19</v>
      </c>
      <c r="C1646" s="310" t="s">
        <v>20</v>
      </c>
    </row>
    <row r="1647" spans="1:3" ht="15" x14ac:dyDescent="0.2">
      <c r="A1647" s="310">
        <v>18414</v>
      </c>
      <c r="B1647" s="311" t="s">
        <v>13</v>
      </c>
      <c r="C1647" s="310" t="s">
        <v>14</v>
      </c>
    </row>
    <row r="1648" spans="1:3" ht="15" x14ac:dyDescent="0.2">
      <c r="A1648" s="310">
        <v>18415</v>
      </c>
      <c r="B1648" s="311" t="s">
        <v>19</v>
      </c>
      <c r="C1648" s="310" t="s">
        <v>20</v>
      </c>
    </row>
    <row r="1649" spans="1:3" ht="15" x14ac:dyDescent="0.2">
      <c r="A1649" s="310">
        <v>18416</v>
      </c>
      <c r="B1649" s="311" t="s">
        <v>13</v>
      </c>
      <c r="C1649" s="310" t="s">
        <v>14</v>
      </c>
    </row>
    <row r="1650" spans="1:3" ht="15" x14ac:dyDescent="0.2">
      <c r="A1650" s="310">
        <v>18417</v>
      </c>
      <c r="B1650" s="311" t="s">
        <v>19</v>
      </c>
      <c r="C1650" s="310" t="s">
        <v>20</v>
      </c>
    </row>
    <row r="1651" spans="1:3" ht="15" x14ac:dyDescent="0.2">
      <c r="A1651" s="310">
        <v>18419</v>
      </c>
      <c r="B1651" s="311" t="s">
        <v>13</v>
      </c>
      <c r="C1651" s="310" t="s">
        <v>14</v>
      </c>
    </row>
    <row r="1652" spans="1:3" ht="15" x14ac:dyDescent="0.2">
      <c r="A1652" s="310">
        <v>18420</v>
      </c>
      <c r="B1652" s="311" t="s">
        <v>13</v>
      </c>
      <c r="C1652" s="310" t="s">
        <v>14</v>
      </c>
    </row>
    <row r="1653" spans="1:3" ht="15" x14ac:dyDescent="0.2">
      <c r="A1653" s="310">
        <v>18421</v>
      </c>
      <c r="B1653" s="311" t="s">
        <v>19</v>
      </c>
      <c r="C1653" s="310" t="s">
        <v>20</v>
      </c>
    </row>
    <row r="1654" spans="1:3" ht="15" x14ac:dyDescent="0.2">
      <c r="A1654" s="310">
        <v>18424</v>
      </c>
      <c r="B1654" s="311" t="s">
        <v>13</v>
      </c>
      <c r="C1654" s="310" t="s">
        <v>14</v>
      </c>
    </row>
    <row r="1655" spans="1:3" ht="15" x14ac:dyDescent="0.2">
      <c r="A1655" s="310">
        <v>18425</v>
      </c>
      <c r="B1655" s="311" t="s">
        <v>13</v>
      </c>
      <c r="C1655" s="310" t="s">
        <v>14</v>
      </c>
    </row>
    <row r="1656" spans="1:3" ht="15" x14ac:dyDescent="0.2">
      <c r="A1656" s="310">
        <v>18426</v>
      </c>
      <c r="B1656" s="311" t="s">
        <v>13</v>
      </c>
      <c r="C1656" s="310" t="s">
        <v>14</v>
      </c>
    </row>
    <row r="1657" spans="1:3" ht="15" x14ac:dyDescent="0.2">
      <c r="A1657" s="310">
        <v>18427</v>
      </c>
      <c r="B1657" s="311" t="s">
        <v>19</v>
      </c>
      <c r="C1657" s="310" t="s">
        <v>20</v>
      </c>
    </row>
    <row r="1658" spans="1:3" ht="15" x14ac:dyDescent="0.2">
      <c r="A1658" s="310">
        <v>18428</v>
      </c>
      <c r="B1658" s="311" t="s">
        <v>13</v>
      </c>
      <c r="C1658" s="310" t="s">
        <v>14</v>
      </c>
    </row>
    <row r="1659" spans="1:3" ht="15" x14ac:dyDescent="0.2">
      <c r="A1659" s="310">
        <v>18430</v>
      </c>
      <c r="B1659" s="311" t="s">
        <v>19</v>
      </c>
      <c r="C1659" s="310" t="s">
        <v>20</v>
      </c>
    </row>
    <row r="1660" spans="1:3" ht="15" x14ac:dyDescent="0.2">
      <c r="A1660" s="310">
        <v>18431</v>
      </c>
      <c r="B1660" s="311" t="s">
        <v>19</v>
      </c>
      <c r="C1660" s="310" t="s">
        <v>20</v>
      </c>
    </row>
    <row r="1661" spans="1:3" ht="15" x14ac:dyDescent="0.2">
      <c r="A1661" s="310">
        <v>18433</v>
      </c>
      <c r="B1661" s="311" t="s">
        <v>13</v>
      </c>
      <c r="C1661" s="310" t="s">
        <v>14</v>
      </c>
    </row>
    <row r="1662" spans="1:3" ht="15" x14ac:dyDescent="0.2">
      <c r="A1662" s="310">
        <v>18434</v>
      </c>
      <c r="B1662" s="311" t="s">
        <v>13</v>
      </c>
      <c r="C1662" s="310" t="s">
        <v>14</v>
      </c>
    </row>
    <row r="1663" spans="1:3" ht="15" x14ac:dyDescent="0.2">
      <c r="A1663" s="310">
        <v>18435</v>
      </c>
      <c r="B1663" s="311" t="s">
        <v>13</v>
      </c>
      <c r="C1663" s="310" t="s">
        <v>14</v>
      </c>
    </row>
    <row r="1664" spans="1:3" ht="15" x14ac:dyDescent="0.2">
      <c r="A1664" s="310">
        <v>18436</v>
      </c>
      <c r="B1664" s="311" t="s">
        <v>19</v>
      </c>
      <c r="C1664" s="310" t="s">
        <v>20</v>
      </c>
    </row>
    <row r="1665" spans="1:3" ht="15" x14ac:dyDescent="0.2">
      <c r="A1665" s="310">
        <v>18437</v>
      </c>
      <c r="B1665" s="311" t="s">
        <v>19</v>
      </c>
      <c r="C1665" s="310" t="s">
        <v>20</v>
      </c>
    </row>
    <row r="1666" spans="1:3" ht="15" x14ac:dyDescent="0.2">
      <c r="A1666" s="310">
        <v>18438</v>
      </c>
      <c r="B1666" s="311" t="s">
        <v>19</v>
      </c>
      <c r="C1666" s="310" t="s">
        <v>20</v>
      </c>
    </row>
    <row r="1667" spans="1:3" ht="15" x14ac:dyDescent="0.2">
      <c r="A1667" s="310">
        <v>18439</v>
      </c>
      <c r="B1667" s="311" t="s">
        <v>19</v>
      </c>
      <c r="C1667" s="310" t="s">
        <v>20</v>
      </c>
    </row>
    <row r="1668" spans="1:3" ht="15" x14ac:dyDescent="0.2">
      <c r="A1668" s="310">
        <v>18440</v>
      </c>
      <c r="B1668" s="311" t="s">
        <v>13</v>
      </c>
      <c r="C1668" s="310" t="s">
        <v>14</v>
      </c>
    </row>
    <row r="1669" spans="1:3" ht="15" x14ac:dyDescent="0.2">
      <c r="A1669" s="310">
        <v>18441</v>
      </c>
      <c r="B1669" s="311" t="s">
        <v>19</v>
      </c>
      <c r="C1669" s="310" t="s">
        <v>20</v>
      </c>
    </row>
    <row r="1670" spans="1:3" ht="15" x14ac:dyDescent="0.2">
      <c r="A1670" s="310">
        <v>18443</v>
      </c>
      <c r="B1670" s="311" t="s">
        <v>19</v>
      </c>
      <c r="C1670" s="310" t="s">
        <v>20</v>
      </c>
    </row>
    <row r="1671" spans="1:3" ht="15" x14ac:dyDescent="0.2">
      <c r="A1671" s="310">
        <v>18444</v>
      </c>
      <c r="B1671" s="311" t="s">
        <v>13</v>
      </c>
      <c r="C1671" s="310" t="s">
        <v>14</v>
      </c>
    </row>
    <row r="1672" spans="1:3" ht="15" x14ac:dyDescent="0.2">
      <c r="A1672" s="310">
        <v>18445</v>
      </c>
      <c r="B1672" s="311" t="s">
        <v>19</v>
      </c>
      <c r="C1672" s="310" t="s">
        <v>20</v>
      </c>
    </row>
    <row r="1673" spans="1:3" ht="15" x14ac:dyDescent="0.2">
      <c r="A1673" s="310">
        <v>18446</v>
      </c>
      <c r="B1673" s="311" t="s">
        <v>13</v>
      </c>
      <c r="C1673" s="310" t="s">
        <v>14</v>
      </c>
    </row>
    <row r="1674" spans="1:3" ht="15" x14ac:dyDescent="0.2">
      <c r="A1674" s="310">
        <v>18447</v>
      </c>
      <c r="B1674" s="311" t="s">
        <v>13</v>
      </c>
      <c r="C1674" s="310" t="s">
        <v>14</v>
      </c>
    </row>
    <row r="1675" spans="1:3" ht="15" x14ac:dyDescent="0.2">
      <c r="A1675" s="310">
        <v>18448</v>
      </c>
      <c r="B1675" s="311" t="s">
        <v>13</v>
      </c>
      <c r="C1675" s="310" t="s">
        <v>14</v>
      </c>
    </row>
    <row r="1676" spans="1:3" ht="15" x14ac:dyDescent="0.2">
      <c r="A1676" s="310">
        <v>18449</v>
      </c>
      <c r="B1676" s="311" t="s">
        <v>19</v>
      </c>
      <c r="C1676" s="310" t="s">
        <v>20</v>
      </c>
    </row>
    <row r="1677" spans="1:3" ht="15" x14ac:dyDescent="0.2">
      <c r="A1677" s="310">
        <v>18451</v>
      </c>
      <c r="B1677" s="311" t="s">
        <v>13</v>
      </c>
      <c r="C1677" s="310" t="s">
        <v>14</v>
      </c>
    </row>
    <row r="1678" spans="1:3" ht="15" x14ac:dyDescent="0.2">
      <c r="A1678" s="310">
        <v>18452</v>
      </c>
      <c r="B1678" s="311" t="s">
        <v>13</v>
      </c>
      <c r="C1678" s="310" t="s">
        <v>14</v>
      </c>
    </row>
    <row r="1679" spans="1:3" ht="15" x14ac:dyDescent="0.2">
      <c r="A1679" s="310">
        <v>18453</v>
      </c>
      <c r="B1679" s="311" t="s">
        <v>19</v>
      </c>
      <c r="C1679" s="310" t="s">
        <v>20</v>
      </c>
    </row>
    <row r="1680" spans="1:3" ht="15" x14ac:dyDescent="0.2">
      <c r="A1680" s="310">
        <v>18454</v>
      </c>
      <c r="B1680" s="311" t="s">
        <v>19</v>
      </c>
      <c r="C1680" s="310" t="s">
        <v>20</v>
      </c>
    </row>
    <row r="1681" spans="1:3" ht="15" x14ac:dyDescent="0.2">
      <c r="A1681" s="310">
        <v>18455</v>
      </c>
      <c r="B1681" s="311" t="s">
        <v>19</v>
      </c>
      <c r="C1681" s="310" t="s">
        <v>20</v>
      </c>
    </row>
    <row r="1682" spans="1:3" ht="15" x14ac:dyDescent="0.2">
      <c r="A1682" s="310">
        <v>18456</v>
      </c>
      <c r="B1682" s="311" t="s">
        <v>19</v>
      </c>
      <c r="C1682" s="310" t="s">
        <v>20</v>
      </c>
    </row>
    <row r="1683" spans="1:3" ht="15" x14ac:dyDescent="0.2">
      <c r="A1683" s="310">
        <v>18457</v>
      </c>
      <c r="B1683" s="311" t="s">
        <v>13</v>
      </c>
      <c r="C1683" s="310" t="s">
        <v>14</v>
      </c>
    </row>
    <row r="1684" spans="1:3" ht="15" x14ac:dyDescent="0.2">
      <c r="A1684" s="310">
        <v>18458</v>
      </c>
      <c r="B1684" s="311" t="s">
        <v>13</v>
      </c>
      <c r="C1684" s="310" t="s">
        <v>14</v>
      </c>
    </row>
    <row r="1685" spans="1:3" ht="15" x14ac:dyDescent="0.2">
      <c r="A1685" s="310">
        <v>18459</v>
      </c>
      <c r="B1685" s="311" t="s">
        <v>19</v>
      </c>
      <c r="C1685" s="310" t="s">
        <v>20</v>
      </c>
    </row>
    <row r="1686" spans="1:3" ht="15" x14ac:dyDescent="0.2">
      <c r="A1686" s="310">
        <v>18460</v>
      </c>
      <c r="B1686" s="311" t="s">
        <v>19</v>
      </c>
      <c r="C1686" s="310" t="s">
        <v>20</v>
      </c>
    </row>
    <row r="1687" spans="1:3" ht="15" x14ac:dyDescent="0.2">
      <c r="A1687" s="310">
        <v>18461</v>
      </c>
      <c r="B1687" s="311" t="s">
        <v>19</v>
      </c>
      <c r="C1687" s="310" t="s">
        <v>20</v>
      </c>
    </row>
    <row r="1688" spans="1:3" ht="15" x14ac:dyDescent="0.2">
      <c r="A1688" s="310">
        <v>18462</v>
      </c>
      <c r="B1688" s="311" t="s">
        <v>19</v>
      </c>
      <c r="C1688" s="310" t="s">
        <v>20</v>
      </c>
    </row>
    <row r="1689" spans="1:3" ht="15" x14ac:dyDescent="0.2">
      <c r="A1689" s="310">
        <v>18463</v>
      </c>
      <c r="B1689" s="311" t="s">
        <v>19</v>
      </c>
      <c r="C1689" s="310" t="s">
        <v>20</v>
      </c>
    </row>
    <row r="1690" spans="1:3" ht="15" x14ac:dyDescent="0.2">
      <c r="A1690" s="310">
        <v>18464</v>
      </c>
      <c r="B1690" s="311" t="s">
        <v>13</v>
      </c>
      <c r="C1690" s="310" t="s">
        <v>14</v>
      </c>
    </row>
    <row r="1691" spans="1:3" ht="15" x14ac:dyDescent="0.2">
      <c r="A1691" s="310">
        <v>18465</v>
      </c>
      <c r="B1691" s="311" t="s">
        <v>19</v>
      </c>
      <c r="C1691" s="310" t="s">
        <v>20</v>
      </c>
    </row>
    <row r="1692" spans="1:3" ht="15" x14ac:dyDescent="0.2">
      <c r="A1692" s="310">
        <v>18466</v>
      </c>
      <c r="B1692" s="311" t="s">
        <v>13</v>
      </c>
      <c r="C1692" s="310" t="s">
        <v>14</v>
      </c>
    </row>
    <row r="1693" spans="1:3" ht="15" x14ac:dyDescent="0.2">
      <c r="A1693" s="310">
        <v>18469</v>
      </c>
      <c r="B1693" s="311" t="s">
        <v>19</v>
      </c>
      <c r="C1693" s="310" t="s">
        <v>20</v>
      </c>
    </row>
    <row r="1694" spans="1:3" ht="15" x14ac:dyDescent="0.2">
      <c r="A1694" s="310">
        <v>18470</v>
      </c>
      <c r="B1694" s="311" t="s">
        <v>19</v>
      </c>
      <c r="C1694" s="310" t="s">
        <v>20</v>
      </c>
    </row>
    <row r="1695" spans="1:3" ht="15" x14ac:dyDescent="0.2">
      <c r="A1695" s="310">
        <v>18471</v>
      </c>
      <c r="B1695" s="311" t="s">
        <v>13</v>
      </c>
      <c r="C1695" s="310" t="s">
        <v>14</v>
      </c>
    </row>
    <row r="1696" spans="1:3" ht="15" x14ac:dyDescent="0.2">
      <c r="A1696" s="310">
        <v>18472</v>
      </c>
      <c r="B1696" s="311" t="s">
        <v>19</v>
      </c>
      <c r="C1696" s="310" t="s">
        <v>20</v>
      </c>
    </row>
    <row r="1697" spans="1:3" ht="15" x14ac:dyDescent="0.2">
      <c r="A1697" s="310">
        <v>18473</v>
      </c>
      <c r="B1697" s="311" t="s">
        <v>19</v>
      </c>
      <c r="C1697" s="310" t="s">
        <v>20</v>
      </c>
    </row>
    <row r="1698" spans="1:3" ht="15" x14ac:dyDescent="0.2">
      <c r="A1698" s="310">
        <v>18501</v>
      </c>
      <c r="B1698" s="311" t="s">
        <v>13</v>
      </c>
      <c r="C1698" s="310" t="s">
        <v>14</v>
      </c>
    </row>
    <row r="1699" spans="1:3" ht="15" x14ac:dyDescent="0.2">
      <c r="A1699" s="310">
        <v>18502</v>
      </c>
      <c r="B1699" s="311" t="s">
        <v>13</v>
      </c>
      <c r="C1699" s="310" t="s">
        <v>14</v>
      </c>
    </row>
    <row r="1700" spans="1:3" ht="15" x14ac:dyDescent="0.2">
      <c r="A1700" s="310">
        <v>18503</v>
      </c>
      <c r="B1700" s="311" t="s">
        <v>13</v>
      </c>
      <c r="C1700" s="310" t="s">
        <v>14</v>
      </c>
    </row>
    <row r="1701" spans="1:3" ht="15" x14ac:dyDescent="0.2">
      <c r="A1701" s="310">
        <v>18504</v>
      </c>
      <c r="B1701" s="311" t="s">
        <v>13</v>
      </c>
      <c r="C1701" s="310" t="s">
        <v>14</v>
      </c>
    </row>
    <row r="1702" spans="1:3" ht="15" x14ac:dyDescent="0.2">
      <c r="A1702" s="310">
        <v>18505</v>
      </c>
      <c r="B1702" s="311" t="s">
        <v>13</v>
      </c>
      <c r="C1702" s="310" t="s">
        <v>14</v>
      </c>
    </row>
    <row r="1703" spans="1:3" ht="15" x14ac:dyDescent="0.2">
      <c r="A1703" s="310">
        <v>18507</v>
      </c>
      <c r="B1703" s="311" t="s">
        <v>13</v>
      </c>
      <c r="C1703" s="310" t="s">
        <v>14</v>
      </c>
    </row>
    <row r="1704" spans="1:3" ht="15" x14ac:dyDescent="0.2">
      <c r="A1704" s="310">
        <v>18508</v>
      </c>
      <c r="B1704" s="311" t="s">
        <v>13</v>
      </c>
      <c r="C1704" s="310" t="s">
        <v>14</v>
      </c>
    </row>
    <row r="1705" spans="1:3" ht="15" x14ac:dyDescent="0.2">
      <c r="A1705" s="310">
        <v>18509</v>
      </c>
      <c r="B1705" s="311" t="s">
        <v>13</v>
      </c>
      <c r="C1705" s="310" t="s">
        <v>14</v>
      </c>
    </row>
    <row r="1706" spans="1:3" ht="15" x14ac:dyDescent="0.2">
      <c r="A1706" s="310">
        <v>18510</v>
      </c>
      <c r="B1706" s="311" t="s">
        <v>13</v>
      </c>
      <c r="C1706" s="310" t="s">
        <v>14</v>
      </c>
    </row>
    <row r="1707" spans="1:3" ht="15" x14ac:dyDescent="0.2">
      <c r="A1707" s="310">
        <v>18512</v>
      </c>
      <c r="B1707" s="311" t="s">
        <v>13</v>
      </c>
      <c r="C1707" s="310" t="s">
        <v>14</v>
      </c>
    </row>
    <row r="1708" spans="1:3" ht="15" x14ac:dyDescent="0.2">
      <c r="A1708" s="310">
        <v>18514</v>
      </c>
      <c r="B1708" s="311" t="s">
        <v>13</v>
      </c>
      <c r="C1708" s="310" t="s">
        <v>14</v>
      </c>
    </row>
    <row r="1709" spans="1:3" ht="15" x14ac:dyDescent="0.2">
      <c r="A1709" s="310">
        <v>18515</v>
      </c>
      <c r="B1709" s="311" t="s">
        <v>13</v>
      </c>
      <c r="C1709" s="310" t="s">
        <v>14</v>
      </c>
    </row>
    <row r="1710" spans="1:3" ht="15" x14ac:dyDescent="0.2">
      <c r="A1710" s="310">
        <v>18517</v>
      </c>
      <c r="B1710" s="311" t="s">
        <v>13</v>
      </c>
      <c r="C1710" s="310" t="s">
        <v>14</v>
      </c>
    </row>
    <row r="1711" spans="1:3" ht="15" x14ac:dyDescent="0.2">
      <c r="A1711" s="310">
        <v>18518</v>
      </c>
      <c r="B1711" s="311" t="s">
        <v>13</v>
      </c>
      <c r="C1711" s="310" t="s">
        <v>14</v>
      </c>
    </row>
    <row r="1712" spans="1:3" ht="15" x14ac:dyDescent="0.2">
      <c r="A1712" s="310">
        <v>18519</v>
      </c>
      <c r="B1712" s="311" t="s">
        <v>13</v>
      </c>
      <c r="C1712" s="310" t="s">
        <v>14</v>
      </c>
    </row>
    <row r="1713" spans="1:3" ht="15" x14ac:dyDescent="0.2">
      <c r="A1713" s="310">
        <v>18522</v>
      </c>
      <c r="B1713" s="311" t="s">
        <v>13</v>
      </c>
      <c r="C1713" s="310" t="s">
        <v>14</v>
      </c>
    </row>
    <row r="1714" spans="1:3" ht="15" x14ac:dyDescent="0.2">
      <c r="A1714" s="310">
        <v>18540</v>
      </c>
      <c r="B1714" s="311" t="s">
        <v>13</v>
      </c>
      <c r="C1714" s="310" t="s">
        <v>14</v>
      </c>
    </row>
    <row r="1715" spans="1:3" ht="15" x14ac:dyDescent="0.2">
      <c r="A1715" s="310">
        <v>18577</v>
      </c>
      <c r="B1715" s="311" t="s">
        <v>13</v>
      </c>
      <c r="C1715" s="310" t="s">
        <v>14</v>
      </c>
    </row>
    <row r="1716" spans="1:3" ht="15" x14ac:dyDescent="0.2">
      <c r="A1716" s="310">
        <v>18601</v>
      </c>
      <c r="B1716" s="311" t="s">
        <v>13</v>
      </c>
      <c r="C1716" s="310" t="s">
        <v>14</v>
      </c>
    </row>
    <row r="1717" spans="1:3" ht="15" x14ac:dyDescent="0.2">
      <c r="A1717" s="310">
        <v>18602</v>
      </c>
      <c r="B1717" s="311" t="s">
        <v>13</v>
      </c>
      <c r="C1717" s="310" t="s">
        <v>14</v>
      </c>
    </row>
    <row r="1718" spans="1:3" ht="15" x14ac:dyDescent="0.2">
      <c r="A1718" s="310">
        <v>18603</v>
      </c>
      <c r="B1718" s="311" t="s">
        <v>11</v>
      </c>
      <c r="C1718" s="310" t="s">
        <v>12</v>
      </c>
    </row>
    <row r="1719" spans="1:3" ht="15" x14ac:dyDescent="0.2">
      <c r="A1719" s="310">
        <v>18610</v>
      </c>
      <c r="B1719" s="311" t="s">
        <v>13</v>
      </c>
      <c r="C1719" s="310" t="s">
        <v>14</v>
      </c>
    </row>
    <row r="1720" spans="1:3" ht="15" x14ac:dyDescent="0.2">
      <c r="A1720" s="310">
        <v>18611</v>
      </c>
      <c r="B1720" s="311" t="s">
        <v>13</v>
      </c>
      <c r="C1720" s="310" t="s">
        <v>14</v>
      </c>
    </row>
    <row r="1721" spans="1:3" ht="15" x14ac:dyDescent="0.2">
      <c r="A1721" s="310">
        <v>18612</v>
      </c>
      <c r="B1721" s="311" t="s">
        <v>13</v>
      </c>
      <c r="C1721" s="310" t="s">
        <v>14</v>
      </c>
    </row>
    <row r="1722" spans="1:3" ht="15" x14ac:dyDescent="0.2">
      <c r="A1722" s="310">
        <v>18614</v>
      </c>
      <c r="B1722" s="311" t="s">
        <v>13</v>
      </c>
      <c r="C1722" s="310" t="s">
        <v>14</v>
      </c>
    </row>
    <row r="1723" spans="1:3" ht="15" x14ac:dyDescent="0.2">
      <c r="A1723" s="310">
        <v>18615</v>
      </c>
      <c r="B1723" s="311" t="s">
        <v>13</v>
      </c>
      <c r="C1723" s="310" t="s">
        <v>14</v>
      </c>
    </row>
    <row r="1724" spans="1:3" ht="15" x14ac:dyDescent="0.2">
      <c r="A1724" s="310">
        <v>18616</v>
      </c>
      <c r="B1724" s="311" t="s">
        <v>13</v>
      </c>
      <c r="C1724" s="310" t="s">
        <v>14</v>
      </c>
    </row>
    <row r="1725" spans="1:3" ht="15" x14ac:dyDescent="0.2">
      <c r="A1725" s="310">
        <v>18617</v>
      </c>
      <c r="B1725" s="311" t="s">
        <v>13</v>
      </c>
      <c r="C1725" s="310" t="s">
        <v>14</v>
      </c>
    </row>
    <row r="1726" spans="1:3" ht="15" x14ac:dyDescent="0.2">
      <c r="A1726" s="310">
        <v>18618</v>
      </c>
      <c r="B1726" s="311" t="s">
        <v>13</v>
      </c>
      <c r="C1726" s="310" t="s">
        <v>14</v>
      </c>
    </row>
    <row r="1727" spans="1:3" ht="15" x14ac:dyDescent="0.2">
      <c r="A1727" s="310">
        <v>18619</v>
      </c>
      <c r="B1727" s="311" t="s">
        <v>13</v>
      </c>
      <c r="C1727" s="310" t="s">
        <v>14</v>
      </c>
    </row>
    <row r="1728" spans="1:3" ht="15" x14ac:dyDescent="0.2">
      <c r="A1728" s="310">
        <v>18621</v>
      </c>
      <c r="B1728" s="311" t="s">
        <v>13</v>
      </c>
      <c r="C1728" s="310" t="s">
        <v>14</v>
      </c>
    </row>
    <row r="1729" spans="1:3" ht="15" x14ac:dyDescent="0.2">
      <c r="A1729" s="310">
        <v>18622</v>
      </c>
      <c r="B1729" s="311" t="s">
        <v>13</v>
      </c>
      <c r="C1729" s="310" t="s">
        <v>14</v>
      </c>
    </row>
    <row r="1730" spans="1:3" ht="15" x14ac:dyDescent="0.2">
      <c r="A1730" s="310">
        <v>18623</v>
      </c>
      <c r="B1730" s="311" t="s">
        <v>13</v>
      </c>
      <c r="C1730" s="310" t="s">
        <v>14</v>
      </c>
    </row>
    <row r="1731" spans="1:3" ht="15" x14ac:dyDescent="0.2">
      <c r="A1731" s="310">
        <v>18624</v>
      </c>
      <c r="B1731" s="311" t="s">
        <v>17</v>
      </c>
      <c r="C1731" s="310" t="s">
        <v>18</v>
      </c>
    </row>
    <row r="1732" spans="1:3" ht="15" x14ac:dyDescent="0.2">
      <c r="A1732" s="310">
        <v>18625</v>
      </c>
      <c r="B1732" s="311" t="s">
        <v>13</v>
      </c>
      <c r="C1732" s="310" t="s">
        <v>14</v>
      </c>
    </row>
    <row r="1733" spans="1:3" ht="15" x14ac:dyDescent="0.2">
      <c r="A1733" s="310">
        <v>18626</v>
      </c>
      <c r="B1733" s="311" t="s">
        <v>13</v>
      </c>
      <c r="C1733" s="310" t="s">
        <v>14</v>
      </c>
    </row>
    <row r="1734" spans="1:3" ht="15" x14ac:dyDescent="0.2">
      <c r="A1734" s="310">
        <v>18627</v>
      </c>
      <c r="B1734" s="311" t="s">
        <v>13</v>
      </c>
      <c r="C1734" s="310" t="s">
        <v>14</v>
      </c>
    </row>
    <row r="1735" spans="1:3" ht="15" x14ac:dyDescent="0.2">
      <c r="A1735" s="310">
        <v>18628</v>
      </c>
      <c r="B1735" s="311" t="s">
        <v>13</v>
      </c>
      <c r="C1735" s="310" t="s">
        <v>14</v>
      </c>
    </row>
    <row r="1736" spans="1:3" ht="15" x14ac:dyDescent="0.2">
      <c r="A1736" s="310">
        <v>18629</v>
      </c>
      <c r="B1736" s="311" t="s">
        <v>13</v>
      </c>
      <c r="C1736" s="310" t="s">
        <v>14</v>
      </c>
    </row>
    <row r="1737" spans="1:3" ht="15" x14ac:dyDescent="0.2">
      <c r="A1737" s="310">
        <v>18630</v>
      </c>
      <c r="B1737" s="311" t="s">
        <v>13</v>
      </c>
      <c r="C1737" s="310" t="s">
        <v>14</v>
      </c>
    </row>
    <row r="1738" spans="1:3" ht="15" x14ac:dyDescent="0.2">
      <c r="A1738" s="310">
        <v>18631</v>
      </c>
      <c r="B1738" s="311" t="s">
        <v>11</v>
      </c>
      <c r="C1738" s="310" t="s">
        <v>12</v>
      </c>
    </row>
    <row r="1739" spans="1:3" ht="15" x14ac:dyDescent="0.2">
      <c r="A1739" s="310">
        <v>18632</v>
      </c>
      <c r="B1739" s="311" t="s">
        <v>13</v>
      </c>
      <c r="C1739" s="310" t="s">
        <v>14</v>
      </c>
    </row>
    <row r="1740" spans="1:3" ht="15" x14ac:dyDescent="0.2">
      <c r="A1740" s="310">
        <v>18634</v>
      </c>
      <c r="B1740" s="311" t="s">
        <v>13</v>
      </c>
      <c r="C1740" s="310" t="s">
        <v>14</v>
      </c>
    </row>
    <row r="1741" spans="1:3" ht="15" x14ac:dyDescent="0.2">
      <c r="A1741" s="310">
        <v>18635</v>
      </c>
      <c r="B1741" s="311" t="s">
        <v>13</v>
      </c>
      <c r="C1741" s="310" t="s">
        <v>14</v>
      </c>
    </row>
    <row r="1742" spans="1:3" ht="15" x14ac:dyDescent="0.2">
      <c r="A1742" s="310">
        <v>18636</v>
      </c>
      <c r="B1742" s="311" t="s">
        <v>13</v>
      </c>
      <c r="C1742" s="310" t="s">
        <v>14</v>
      </c>
    </row>
    <row r="1743" spans="1:3" ht="15" x14ac:dyDescent="0.2">
      <c r="A1743" s="310">
        <v>18640</v>
      </c>
      <c r="B1743" s="311" t="s">
        <v>13</v>
      </c>
      <c r="C1743" s="310" t="s">
        <v>14</v>
      </c>
    </row>
    <row r="1744" spans="1:3" ht="15" x14ac:dyDescent="0.2">
      <c r="A1744" s="310">
        <v>18641</v>
      </c>
      <c r="B1744" s="311" t="s">
        <v>13</v>
      </c>
      <c r="C1744" s="310" t="s">
        <v>14</v>
      </c>
    </row>
    <row r="1745" spans="1:3" ht="15" x14ac:dyDescent="0.2">
      <c r="A1745" s="310">
        <v>18642</v>
      </c>
      <c r="B1745" s="311" t="s">
        <v>13</v>
      </c>
      <c r="C1745" s="310" t="s">
        <v>14</v>
      </c>
    </row>
    <row r="1746" spans="1:3" ht="15" x14ac:dyDescent="0.2">
      <c r="A1746" s="310">
        <v>18643</v>
      </c>
      <c r="B1746" s="311" t="s">
        <v>13</v>
      </c>
      <c r="C1746" s="310" t="s">
        <v>14</v>
      </c>
    </row>
    <row r="1747" spans="1:3" ht="15" x14ac:dyDescent="0.2">
      <c r="A1747" s="310">
        <v>18644</v>
      </c>
      <c r="B1747" s="311" t="s">
        <v>13</v>
      </c>
      <c r="C1747" s="310" t="s">
        <v>14</v>
      </c>
    </row>
    <row r="1748" spans="1:3" ht="15" x14ac:dyDescent="0.2">
      <c r="A1748" s="310">
        <v>18651</v>
      </c>
      <c r="B1748" s="311" t="s">
        <v>13</v>
      </c>
      <c r="C1748" s="310" t="s">
        <v>14</v>
      </c>
    </row>
    <row r="1749" spans="1:3" ht="15" x14ac:dyDescent="0.2">
      <c r="A1749" s="310">
        <v>18653</v>
      </c>
      <c r="B1749" s="311" t="s">
        <v>13</v>
      </c>
      <c r="C1749" s="310" t="s">
        <v>14</v>
      </c>
    </row>
    <row r="1750" spans="1:3" ht="15" x14ac:dyDescent="0.2">
      <c r="A1750" s="310">
        <v>18654</v>
      </c>
      <c r="B1750" s="311" t="s">
        <v>13</v>
      </c>
      <c r="C1750" s="310" t="s">
        <v>14</v>
      </c>
    </row>
    <row r="1751" spans="1:3" ht="15" x14ac:dyDescent="0.2">
      <c r="A1751" s="310">
        <v>18655</v>
      </c>
      <c r="B1751" s="311" t="s">
        <v>13</v>
      </c>
      <c r="C1751" s="310" t="s">
        <v>14</v>
      </c>
    </row>
    <row r="1752" spans="1:3" ht="15" x14ac:dyDescent="0.2">
      <c r="A1752" s="310">
        <v>18656</v>
      </c>
      <c r="B1752" s="311" t="s">
        <v>13</v>
      </c>
      <c r="C1752" s="310" t="s">
        <v>14</v>
      </c>
    </row>
    <row r="1753" spans="1:3" ht="15" x14ac:dyDescent="0.2">
      <c r="A1753" s="310">
        <v>18657</v>
      </c>
      <c r="B1753" s="311" t="s">
        <v>13</v>
      </c>
      <c r="C1753" s="310" t="s">
        <v>14</v>
      </c>
    </row>
    <row r="1754" spans="1:3" ht="15" x14ac:dyDescent="0.2">
      <c r="A1754" s="310">
        <v>18660</v>
      </c>
      <c r="B1754" s="311" t="s">
        <v>13</v>
      </c>
      <c r="C1754" s="310" t="s">
        <v>14</v>
      </c>
    </row>
    <row r="1755" spans="1:3" ht="15" x14ac:dyDescent="0.2">
      <c r="A1755" s="310">
        <v>18661</v>
      </c>
      <c r="B1755" s="311" t="s">
        <v>13</v>
      </c>
      <c r="C1755" s="310" t="s">
        <v>14</v>
      </c>
    </row>
    <row r="1756" spans="1:3" ht="15" x14ac:dyDescent="0.2">
      <c r="A1756" s="310">
        <v>18690</v>
      </c>
      <c r="B1756" s="311" t="s">
        <v>13</v>
      </c>
      <c r="C1756" s="310" t="s">
        <v>14</v>
      </c>
    </row>
    <row r="1757" spans="1:3" ht="15" x14ac:dyDescent="0.2">
      <c r="A1757" s="310">
        <v>18701</v>
      </c>
      <c r="B1757" s="311" t="s">
        <v>13</v>
      </c>
      <c r="C1757" s="310" t="s">
        <v>14</v>
      </c>
    </row>
    <row r="1758" spans="1:3" ht="15" x14ac:dyDescent="0.2">
      <c r="A1758" s="310">
        <v>18702</v>
      </c>
      <c r="B1758" s="311" t="s">
        <v>13</v>
      </c>
      <c r="C1758" s="310" t="s">
        <v>14</v>
      </c>
    </row>
    <row r="1759" spans="1:3" ht="15" x14ac:dyDescent="0.2">
      <c r="A1759" s="310">
        <v>18703</v>
      </c>
      <c r="B1759" s="311" t="s">
        <v>13</v>
      </c>
      <c r="C1759" s="310" t="s">
        <v>14</v>
      </c>
    </row>
    <row r="1760" spans="1:3" ht="15" x14ac:dyDescent="0.2">
      <c r="A1760" s="310">
        <v>18704</v>
      </c>
      <c r="B1760" s="311" t="s">
        <v>13</v>
      </c>
      <c r="C1760" s="310" t="s">
        <v>14</v>
      </c>
    </row>
    <row r="1761" spans="1:3" ht="15" x14ac:dyDescent="0.2">
      <c r="A1761" s="310">
        <v>18705</v>
      </c>
      <c r="B1761" s="311" t="s">
        <v>13</v>
      </c>
      <c r="C1761" s="310" t="s">
        <v>14</v>
      </c>
    </row>
    <row r="1762" spans="1:3" ht="15" x14ac:dyDescent="0.2">
      <c r="A1762" s="310">
        <v>18706</v>
      </c>
      <c r="B1762" s="311" t="s">
        <v>13</v>
      </c>
      <c r="C1762" s="310" t="s">
        <v>14</v>
      </c>
    </row>
    <row r="1763" spans="1:3" ht="15" x14ac:dyDescent="0.2">
      <c r="A1763" s="310">
        <v>18707</v>
      </c>
      <c r="B1763" s="311" t="s">
        <v>13</v>
      </c>
      <c r="C1763" s="310" t="s">
        <v>14</v>
      </c>
    </row>
    <row r="1764" spans="1:3" ht="15" x14ac:dyDescent="0.2">
      <c r="A1764" s="310">
        <v>18708</v>
      </c>
      <c r="B1764" s="311" t="s">
        <v>13</v>
      </c>
      <c r="C1764" s="310" t="s">
        <v>14</v>
      </c>
    </row>
    <row r="1765" spans="1:3" ht="15" x14ac:dyDescent="0.2">
      <c r="A1765" s="310">
        <v>18709</v>
      </c>
      <c r="B1765" s="311" t="s">
        <v>13</v>
      </c>
      <c r="C1765" s="310" t="s">
        <v>14</v>
      </c>
    </row>
    <row r="1766" spans="1:3" ht="15" x14ac:dyDescent="0.2">
      <c r="A1766" s="310">
        <v>18710</v>
      </c>
      <c r="B1766" s="311" t="s">
        <v>13</v>
      </c>
      <c r="C1766" s="310" t="s">
        <v>14</v>
      </c>
    </row>
    <row r="1767" spans="1:3" ht="15" x14ac:dyDescent="0.2">
      <c r="A1767" s="310">
        <v>18711</v>
      </c>
      <c r="B1767" s="311" t="s">
        <v>13</v>
      </c>
      <c r="C1767" s="310" t="s">
        <v>14</v>
      </c>
    </row>
    <row r="1768" spans="1:3" ht="15" x14ac:dyDescent="0.2">
      <c r="A1768" s="310">
        <v>18761</v>
      </c>
      <c r="B1768" s="311" t="s">
        <v>13</v>
      </c>
      <c r="C1768" s="310" t="s">
        <v>14</v>
      </c>
    </row>
    <row r="1769" spans="1:3" ht="15" x14ac:dyDescent="0.2">
      <c r="A1769" s="310">
        <v>18762</v>
      </c>
      <c r="B1769" s="311" t="s">
        <v>13</v>
      </c>
      <c r="C1769" s="310" t="s">
        <v>14</v>
      </c>
    </row>
    <row r="1770" spans="1:3" ht="15" x14ac:dyDescent="0.2">
      <c r="A1770" s="310">
        <v>18763</v>
      </c>
      <c r="B1770" s="311" t="s">
        <v>13</v>
      </c>
      <c r="C1770" s="310" t="s">
        <v>14</v>
      </c>
    </row>
    <row r="1771" spans="1:3" ht="15" x14ac:dyDescent="0.2">
      <c r="A1771" s="310">
        <v>18764</v>
      </c>
      <c r="B1771" s="311" t="s">
        <v>13</v>
      </c>
      <c r="C1771" s="310" t="s">
        <v>14</v>
      </c>
    </row>
    <row r="1772" spans="1:3" ht="15" x14ac:dyDescent="0.2">
      <c r="A1772" s="310">
        <v>18765</v>
      </c>
      <c r="B1772" s="311" t="s">
        <v>13</v>
      </c>
      <c r="C1772" s="310" t="s">
        <v>14</v>
      </c>
    </row>
    <row r="1773" spans="1:3" ht="15" x14ac:dyDescent="0.2">
      <c r="A1773" s="310">
        <v>18766</v>
      </c>
      <c r="B1773" s="311" t="s">
        <v>13</v>
      </c>
      <c r="C1773" s="310" t="s">
        <v>14</v>
      </c>
    </row>
    <row r="1774" spans="1:3" ht="15" x14ac:dyDescent="0.2">
      <c r="A1774" s="310">
        <v>18767</v>
      </c>
      <c r="B1774" s="311" t="s">
        <v>13</v>
      </c>
      <c r="C1774" s="310" t="s">
        <v>14</v>
      </c>
    </row>
    <row r="1775" spans="1:3" ht="15" x14ac:dyDescent="0.2">
      <c r="A1775" s="310">
        <v>18768</v>
      </c>
      <c r="B1775" s="311" t="s">
        <v>13</v>
      </c>
      <c r="C1775" s="310" t="s">
        <v>14</v>
      </c>
    </row>
    <row r="1776" spans="1:3" ht="15" x14ac:dyDescent="0.2">
      <c r="A1776" s="310">
        <v>18769</v>
      </c>
      <c r="B1776" s="311" t="s">
        <v>13</v>
      </c>
      <c r="C1776" s="310" t="s">
        <v>14</v>
      </c>
    </row>
    <row r="1777" spans="1:3" ht="15" x14ac:dyDescent="0.2">
      <c r="A1777" s="310">
        <v>18773</v>
      </c>
      <c r="B1777" s="311" t="s">
        <v>13</v>
      </c>
      <c r="C1777" s="310" t="s">
        <v>14</v>
      </c>
    </row>
    <row r="1778" spans="1:3" ht="15" x14ac:dyDescent="0.2">
      <c r="A1778" s="310">
        <v>18774</v>
      </c>
      <c r="B1778" s="311" t="s">
        <v>13</v>
      </c>
      <c r="C1778" s="310" t="s">
        <v>14</v>
      </c>
    </row>
    <row r="1779" spans="1:3" ht="15" x14ac:dyDescent="0.2">
      <c r="A1779" s="310">
        <v>18801</v>
      </c>
      <c r="B1779" s="311" t="s">
        <v>19</v>
      </c>
      <c r="C1779" s="310" t="s">
        <v>20</v>
      </c>
    </row>
    <row r="1780" spans="1:3" ht="15" x14ac:dyDescent="0.2">
      <c r="A1780" s="310">
        <v>18810</v>
      </c>
      <c r="B1780" s="311" t="s">
        <v>13</v>
      </c>
      <c r="C1780" s="310" t="s">
        <v>14</v>
      </c>
    </row>
    <row r="1781" spans="1:3" ht="15" x14ac:dyDescent="0.2">
      <c r="A1781" s="310">
        <v>18812</v>
      </c>
      <c r="B1781" s="311" t="s">
        <v>19</v>
      </c>
      <c r="C1781" s="310" t="s">
        <v>20</v>
      </c>
    </row>
    <row r="1782" spans="1:3" ht="15" x14ac:dyDescent="0.2">
      <c r="A1782" s="310">
        <v>18813</v>
      </c>
      <c r="B1782" s="311" t="s">
        <v>19</v>
      </c>
      <c r="C1782" s="310" t="s">
        <v>20</v>
      </c>
    </row>
    <row r="1783" spans="1:3" ht="15" x14ac:dyDescent="0.2">
      <c r="A1783" s="310">
        <v>18814</v>
      </c>
      <c r="B1783" s="311" t="s">
        <v>13</v>
      </c>
      <c r="C1783" s="310" t="s">
        <v>14</v>
      </c>
    </row>
    <row r="1784" spans="1:3" ht="15" x14ac:dyDescent="0.2">
      <c r="A1784" s="310">
        <v>18815</v>
      </c>
      <c r="B1784" s="311" t="s">
        <v>13</v>
      </c>
      <c r="C1784" s="310" t="s">
        <v>14</v>
      </c>
    </row>
    <row r="1785" spans="1:3" ht="15" x14ac:dyDescent="0.2">
      <c r="A1785" s="310">
        <v>18816</v>
      </c>
      <c r="B1785" s="311" t="s">
        <v>19</v>
      </c>
      <c r="C1785" s="310" t="s">
        <v>20</v>
      </c>
    </row>
    <row r="1786" spans="1:3" ht="15" x14ac:dyDescent="0.2">
      <c r="A1786" s="310">
        <v>18817</v>
      </c>
      <c r="B1786" s="311" t="s">
        <v>13</v>
      </c>
      <c r="C1786" s="310" t="s">
        <v>14</v>
      </c>
    </row>
    <row r="1787" spans="1:3" ht="15" x14ac:dyDescent="0.2">
      <c r="A1787" s="310">
        <v>18818</v>
      </c>
      <c r="B1787" s="311" t="s">
        <v>19</v>
      </c>
      <c r="C1787" s="310" t="s">
        <v>20</v>
      </c>
    </row>
    <row r="1788" spans="1:3" ht="15" x14ac:dyDescent="0.2">
      <c r="A1788" s="310">
        <v>18820</v>
      </c>
      <c r="B1788" s="311" t="s">
        <v>19</v>
      </c>
      <c r="C1788" s="310" t="s">
        <v>20</v>
      </c>
    </row>
    <row r="1789" spans="1:3" ht="15" x14ac:dyDescent="0.2">
      <c r="A1789" s="310">
        <v>18821</v>
      </c>
      <c r="B1789" s="311" t="s">
        <v>19</v>
      </c>
      <c r="C1789" s="310" t="s">
        <v>20</v>
      </c>
    </row>
    <row r="1790" spans="1:3" ht="15" x14ac:dyDescent="0.2">
      <c r="A1790" s="310">
        <v>18822</v>
      </c>
      <c r="B1790" s="311" t="s">
        <v>19</v>
      </c>
      <c r="C1790" s="310" t="s">
        <v>20</v>
      </c>
    </row>
    <row r="1791" spans="1:3" ht="15" x14ac:dyDescent="0.2">
      <c r="A1791" s="310">
        <v>18823</v>
      </c>
      <c r="B1791" s="311" t="s">
        <v>19</v>
      </c>
      <c r="C1791" s="310" t="s">
        <v>20</v>
      </c>
    </row>
    <row r="1792" spans="1:3" ht="15" x14ac:dyDescent="0.2">
      <c r="A1792" s="310">
        <v>18824</v>
      </c>
      <c r="B1792" s="311" t="s">
        <v>19</v>
      </c>
      <c r="C1792" s="310" t="s">
        <v>20</v>
      </c>
    </row>
    <row r="1793" spans="1:3" ht="15" x14ac:dyDescent="0.2">
      <c r="A1793" s="310">
        <v>18825</v>
      </c>
      <c r="B1793" s="311" t="s">
        <v>19</v>
      </c>
      <c r="C1793" s="310" t="s">
        <v>20</v>
      </c>
    </row>
    <row r="1794" spans="1:3" ht="15" x14ac:dyDescent="0.2">
      <c r="A1794" s="310">
        <v>18826</v>
      </c>
      <c r="B1794" s="311" t="s">
        <v>19</v>
      </c>
      <c r="C1794" s="310" t="s">
        <v>20</v>
      </c>
    </row>
    <row r="1795" spans="1:3" ht="15" x14ac:dyDescent="0.2">
      <c r="A1795" s="310">
        <v>18827</v>
      </c>
      <c r="B1795" s="311" t="s">
        <v>19</v>
      </c>
      <c r="C1795" s="310" t="s">
        <v>20</v>
      </c>
    </row>
    <row r="1796" spans="1:3" ht="15" x14ac:dyDescent="0.2">
      <c r="A1796" s="310">
        <v>18828</v>
      </c>
      <c r="B1796" s="311" t="s">
        <v>19</v>
      </c>
      <c r="C1796" s="310" t="s">
        <v>20</v>
      </c>
    </row>
    <row r="1797" spans="1:3" ht="15" x14ac:dyDescent="0.2">
      <c r="A1797" s="310">
        <v>18829</v>
      </c>
      <c r="B1797" s="311" t="s">
        <v>13</v>
      </c>
      <c r="C1797" s="310" t="s">
        <v>14</v>
      </c>
    </row>
    <row r="1798" spans="1:3" ht="15" x14ac:dyDescent="0.2">
      <c r="A1798" s="310">
        <v>18830</v>
      </c>
      <c r="B1798" s="311" t="s">
        <v>19</v>
      </c>
      <c r="C1798" s="310" t="s">
        <v>20</v>
      </c>
    </row>
    <row r="1799" spans="1:3" ht="15" x14ac:dyDescent="0.2">
      <c r="A1799" s="310">
        <v>18831</v>
      </c>
      <c r="B1799" s="311" t="s">
        <v>13</v>
      </c>
      <c r="C1799" s="310" t="s">
        <v>14</v>
      </c>
    </row>
    <row r="1800" spans="1:3" ht="15" x14ac:dyDescent="0.2">
      <c r="A1800" s="310">
        <v>18832</v>
      </c>
      <c r="B1800" s="311" t="s">
        <v>13</v>
      </c>
      <c r="C1800" s="310" t="s">
        <v>14</v>
      </c>
    </row>
    <row r="1801" spans="1:3" ht="15" x14ac:dyDescent="0.2">
      <c r="A1801" s="310">
        <v>18833</v>
      </c>
      <c r="B1801" s="311" t="s">
        <v>13</v>
      </c>
      <c r="C1801" s="310" t="s">
        <v>14</v>
      </c>
    </row>
    <row r="1802" spans="1:3" ht="15" x14ac:dyDescent="0.2">
      <c r="A1802" s="310">
        <v>18834</v>
      </c>
      <c r="B1802" s="311" t="s">
        <v>19</v>
      </c>
      <c r="C1802" s="310" t="s">
        <v>20</v>
      </c>
    </row>
    <row r="1803" spans="1:3" ht="15" x14ac:dyDescent="0.2">
      <c r="A1803" s="310">
        <v>18837</v>
      </c>
      <c r="B1803" s="311" t="s">
        <v>13</v>
      </c>
      <c r="C1803" s="310" t="s">
        <v>14</v>
      </c>
    </row>
    <row r="1804" spans="1:3" ht="15" x14ac:dyDescent="0.2">
      <c r="A1804" s="310">
        <v>18840</v>
      </c>
      <c r="B1804" s="311" t="s">
        <v>13</v>
      </c>
      <c r="C1804" s="310" t="s">
        <v>14</v>
      </c>
    </row>
    <row r="1805" spans="1:3" ht="15" x14ac:dyDescent="0.2">
      <c r="A1805" s="310">
        <v>18842</v>
      </c>
      <c r="B1805" s="311" t="s">
        <v>19</v>
      </c>
      <c r="C1805" s="310" t="s">
        <v>20</v>
      </c>
    </row>
    <row r="1806" spans="1:3" ht="15" x14ac:dyDescent="0.2">
      <c r="A1806" s="310">
        <v>18843</v>
      </c>
      <c r="B1806" s="311" t="s">
        <v>19</v>
      </c>
      <c r="C1806" s="310" t="s">
        <v>20</v>
      </c>
    </row>
    <row r="1807" spans="1:3" ht="15" x14ac:dyDescent="0.2">
      <c r="A1807" s="310">
        <v>18844</v>
      </c>
      <c r="B1807" s="311" t="s">
        <v>19</v>
      </c>
      <c r="C1807" s="310" t="s">
        <v>20</v>
      </c>
    </row>
    <row r="1808" spans="1:3" ht="15" x14ac:dyDescent="0.2">
      <c r="A1808" s="310">
        <v>18845</v>
      </c>
      <c r="B1808" s="311" t="s">
        <v>13</v>
      </c>
      <c r="C1808" s="310" t="s">
        <v>14</v>
      </c>
    </row>
    <row r="1809" spans="1:3" ht="15" x14ac:dyDescent="0.2">
      <c r="A1809" s="310">
        <v>18846</v>
      </c>
      <c r="B1809" s="311" t="s">
        <v>13</v>
      </c>
      <c r="C1809" s="310" t="s">
        <v>14</v>
      </c>
    </row>
    <row r="1810" spans="1:3" ht="15" x14ac:dyDescent="0.2">
      <c r="A1810" s="310">
        <v>18847</v>
      </c>
      <c r="B1810" s="311" t="s">
        <v>19</v>
      </c>
      <c r="C1810" s="310" t="s">
        <v>20</v>
      </c>
    </row>
    <row r="1811" spans="1:3" ht="15" x14ac:dyDescent="0.2">
      <c r="A1811" s="310">
        <v>18848</v>
      </c>
      <c r="B1811" s="311" t="s">
        <v>13</v>
      </c>
      <c r="C1811" s="310" t="s">
        <v>14</v>
      </c>
    </row>
    <row r="1812" spans="1:3" ht="15" x14ac:dyDescent="0.2">
      <c r="A1812" s="310">
        <v>18850</v>
      </c>
      <c r="B1812" s="311" t="s">
        <v>13</v>
      </c>
      <c r="C1812" s="310" t="s">
        <v>14</v>
      </c>
    </row>
    <row r="1813" spans="1:3" ht="15" x14ac:dyDescent="0.2">
      <c r="A1813" s="310">
        <v>18851</v>
      </c>
      <c r="B1813" s="311" t="s">
        <v>13</v>
      </c>
      <c r="C1813" s="310" t="s">
        <v>14</v>
      </c>
    </row>
    <row r="1814" spans="1:3" ht="15" x14ac:dyDescent="0.2">
      <c r="A1814" s="310">
        <v>18853</v>
      </c>
      <c r="B1814" s="311" t="s">
        <v>13</v>
      </c>
      <c r="C1814" s="310" t="s">
        <v>14</v>
      </c>
    </row>
    <row r="1815" spans="1:3" ht="15" x14ac:dyDescent="0.2">
      <c r="A1815" s="310">
        <v>18854</v>
      </c>
      <c r="B1815" s="311" t="s">
        <v>13</v>
      </c>
      <c r="C1815" s="310" t="s">
        <v>14</v>
      </c>
    </row>
    <row r="1816" spans="1:3" ht="15" x14ac:dyDescent="0.2">
      <c r="A1816" s="310">
        <v>18901</v>
      </c>
      <c r="B1816" s="311" t="s">
        <v>15</v>
      </c>
      <c r="C1816" s="310" t="s">
        <v>16</v>
      </c>
    </row>
    <row r="1817" spans="1:3" ht="15" x14ac:dyDescent="0.2">
      <c r="A1817" s="310">
        <v>18902</v>
      </c>
      <c r="B1817" s="311" t="s">
        <v>15</v>
      </c>
      <c r="C1817" s="310" t="s">
        <v>16</v>
      </c>
    </row>
    <row r="1818" spans="1:3" ht="15" x14ac:dyDescent="0.2">
      <c r="A1818" s="310">
        <v>18910</v>
      </c>
      <c r="B1818" s="311" t="s">
        <v>15</v>
      </c>
      <c r="C1818" s="310" t="s">
        <v>16</v>
      </c>
    </row>
    <row r="1819" spans="1:3" ht="15" x14ac:dyDescent="0.2">
      <c r="A1819" s="310">
        <v>18911</v>
      </c>
      <c r="B1819" s="311" t="s">
        <v>15</v>
      </c>
      <c r="C1819" s="310" t="s">
        <v>16</v>
      </c>
    </row>
    <row r="1820" spans="1:3" ht="15" x14ac:dyDescent="0.2">
      <c r="A1820" s="310">
        <v>18912</v>
      </c>
      <c r="B1820" s="311" t="s">
        <v>15</v>
      </c>
      <c r="C1820" s="310" t="s">
        <v>16</v>
      </c>
    </row>
    <row r="1821" spans="1:3" ht="15" x14ac:dyDescent="0.2">
      <c r="A1821" s="310">
        <v>18913</v>
      </c>
      <c r="B1821" s="311" t="s">
        <v>15</v>
      </c>
      <c r="C1821" s="310" t="s">
        <v>16</v>
      </c>
    </row>
    <row r="1822" spans="1:3" ht="15" x14ac:dyDescent="0.2">
      <c r="A1822" s="310">
        <v>18914</v>
      </c>
      <c r="B1822" s="311" t="s">
        <v>15</v>
      </c>
      <c r="C1822" s="310" t="s">
        <v>16</v>
      </c>
    </row>
    <row r="1823" spans="1:3" ht="15" x14ac:dyDescent="0.2">
      <c r="A1823" s="310">
        <v>18915</v>
      </c>
      <c r="B1823" s="311" t="s">
        <v>15</v>
      </c>
      <c r="C1823" s="310" t="s">
        <v>16</v>
      </c>
    </row>
    <row r="1824" spans="1:3" ht="15" x14ac:dyDescent="0.2">
      <c r="A1824" s="310">
        <v>18916</v>
      </c>
      <c r="B1824" s="311" t="s">
        <v>15</v>
      </c>
      <c r="C1824" s="310" t="s">
        <v>16</v>
      </c>
    </row>
    <row r="1825" spans="1:3" ht="15" x14ac:dyDescent="0.2">
      <c r="A1825" s="310">
        <v>18917</v>
      </c>
      <c r="B1825" s="311" t="s">
        <v>15</v>
      </c>
      <c r="C1825" s="310" t="s">
        <v>16</v>
      </c>
    </row>
    <row r="1826" spans="1:3" ht="15" x14ac:dyDescent="0.2">
      <c r="A1826" s="310">
        <v>18918</v>
      </c>
      <c r="B1826" s="311" t="s">
        <v>15</v>
      </c>
      <c r="C1826" s="310" t="s">
        <v>16</v>
      </c>
    </row>
    <row r="1827" spans="1:3" ht="15" x14ac:dyDescent="0.2">
      <c r="A1827" s="310">
        <v>18920</v>
      </c>
      <c r="B1827" s="311" t="s">
        <v>15</v>
      </c>
      <c r="C1827" s="310" t="s">
        <v>16</v>
      </c>
    </row>
    <row r="1828" spans="1:3" ht="15" x14ac:dyDescent="0.2">
      <c r="A1828" s="310">
        <v>18921</v>
      </c>
      <c r="B1828" s="311" t="s">
        <v>15</v>
      </c>
      <c r="C1828" s="310" t="s">
        <v>16</v>
      </c>
    </row>
    <row r="1829" spans="1:3" ht="15" x14ac:dyDescent="0.2">
      <c r="A1829" s="310">
        <v>18922</v>
      </c>
      <c r="B1829" s="311" t="s">
        <v>15</v>
      </c>
      <c r="C1829" s="310" t="s">
        <v>16</v>
      </c>
    </row>
    <row r="1830" spans="1:3" ht="15" x14ac:dyDescent="0.2">
      <c r="A1830" s="310">
        <v>18923</v>
      </c>
      <c r="B1830" s="311" t="s">
        <v>15</v>
      </c>
      <c r="C1830" s="310" t="s">
        <v>16</v>
      </c>
    </row>
    <row r="1831" spans="1:3" ht="15" x14ac:dyDescent="0.2">
      <c r="A1831" s="310">
        <v>18924</v>
      </c>
      <c r="B1831" s="311" t="s">
        <v>15</v>
      </c>
      <c r="C1831" s="310" t="s">
        <v>16</v>
      </c>
    </row>
    <row r="1832" spans="1:3" ht="15" x14ac:dyDescent="0.2">
      <c r="A1832" s="310">
        <v>18925</v>
      </c>
      <c r="B1832" s="311" t="s">
        <v>15</v>
      </c>
      <c r="C1832" s="310" t="s">
        <v>16</v>
      </c>
    </row>
    <row r="1833" spans="1:3" ht="15" x14ac:dyDescent="0.2">
      <c r="A1833" s="310">
        <v>18926</v>
      </c>
      <c r="B1833" s="311" t="s">
        <v>15</v>
      </c>
      <c r="C1833" s="310" t="s">
        <v>16</v>
      </c>
    </row>
    <row r="1834" spans="1:3" ht="15" x14ac:dyDescent="0.2">
      <c r="A1834" s="310">
        <v>18927</v>
      </c>
      <c r="B1834" s="311" t="s">
        <v>15</v>
      </c>
      <c r="C1834" s="310" t="s">
        <v>16</v>
      </c>
    </row>
    <row r="1835" spans="1:3" ht="15" x14ac:dyDescent="0.2">
      <c r="A1835" s="310">
        <v>18928</v>
      </c>
      <c r="B1835" s="311" t="s">
        <v>15</v>
      </c>
      <c r="C1835" s="310" t="s">
        <v>16</v>
      </c>
    </row>
    <row r="1836" spans="1:3" ht="15" x14ac:dyDescent="0.2">
      <c r="A1836" s="310">
        <v>18929</v>
      </c>
      <c r="B1836" s="311" t="s">
        <v>15</v>
      </c>
      <c r="C1836" s="310" t="s">
        <v>16</v>
      </c>
    </row>
    <row r="1837" spans="1:3" ht="15" x14ac:dyDescent="0.2">
      <c r="A1837" s="310">
        <v>18930</v>
      </c>
      <c r="B1837" s="311" t="s">
        <v>15</v>
      </c>
      <c r="C1837" s="310" t="s">
        <v>16</v>
      </c>
    </row>
    <row r="1838" spans="1:3" ht="15" x14ac:dyDescent="0.2">
      <c r="A1838" s="310">
        <v>18931</v>
      </c>
      <c r="B1838" s="311" t="s">
        <v>15</v>
      </c>
      <c r="C1838" s="310" t="s">
        <v>16</v>
      </c>
    </row>
    <row r="1839" spans="1:3" ht="15" x14ac:dyDescent="0.2">
      <c r="A1839" s="310">
        <v>18932</v>
      </c>
      <c r="B1839" s="311" t="s">
        <v>15</v>
      </c>
      <c r="C1839" s="310" t="s">
        <v>16</v>
      </c>
    </row>
    <row r="1840" spans="1:3" ht="15" x14ac:dyDescent="0.2">
      <c r="A1840" s="310">
        <v>18933</v>
      </c>
      <c r="B1840" s="311" t="s">
        <v>15</v>
      </c>
      <c r="C1840" s="310" t="s">
        <v>16</v>
      </c>
    </row>
    <row r="1841" spans="1:3" ht="15" x14ac:dyDescent="0.2">
      <c r="A1841" s="310">
        <v>18934</v>
      </c>
      <c r="B1841" s="311" t="s">
        <v>15</v>
      </c>
      <c r="C1841" s="310" t="s">
        <v>16</v>
      </c>
    </row>
    <row r="1842" spans="1:3" ht="15" x14ac:dyDescent="0.2">
      <c r="A1842" s="310">
        <v>18935</v>
      </c>
      <c r="B1842" s="311" t="s">
        <v>15</v>
      </c>
      <c r="C1842" s="310" t="s">
        <v>16</v>
      </c>
    </row>
    <row r="1843" spans="1:3" ht="15" x14ac:dyDescent="0.2">
      <c r="A1843" s="310">
        <v>18936</v>
      </c>
      <c r="B1843" s="311" t="s">
        <v>15</v>
      </c>
      <c r="C1843" s="310" t="s">
        <v>16</v>
      </c>
    </row>
    <row r="1844" spans="1:3" ht="15" x14ac:dyDescent="0.2">
      <c r="A1844" s="310">
        <v>18938</v>
      </c>
      <c r="B1844" s="311" t="s">
        <v>15</v>
      </c>
      <c r="C1844" s="310" t="s">
        <v>16</v>
      </c>
    </row>
    <row r="1845" spans="1:3" ht="15" x14ac:dyDescent="0.2">
      <c r="A1845" s="310">
        <v>18940</v>
      </c>
      <c r="B1845" s="311" t="s">
        <v>15</v>
      </c>
      <c r="C1845" s="310" t="s">
        <v>16</v>
      </c>
    </row>
    <row r="1846" spans="1:3" ht="15" x14ac:dyDescent="0.2">
      <c r="A1846" s="310">
        <v>18942</v>
      </c>
      <c r="B1846" s="311" t="s">
        <v>15</v>
      </c>
      <c r="C1846" s="310" t="s">
        <v>16</v>
      </c>
    </row>
    <row r="1847" spans="1:3" ht="15" x14ac:dyDescent="0.2">
      <c r="A1847" s="310">
        <v>18943</v>
      </c>
      <c r="B1847" s="311" t="s">
        <v>15</v>
      </c>
      <c r="C1847" s="310" t="s">
        <v>16</v>
      </c>
    </row>
    <row r="1848" spans="1:3" ht="15" x14ac:dyDescent="0.2">
      <c r="A1848" s="310">
        <v>18944</v>
      </c>
      <c r="B1848" s="311" t="s">
        <v>15</v>
      </c>
      <c r="C1848" s="310" t="s">
        <v>16</v>
      </c>
    </row>
    <row r="1849" spans="1:3" ht="15" x14ac:dyDescent="0.2">
      <c r="A1849" s="310">
        <v>18946</v>
      </c>
      <c r="B1849" s="311" t="s">
        <v>15</v>
      </c>
      <c r="C1849" s="310" t="s">
        <v>16</v>
      </c>
    </row>
    <row r="1850" spans="1:3" ht="15" x14ac:dyDescent="0.2">
      <c r="A1850" s="310">
        <v>18947</v>
      </c>
      <c r="B1850" s="311" t="s">
        <v>15</v>
      </c>
      <c r="C1850" s="310" t="s">
        <v>16</v>
      </c>
    </row>
    <row r="1851" spans="1:3" ht="15" x14ac:dyDescent="0.2">
      <c r="A1851" s="310">
        <v>18949</v>
      </c>
      <c r="B1851" s="311" t="s">
        <v>15</v>
      </c>
      <c r="C1851" s="310" t="s">
        <v>16</v>
      </c>
    </row>
    <row r="1852" spans="1:3" ht="15" x14ac:dyDescent="0.2">
      <c r="A1852" s="310">
        <v>18950</v>
      </c>
      <c r="B1852" s="311" t="s">
        <v>15</v>
      </c>
      <c r="C1852" s="310" t="s">
        <v>16</v>
      </c>
    </row>
    <row r="1853" spans="1:3" ht="15" x14ac:dyDescent="0.2">
      <c r="A1853" s="310">
        <v>18951</v>
      </c>
      <c r="B1853" s="311" t="s">
        <v>15</v>
      </c>
      <c r="C1853" s="310" t="s">
        <v>16</v>
      </c>
    </row>
    <row r="1854" spans="1:3" ht="15" x14ac:dyDescent="0.2">
      <c r="A1854" s="310">
        <v>18953</v>
      </c>
      <c r="B1854" s="311" t="s">
        <v>15</v>
      </c>
      <c r="C1854" s="310" t="s">
        <v>16</v>
      </c>
    </row>
    <row r="1855" spans="1:3" ht="15" x14ac:dyDescent="0.2">
      <c r="A1855" s="310">
        <v>18954</v>
      </c>
      <c r="B1855" s="311" t="s">
        <v>15</v>
      </c>
      <c r="C1855" s="310" t="s">
        <v>16</v>
      </c>
    </row>
    <row r="1856" spans="1:3" ht="15" x14ac:dyDescent="0.2">
      <c r="A1856" s="310">
        <v>18955</v>
      </c>
      <c r="B1856" s="311" t="s">
        <v>15</v>
      </c>
      <c r="C1856" s="310" t="s">
        <v>16</v>
      </c>
    </row>
    <row r="1857" spans="1:3" ht="15" x14ac:dyDescent="0.2">
      <c r="A1857" s="310">
        <v>18956</v>
      </c>
      <c r="B1857" s="311" t="s">
        <v>15</v>
      </c>
      <c r="C1857" s="310" t="s">
        <v>16</v>
      </c>
    </row>
    <row r="1858" spans="1:3" ht="15" x14ac:dyDescent="0.2">
      <c r="A1858" s="310">
        <v>18957</v>
      </c>
      <c r="B1858" s="311" t="s">
        <v>15</v>
      </c>
      <c r="C1858" s="310" t="s">
        <v>16</v>
      </c>
    </row>
    <row r="1859" spans="1:3" ht="15" x14ac:dyDescent="0.2">
      <c r="A1859" s="310">
        <v>18958</v>
      </c>
      <c r="B1859" s="311" t="s">
        <v>15</v>
      </c>
      <c r="C1859" s="310" t="s">
        <v>16</v>
      </c>
    </row>
    <row r="1860" spans="1:3" ht="15" x14ac:dyDescent="0.2">
      <c r="A1860" s="310">
        <v>18960</v>
      </c>
      <c r="B1860" s="311" t="s">
        <v>15</v>
      </c>
      <c r="C1860" s="310" t="s">
        <v>16</v>
      </c>
    </row>
    <row r="1861" spans="1:3" ht="15" x14ac:dyDescent="0.2">
      <c r="A1861" s="310">
        <v>18962</v>
      </c>
      <c r="B1861" s="311" t="s">
        <v>15</v>
      </c>
      <c r="C1861" s="310" t="s">
        <v>16</v>
      </c>
    </row>
    <row r="1862" spans="1:3" ht="15" x14ac:dyDescent="0.2">
      <c r="A1862" s="310">
        <v>18963</v>
      </c>
      <c r="B1862" s="311" t="s">
        <v>15</v>
      </c>
      <c r="C1862" s="310" t="s">
        <v>16</v>
      </c>
    </row>
    <row r="1863" spans="1:3" ht="15" x14ac:dyDescent="0.2">
      <c r="A1863" s="310">
        <v>18964</v>
      </c>
      <c r="B1863" s="311" t="s">
        <v>15</v>
      </c>
      <c r="C1863" s="310" t="s">
        <v>16</v>
      </c>
    </row>
    <row r="1864" spans="1:3" ht="15" x14ac:dyDescent="0.2">
      <c r="A1864" s="310">
        <v>18966</v>
      </c>
      <c r="B1864" s="311" t="s">
        <v>15</v>
      </c>
      <c r="C1864" s="310" t="s">
        <v>16</v>
      </c>
    </row>
    <row r="1865" spans="1:3" ht="15" x14ac:dyDescent="0.2">
      <c r="A1865" s="310">
        <v>18968</v>
      </c>
      <c r="B1865" s="311" t="s">
        <v>15</v>
      </c>
      <c r="C1865" s="310" t="s">
        <v>16</v>
      </c>
    </row>
    <row r="1866" spans="1:3" ht="15" x14ac:dyDescent="0.2">
      <c r="A1866" s="310">
        <v>18969</v>
      </c>
      <c r="B1866" s="311" t="s">
        <v>15</v>
      </c>
      <c r="C1866" s="310" t="s">
        <v>16</v>
      </c>
    </row>
    <row r="1867" spans="1:3" ht="15" x14ac:dyDescent="0.2">
      <c r="A1867" s="310">
        <v>18970</v>
      </c>
      <c r="B1867" s="311" t="s">
        <v>15</v>
      </c>
      <c r="C1867" s="310" t="s">
        <v>16</v>
      </c>
    </row>
    <row r="1868" spans="1:3" ht="15" x14ac:dyDescent="0.2">
      <c r="A1868" s="310">
        <v>18971</v>
      </c>
      <c r="B1868" s="311" t="s">
        <v>15</v>
      </c>
      <c r="C1868" s="310" t="s">
        <v>16</v>
      </c>
    </row>
    <row r="1869" spans="1:3" ht="15" x14ac:dyDescent="0.2">
      <c r="A1869" s="310">
        <v>18972</v>
      </c>
      <c r="B1869" s="311" t="s">
        <v>15</v>
      </c>
      <c r="C1869" s="310" t="s">
        <v>16</v>
      </c>
    </row>
    <row r="1870" spans="1:3" ht="15" x14ac:dyDescent="0.2">
      <c r="A1870" s="310">
        <v>18974</v>
      </c>
      <c r="B1870" s="311" t="s">
        <v>15</v>
      </c>
      <c r="C1870" s="310" t="s">
        <v>16</v>
      </c>
    </row>
    <row r="1871" spans="1:3" ht="15" x14ac:dyDescent="0.2">
      <c r="A1871" s="310">
        <v>18976</v>
      </c>
      <c r="B1871" s="311" t="s">
        <v>15</v>
      </c>
      <c r="C1871" s="310" t="s">
        <v>16</v>
      </c>
    </row>
    <row r="1872" spans="1:3" ht="15" x14ac:dyDescent="0.2">
      <c r="A1872" s="310">
        <v>18977</v>
      </c>
      <c r="B1872" s="311" t="s">
        <v>15</v>
      </c>
      <c r="C1872" s="310" t="s">
        <v>16</v>
      </c>
    </row>
    <row r="1873" spans="1:3" ht="15" x14ac:dyDescent="0.2">
      <c r="A1873" s="310">
        <v>18979</v>
      </c>
      <c r="B1873" s="311" t="s">
        <v>15</v>
      </c>
      <c r="C1873" s="310" t="s">
        <v>16</v>
      </c>
    </row>
    <row r="1874" spans="1:3" ht="15" x14ac:dyDescent="0.2">
      <c r="A1874" s="310">
        <v>18980</v>
      </c>
      <c r="B1874" s="311" t="s">
        <v>15</v>
      </c>
      <c r="C1874" s="310" t="s">
        <v>16</v>
      </c>
    </row>
    <row r="1875" spans="1:3" ht="15" x14ac:dyDescent="0.2">
      <c r="A1875" s="310">
        <v>18981</v>
      </c>
      <c r="B1875" s="311" t="s">
        <v>15</v>
      </c>
      <c r="C1875" s="310" t="s">
        <v>16</v>
      </c>
    </row>
    <row r="1876" spans="1:3" ht="15" x14ac:dyDescent="0.2">
      <c r="A1876" s="310">
        <v>18991</v>
      </c>
      <c r="B1876" s="311" t="s">
        <v>15</v>
      </c>
      <c r="C1876" s="310" t="s">
        <v>16</v>
      </c>
    </row>
    <row r="1877" spans="1:3" ht="15" x14ac:dyDescent="0.2">
      <c r="A1877" s="310">
        <v>19001</v>
      </c>
      <c r="B1877" s="311" t="s">
        <v>15</v>
      </c>
      <c r="C1877" s="310" t="s">
        <v>16</v>
      </c>
    </row>
    <row r="1878" spans="1:3" ht="15" x14ac:dyDescent="0.2">
      <c r="A1878" s="310">
        <v>19002</v>
      </c>
      <c r="B1878" s="311" t="s">
        <v>15</v>
      </c>
      <c r="C1878" s="310" t="s">
        <v>16</v>
      </c>
    </row>
    <row r="1879" spans="1:3" ht="15" x14ac:dyDescent="0.2">
      <c r="A1879" s="310">
        <v>19003</v>
      </c>
      <c r="B1879" s="311" t="s">
        <v>15</v>
      </c>
      <c r="C1879" s="310" t="s">
        <v>16</v>
      </c>
    </row>
    <row r="1880" spans="1:3" ht="15" x14ac:dyDescent="0.2">
      <c r="A1880" s="310">
        <v>19004</v>
      </c>
      <c r="B1880" s="311" t="s">
        <v>15</v>
      </c>
      <c r="C1880" s="310" t="s">
        <v>16</v>
      </c>
    </row>
    <row r="1881" spans="1:3" ht="15" x14ac:dyDescent="0.2">
      <c r="A1881" s="310">
        <v>19006</v>
      </c>
      <c r="B1881" s="311" t="s">
        <v>15</v>
      </c>
      <c r="C1881" s="310" t="s">
        <v>16</v>
      </c>
    </row>
    <row r="1882" spans="1:3" ht="15" x14ac:dyDescent="0.2">
      <c r="A1882" s="310">
        <v>19007</v>
      </c>
      <c r="B1882" s="311" t="s">
        <v>15</v>
      </c>
      <c r="C1882" s="310" t="s">
        <v>16</v>
      </c>
    </row>
    <row r="1883" spans="1:3" ht="15" x14ac:dyDescent="0.2">
      <c r="A1883" s="310">
        <v>19008</v>
      </c>
      <c r="B1883" s="311" t="s">
        <v>15</v>
      </c>
      <c r="C1883" s="310" t="s">
        <v>16</v>
      </c>
    </row>
    <row r="1884" spans="1:3" ht="15" x14ac:dyDescent="0.2">
      <c r="A1884" s="310">
        <v>19009</v>
      </c>
      <c r="B1884" s="311" t="s">
        <v>15</v>
      </c>
      <c r="C1884" s="310" t="s">
        <v>16</v>
      </c>
    </row>
    <row r="1885" spans="1:3" ht="15" x14ac:dyDescent="0.2">
      <c r="A1885" s="310">
        <v>19010</v>
      </c>
      <c r="B1885" s="311" t="s">
        <v>15</v>
      </c>
      <c r="C1885" s="310" t="s">
        <v>16</v>
      </c>
    </row>
    <row r="1886" spans="1:3" ht="15" x14ac:dyDescent="0.2">
      <c r="A1886" s="310">
        <v>19012</v>
      </c>
      <c r="B1886" s="311" t="s">
        <v>15</v>
      </c>
      <c r="C1886" s="310" t="s">
        <v>16</v>
      </c>
    </row>
    <row r="1887" spans="1:3" ht="15" x14ac:dyDescent="0.2">
      <c r="A1887" s="310">
        <v>19013</v>
      </c>
      <c r="B1887" s="311" t="s">
        <v>15</v>
      </c>
      <c r="C1887" s="310" t="s">
        <v>16</v>
      </c>
    </row>
    <row r="1888" spans="1:3" ht="15" x14ac:dyDescent="0.2">
      <c r="A1888" s="310">
        <v>19014</v>
      </c>
      <c r="B1888" s="311" t="s">
        <v>15</v>
      </c>
      <c r="C1888" s="310" t="s">
        <v>16</v>
      </c>
    </row>
    <row r="1889" spans="1:3" ht="15" x14ac:dyDescent="0.2">
      <c r="A1889" s="310">
        <v>19015</v>
      </c>
      <c r="B1889" s="311" t="s">
        <v>15</v>
      </c>
      <c r="C1889" s="310" t="s">
        <v>16</v>
      </c>
    </row>
    <row r="1890" spans="1:3" ht="15" x14ac:dyDescent="0.2">
      <c r="A1890" s="310">
        <v>19016</v>
      </c>
      <c r="B1890" s="311" t="s">
        <v>15</v>
      </c>
      <c r="C1890" s="310" t="s">
        <v>16</v>
      </c>
    </row>
    <row r="1891" spans="1:3" ht="15" x14ac:dyDescent="0.2">
      <c r="A1891" s="310">
        <v>19017</v>
      </c>
      <c r="B1891" s="311" t="s">
        <v>15</v>
      </c>
      <c r="C1891" s="310" t="s">
        <v>16</v>
      </c>
    </row>
    <row r="1892" spans="1:3" ht="15" x14ac:dyDescent="0.2">
      <c r="A1892" s="310">
        <v>19018</v>
      </c>
      <c r="B1892" s="311" t="s">
        <v>15</v>
      </c>
      <c r="C1892" s="310" t="s">
        <v>16</v>
      </c>
    </row>
    <row r="1893" spans="1:3" ht="15" x14ac:dyDescent="0.2">
      <c r="A1893" s="310">
        <v>19019</v>
      </c>
      <c r="B1893" s="311" t="s">
        <v>15</v>
      </c>
      <c r="C1893" s="310" t="s">
        <v>16</v>
      </c>
    </row>
    <row r="1894" spans="1:3" ht="15" x14ac:dyDescent="0.2">
      <c r="A1894" s="310">
        <v>19020</v>
      </c>
      <c r="B1894" s="311" t="s">
        <v>15</v>
      </c>
      <c r="C1894" s="310" t="s">
        <v>16</v>
      </c>
    </row>
    <row r="1895" spans="1:3" ht="15" x14ac:dyDescent="0.2">
      <c r="A1895" s="310">
        <v>19021</v>
      </c>
      <c r="B1895" s="311" t="s">
        <v>15</v>
      </c>
      <c r="C1895" s="310" t="s">
        <v>16</v>
      </c>
    </row>
    <row r="1896" spans="1:3" ht="15" x14ac:dyDescent="0.2">
      <c r="A1896" s="310">
        <v>19022</v>
      </c>
      <c r="B1896" s="311" t="s">
        <v>15</v>
      </c>
      <c r="C1896" s="310" t="s">
        <v>16</v>
      </c>
    </row>
    <row r="1897" spans="1:3" ht="15" x14ac:dyDescent="0.2">
      <c r="A1897" s="310">
        <v>19023</v>
      </c>
      <c r="B1897" s="311" t="s">
        <v>15</v>
      </c>
      <c r="C1897" s="310" t="s">
        <v>16</v>
      </c>
    </row>
    <row r="1898" spans="1:3" ht="15" x14ac:dyDescent="0.2">
      <c r="A1898" s="310">
        <v>19025</v>
      </c>
      <c r="B1898" s="311" t="s">
        <v>15</v>
      </c>
      <c r="C1898" s="310" t="s">
        <v>16</v>
      </c>
    </row>
    <row r="1899" spans="1:3" ht="15" x14ac:dyDescent="0.2">
      <c r="A1899" s="310">
        <v>19026</v>
      </c>
      <c r="B1899" s="311" t="s">
        <v>15</v>
      </c>
      <c r="C1899" s="310" t="s">
        <v>16</v>
      </c>
    </row>
    <row r="1900" spans="1:3" ht="15" x14ac:dyDescent="0.2">
      <c r="A1900" s="310">
        <v>19027</v>
      </c>
      <c r="B1900" s="311" t="s">
        <v>15</v>
      </c>
      <c r="C1900" s="310" t="s">
        <v>16</v>
      </c>
    </row>
    <row r="1901" spans="1:3" ht="15" x14ac:dyDescent="0.2">
      <c r="A1901" s="310">
        <v>19028</v>
      </c>
      <c r="B1901" s="311" t="s">
        <v>15</v>
      </c>
      <c r="C1901" s="310" t="s">
        <v>16</v>
      </c>
    </row>
    <row r="1902" spans="1:3" ht="15" x14ac:dyDescent="0.2">
      <c r="A1902" s="310">
        <v>19029</v>
      </c>
      <c r="B1902" s="311" t="s">
        <v>15</v>
      </c>
      <c r="C1902" s="310" t="s">
        <v>16</v>
      </c>
    </row>
    <row r="1903" spans="1:3" ht="15" x14ac:dyDescent="0.2">
      <c r="A1903" s="310">
        <v>19030</v>
      </c>
      <c r="B1903" s="311" t="s">
        <v>15</v>
      </c>
      <c r="C1903" s="310" t="s">
        <v>16</v>
      </c>
    </row>
    <row r="1904" spans="1:3" ht="15" x14ac:dyDescent="0.2">
      <c r="A1904" s="310">
        <v>19031</v>
      </c>
      <c r="B1904" s="311" t="s">
        <v>15</v>
      </c>
      <c r="C1904" s="310" t="s">
        <v>16</v>
      </c>
    </row>
    <row r="1905" spans="1:3" ht="15" x14ac:dyDescent="0.2">
      <c r="A1905" s="310">
        <v>19032</v>
      </c>
      <c r="B1905" s="311" t="s">
        <v>15</v>
      </c>
      <c r="C1905" s="310" t="s">
        <v>16</v>
      </c>
    </row>
    <row r="1906" spans="1:3" ht="15" x14ac:dyDescent="0.2">
      <c r="A1906" s="310">
        <v>19033</v>
      </c>
      <c r="B1906" s="311" t="s">
        <v>15</v>
      </c>
      <c r="C1906" s="310" t="s">
        <v>16</v>
      </c>
    </row>
    <row r="1907" spans="1:3" ht="15" x14ac:dyDescent="0.2">
      <c r="A1907" s="310">
        <v>19034</v>
      </c>
      <c r="B1907" s="311" t="s">
        <v>15</v>
      </c>
      <c r="C1907" s="310" t="s">
        <v>16</v>
      </c>
    </row>
    <row r="1908" spans="1:3" ht="15" x14ac:dyDescent="0.2">
      <c r="A1908" s="310">
        <v>19035</v>
      </c>
      <c r="B1908" s="311" t="s">
        <v>15</v>
      </c>
      <c r="C1908" s="310" t="s">
        <v>16</v>
      </c>
    </row>
    <row r="1909" spans="1:3" ht="15" x14ac:dyDescent="0.2">
      <c r="A1909" s="310">
        <v>19036</v>
      </c>
      <c r="B1909" s="311" t="s">
        <v>15</v>
      </c>
      <c r="C1909" s="310" t="s">
        <v>16</v>
      </c>
    </row>
    <row r="1910" spans="1:3" ht="15" x14ac:dyDescent="0.2">
      <c r="A1910" s="310">
        <v>19037</v>
      </c>
      <c r="B1910" s="311" t="s">
        <v>15</v>
      </c>
      <c r="C1910" s="310" t="s">
        <v>16</v>
      </c>
    </row>
    <row r="1911" spans="1:3" ht="15" x14ac:dyDescent="0.2">
      <c r="A1911" s="310">
        <v>19038</v>
      </c>
      <c r="B1911" s="311" t="s">
        <v>15</v>
      </c>
      <c r="C1911" s="310" t="s">
        <v>16</v>
      </c>
    </row>
    <row r="1912" spans="1:3" ht="15" x14ac:dyDescent="0.2">
      <c r="A1912" s="310">
        <v>19039</v>
      </c>
      <c r="B1912" s="311" t="s">
        <v>15</v>
      </c>
      <c r="C1912" s="310" t="s">
        <v>16</v>
      </c>
    </row>
    <row r="1913" spans="1:3" ht="15" x14ac:dyDescent="0.2">
      <c r="A1913" s="310">
        <v>19040</v>
      </c>
      <c r="B1913" s="311" t="s">
        <v>15</v>
      </c>
      <c r="C1913" s="310" t="s">
        <v>16</v>
      </c>
    </row>
    <row r="1914" spans="1:3" ht="15" x14ac:dyDescent="0.2">
      <c r="A1914" s="310">
        <v>19041</v>
      </c>
      <c r="B1914" s="311" t="s">
        <v>15</v>
      </c>
      <c r="C1914" s="310" t="s">
        <v>16</v>
      </c>
    </row>
    <row r="1915" spans="1:3" ht="15" x14ac:dyDescent="0.2">
      <c r="A1915" s="310">
        <v>19043</v>
      </c>
      <c r="B1915" s="311" t="s">
        <v>15</v>
      </c>
      <c r="C1915" s="310" t="s">
        <v>16</v>
      </c>
    </row>
    <row r="1916" spans="1:3" ht="15" x14ac:dyDescent="0.2">
      <c r="A1916" s="310">
        <v>19044</v>
      </c>
      <c r="B1916" s="311" t="s">
        <v>15</v>
      </c>
      <c r="C1916" s="310" t="s">
        <v>16</v>
      </c>
    </row>
    <row r="1917" spans="1:3" ht="15" x14ac:dyDescent="0.2">
      <c r="A1917" s="310">
        <v>19046</v>
      </c>
      <c r="B1917" s="311" t="s">
        <v>15</v>
      </c>
      <c r="C1917" s="310" t="s">
        <v>16</v>
      </c>
    </row>
    <row r="1918" spans="1:3" ht="15" x14ac:dyDescent="0.2">
      <c r="A1918" s="310">
        <v>19047</v>
      </c>
      <c r="B1918" s="311" t="s">
        <v>15</v>
      </c>
      <c r="C1918" s="310" t="s">
        <v>16</v>
      </c>
    </row>
    <row r="1919" spans="1:3" ht="15" x14ac:dyDescent="0.2">
      <c r="A1919" s="310">
        <v>19048</v>
      </c>
      <c r="B1919" s="311" t="s">
        <v>15</v>
      </c>
      <c r="C1919" s="310" t="s">
        <v>16</v>
      </c>
    </row>
    <row r="1920" spans="1:3" ht="15" x14ac:dyDescent="0.2">
      <c r="A1920" s="310">
        <v>19049</v>
      </c>
      <c r="B1920" s="311" t="s">
        <v>15</v>
      </c>
      <c r="C1920" s="310" t="s">
        <v>16</v>
      </c>
    </row>
    <row r="1921" spans="1:3" ht="15" x14ac:dyDescent="0.2">
      <c r="A1921" s="310">
        <v>19050</v>
      </c>
      <c r="B1921" s="311" t="s">
        <v>15</v>
      </c>
      <c r="C1921" s="310" t="s">
        <v>16</v>
      </c>
    </row>
    <row r="1922" spans="1:3" ht="15" x14ac:dyDescent="0.2">
      <c r="A1922" s="310">
        <v>19052</v>
      </c>
      <c r="B1922" s="311" t="s">
        <v>15</v>
      </c>
      <c r="C1922" s="310" t="s">
        <v>16</v>
      </c>
    </row>
    <row r="1923" spans="1:3" ht="15" x14ac:dyDescent="0.2">
      <c r="A1923" s="310">
        <v>19053</v>
      </c>
      <c r="B1923" s="311" t="s">
        <v>15</v>
      </c>
      <c r="C1923" s="310" t="s">
        <v>16</v>
      </c>
    </row>
    <row r="1924" spans="1:3" ht="15" x14ac:dyDescent="0.2">
      <c r="A1924" s="310">
        <v>19054</v>
      </c>
      <c r="B1924" s="311" t="s">
        <v>15</v>
      </c>
      <c r="C1924" s="310" t="s">
        <v>16</v>
      </c>
    </row>
    <row r="1925" spans="1:3" ht="15" x14ac:dyDescent="0.2">
      <c r="A1925" s="310">
        <v>19055</v>
      </c>
      <c r="B1925" s="311" t="s">
        <v>15</v>
      </c>
      <c r="C1925" s="310" t="s">
        <v>16</v>
      </c>
    </row>
    <row r="1926" spans="1:3" ht="15" x14ac:dyDescent="0.2">
      <c r="A1926" s="310">
        <v>19056</v>
      </c>
      <c r="B1926" s="311" t="s">
        <v>15</v>
      </c>
      <c r="C1926" s="310" t="s">
        <v>16</v>
      </c>
    </row>
    <row r="1927" spans="1:3" ht="15" x14ac:dyDescent="0.2">
      <c r="A1927" s="310">
        <v>19057</v>
      </c>
      <c r="B1927" s="311" t="s">
        <v>15</v>
      </c>
      <c r="C1927" s="310" t="s">
        <v>16</v>
      </c>
    </row>
    <row r="1928" spans="1:3" ht="15" x14ac:dyDescent="0.2">
      <c r="A1928" s="310">
        <v>19058</v>
      </c>
      <c r="B1928" s="311" t="s">
        <v>15</v>
      </c>
      <c r="C1928" s="310" t="s">
        <v>16</v>
      </c>
    </row>
    <row r="1929" spans="1:3" ht="15" x14ac:dyDescent="0.2">
      <c r="A1929" s="310">
        <v>19059</v>
      </c>
      <c r="B1929" s="311" t="s">
        <v>15</v>
      </c>
      <c r="C1929" s="310" t="s">
        <v>16</v>
      </c>
    </row>
    <row r="1930" spans="1:3" ht="15" x14ac:dyDescent="0.2">
      <c r="A1930" s="310">
        <v>19060</v>
      </c>
      <c r="B1930" s="311" t="s">
        <v>15</v>
      </c>
      <c r="C1930" s="310" t="s">
        <v>16</v>
      </c>
    </row>
    <row r="1931" spans="1:3" ht="15" x14ac:dyDescent="0.2">
      <c r="A1931" s="310">
        <v>19061</v>
      </c>
      <c r="B1931" s="311" t="s">
        <v>15</v>
      </c>
      <c r="C1931" s="310" t="s">
        <v>16</v>
      </c>
    </row>
    <row r="1932" spans="1:3" ht="15" x14ac:dyDescent="0.2">
      <c r="A1932" s="310">
        <v>19063</v>
      </c>
      <c r="B1932" s="311" t="s">
        <v>15</v>
      </c>
      <c r="C1932" s="310" t="s">
        <v>16</v>
      </c>
    </row>
    <row r="1933" spans="1:3" ht="15" x14ac:dyDescent="0.2">
      <c r="A1933" s="310">
        <v>19064</v>
      </c>
      <c r="B1933" s="311" t="s">
        <v>15</v>
      </c>
      <c r="C1933" s="310" t="s">
        <v>16</v>
      </c>
    </row>
    <row r="1934" spans="1:3" ht="15" x14ac:dyDescent="0.2">
      <c r="A1934" s="310">
        <v>19065</v>
      </c>
      <c r="B1934" s="311" t="s">
        <v>15</v>
      </c>
      <c r="C1934" s="310" t="s">
        <v>16</v>
      </c>
    </row>
    <row r="1935" spans="1:3" ht="15" x14ac:dyDescent="0.2">
      <c r="A1935" s="310">
        <v>19066</v>
      </c>
      <c r="B1935" s="311" t="s">
        <v>15</v>
      </c>
      <c r="C1935" s="310" t="s">
        <v>16</v>
      </c>
    </row>
    <row r="1936" spans="1:3" ht="15" x14ac:dyDescent="0.2">
      <c r="A1936" s="310">
        <v>19067</v>
      </c>
      <c r="B1936" s="311" t="s">
        <v>15</v>
      </c>
      <c r="C1936" s="310" t="s">
        <v>16</v>
      </c>
    </row>
    <row r="1937" spans="1:3" ht="15" x14ac:dyDescent="0.2">
      <c r="A1937" s="310">
        <v>19070</v>
      </c>
      <c r="B1937" s="311" t="s">
        <v>15</v>
      </c>
      <c r="C1937" s="310" t="s">
        <v>16</v>
      </c>
    </row>
    <row r="1938" spans="1:3" ht="15" x14ac:dyDescent="0.2">
      <c r="A1938" s="310">
        <v>19072</v>
      </c>
      <c r="B1938" s="311" t="s">
        <v>15</v>
      </c>
      <c r="C1938" s="310" t="s">
        <v>16</v>
      </c>
    </row>
    <row r="1939" spans="1:3" ht="15" x14ac:dyDescent="0.2">
      <c r="A1939" s="310">
        <v>19073</v>
      </c>
      <c r="B1939" s="311" t="s">
        <v>15</v>
      </c>
      <c r="C1939" s="310" t="s">
        <v>16</v>
      </c>
    </row>
    <row r="1940" spans="1:3" ht="15" x14ac:dyDescent="0.2">
      <c r="A1940" s="310">
        <v>19074</v>
      </c>
      <c r="B1940" s="311" t="s">
        <v>15</v>
      </c>
      <c r="C1940" s="310" t="s">
        <v>16</v>
      </c>
    </row>
    <row r="1941" spans="1:3" ht="15" x14ac:dyDescent="0.2">
      <c r="A1941" s="310">
        <v>19075</v>
      </c>
      <c r="B1941" s="311" t="s">
        <v>15</v>
      </c>
      <c r="C1941" s="310" t="s">
        <v>16</v>
      </c>
    </row>
    <row r="1942" spans="1:3" ht="15" x14ac:dyDescent="0.2">
      <c r="A1942" s="310">
        <v>19076</v>
      </c>
      <c r="B1942" s="311" t="s">
        <v>15</v>
      </c>
      <c r="C1942" s="310" t="s">
        <v>16</v>
      </c>
    </row>
    <row r="1943" spans="1:3" ht="15" x14ac:dyDescent="0.2">
      <c r="A1943" s="310">
        <v>19078</v>
      </c>
      <c r="B1943" s="311" t="s">
        <v>15</v>
      </c>
      <c r="C1943" s="310" t="s">
        <v>16</v>
      </c>
    </row>
    <row r="1944" spans="1:3" ht="15" x14ac:dyDescent="0.2">
      <c r="A1944" s="310">
        <v>19079</v>
      </c>
      <c r="B1944" s="311" t="s">
        <v>15</v>
      </c>
      <c r="C1944" s="310" t="s">
        <v>16</v>
      </c>
    </row>
    <row r="1945" spans="1:3" ht="15" x14ac:dyDescent="0.2">
      <c r="A1945" s="310">
        <v>19080</v>
      </c>
      <c r="B1945" s="311" t="s">
        <v>15</v>
      </c>
      <c r="C1945" s="310" t="s">
        <v>16</v>
      </c>
    </row>
    <row r="1946" spans="1:3" ht="15" x14ac:dyDescent="0.2">
      <c r="A1946" s="310">
        <v>19081</v>
      </c>
      <c r="B1946" s="311" t="s">
        <v>15</v>
      </c>
      <c r="C1946" s="310" t="s">
        <v>16</v>
      </c>
    </row>
    <row r="1947" spans="1:3" ht="15" x14ac:dyDescent="0.2">
      <c r="A1947" s="310">
        <v>19082</v>
      </c>
      <c r="B1947" s="311" t="s">
        <v>15</v>
      </c>
      <c r="C1947" s="310" t="s">
        <v>16</v>
      </c>
    </row>
    <row r="1948" spans="1:3" ht="15" x14ac:dyDescent="0.2">
      <c r="A1948" s="310">
        <v>19083</v>
      </c>
      <c r="B1948" s="311" t="s">
        <v>15</v>
      </c>
      <c r="C1948" s="310" t="s">
        <v>16</v>
      </c>
    </row>
    <row r="1949" spans="1:3" ht="15" x14ac:dyDescent="0.2">
      <c r="A1949" s="310">
        <v>19085</v>
      </c>
      <c r="B1949" s="311" t="s">
        <v>15</v>
      </c>
      <c r="C1949" s="310" t="s">
        <v>16</v>
      </c>
    </row>
    <row r="1950" spans="1:3" ht="15" x14ac:dyDescent="0.2">
      <c r="A1950" s="310">
        <v>19086</v>
      </c>
      <c r="B1950" s="311" t="s">
        <v>15</v>
      </c>
      <c r="C1950" s="310" t="s">
        <v>16</v>
      </c>
    </row>
    <row r="1951" spans="1:3" ht="15" x14ac:dyDescent="0.2">
      <c r="A1951" s="310">
        <v>19087</v>
      </c>
      <c r="B1951" s="311" t="s">
        <v>15</v>
      </c>
      <c r="C1951" s="310" t="s">
        <v>16</v>
      </c>
    </row>
    <row r="1952" spans="1:3" ht="15" x14ac:dyDescent="0.2">
      <c r="A1952" s="310">
        <v>19088</v>
      </c>
      <c r="B1952" s="311" t="s">
        <v>15</v>
      </c>
      <c r="C1952" s="310" t="s">
        <v>16</v>
      </c>
    </row>
    <row r="1953" spans="1:3" ht="15" x14ac:dyDescent="0.2">
      <c r="A1953" s="310">
        <v>19089</v>
      </c>
      <c r="B1953" s="311" t="s">
        <v>15</v>
      </c>
      <c r="C1953" s="310" t="s">
        <v>16</v>
      </c>
    </row>
    <row r="1954" spans="1:3" ht="15" x14ac:dyDescent="0.2">
      <c r="A1954" s="310">
        <v>19090</v>
      </c>
      <c r="B1954" s="311" t="s">
        <v>15</v>
      </c>
      <c r="C1954" s="310" t="s">
        <v>16</v>
      </c>
    </row>
    <row r="1955" spans="1:3" ht="15" x14ac:dyDescent="0.2">
      <c r="A1955" s="310">
        <v>19091</v>
      </c>
      <c r="B1955" s="311" t="s">
        <v>15</v>
      </c>
      <c r="C1955" s="310" t="s">
        <v>16</v>
      </c>
    </row>
    <row r="1956" spans="1:3" ht="15" x14ac:dyDescent="0.2">
      <c r="A1956" s="310">
        <v>19092</v>
      </c>
      <c r="B1956" s="311" t="s">
        <v>15</v>
      </c>
      <c r="C1956" s="310" t="s">
        <v>16</v>
      </c>
    </row>
    <row r="1957" spans="1:3" ht="15" x14ac:dyDescent="0.2">
      <c r="A1957" s="310">
        <v>19093</v>
      </c>
      <c r="B1957" s="311" t="s">
        <v>15</v>
      </c>
      <c r="C1957" s="310" t="s">
        <v>16</v>
      </c>
    </row>
    <row r="1958" spans="1:3" ht="15" x14ac:dyDescent="0.2">
      <c r="A1958" s="310">
        <v>19094</v>
      </c>
      <c r="B1958" s="311" t="s">
        <v>15</v>
      </c>
      <c r="C1958" s="310" t="s">
        <v>16</v>
      </c>
    </row>
    <row r="1959" spans="1:3" ht="15" x14ac:dyDescent="0.2">
      <c r="A1959" s="310">
        <v>19095</v>
      </c>
      <c r="B1959" s="311" t="s">
        <v>15</v>
      </c>
      <c r="C1959" s="310" t="s">
        <v>16</v>
      </c>
    </row>
    <row r="1960" spans="1:3" ht="15" x14ac:dyDescent="0.2">
      <c r="A1960" s="310">
        <v>19096</v>
      </c>
      <c r="B1960" s="311" t="s">
        <v>15</v>
      </c>
      <c r="C1960" s="310" t="s">
        <v>16</v>
      </c>
    </row>
    <row r="1961" spans="1:3" ht="15" x14ac:dyDescent="0.2">
      <c r="A1961" s="310">
        <v>19098</v>
      </c>
      <c r="B1961" s="311" t="s">
        <v>15</v>
      </c>
      <c r="C1961" s="310" t="s">
        <v>16</v>
      </c>
    </row>
    <row r="1962" spans="1:3" ht="15" x14ac:dyDescent="0.2">
      <c r="A1962" s="310">
        <v>19099</v>
      </c>
      <c r="B1962" s="311" t="s">
        <v>15</v>
      </c>
      <c r="C1962" s="310" t="s">
        <v>16</v>
      </c>
    </row>
    <row r="1963" spans="1:3" ht="15" x14ac:dyDescent="0.2">
      <c r="A1963" s="310">
        <v>19101</v>
      </c>
      <c r="B1963" s="311" t="s">
        <v>15</v>
      </c>
      <c r="C1963" s="310" t="s">
        <v>16</v>
      </c>
    </row>
    <row r="1964" spans="1:3" ht="15" x14ac:dyDescent="0.2">
      <c r="A1964" s="310">
        <v>19102</v>
      </c>
      <c r="B1964" s="311" t="s">
        <v>15</v>
      </c>
      <c r="C1964" s="310" t="s">
        <v>16</v>
      </c>
    </row>
    <row r="1965" spans="1:3" ht="15" x14ac:dyDescent="0.2">
      <c r="A1965" s="310">
        <v>19103</v>
      </c>
      <c r="B1965" s="311" t="s">
        <v>15</v>
      </c>
      <c r="C1965" s="310" t="s">
        <v>16</v>
      </c>
    </row>
    <row r="1966" spans="1:3" ht="15" x14ac:dyDescent="0.2">
      <c r="A1966" s="310">
        <v>19104</v>
      </c>
      <c r="B1966" s="311" t="s">
        <v>15</v>
      </c>
      <c r="C1966" s="310" t="s">
        <v>16</v>
      </c>
    </row>
    <row r="1967" spans="1:3" ht="15" x14ac:dyDescent="0.2">
      <c r="A1967" s="310">
        <v>19105</v>
      </c>
      <c r="B1967" s="311" t="s">
        <v>15</v>
      </c>
      <c r="C1967" s="310" t="s">
        <v>16</v>
      </c>
    </row>
    <row r="1968" spans="1:3" ht="15" x14ac:dyDescent="0.2">
      <c r="A1968" s="310">
        <v>19106</v>
      </c>
      <c r="B1968" s="311" t="s">
        <v>15</v>
      </c>
      <c r="C1968" s="310" t="s">
        <v>16</v>
      </c>
    </row>
    <row r="1969" spans="1:3" ht="15" x14ac:dyDescent="0.2">
      <c r="A1969" s="310">
        <v>19107</v>
      </c>
      <c r="B1969" s="311" t="s">
        <v>15</v>
      </c>
      <c r="C1969" s="310" t="s">
        <v>16</v>
      </c>
    </row>
    <row r="1970" spans="1:3" ht="15" x14ac:dyDescent="0.2">
      <c r="A1970" s="310">
        <v>19108</v>
      </c>
      <c r="B1970" s="311" t="s">
        <v>15</v>
      </c>
      <c r="C1970" s="310" t="s">
        <v>16</v>
      </c>
    </row>
    <row r="1971" spans="1:3" ht="15" x14ac:dyDescent="0.2">
      <c r="A1971" s="310">
        <v>19109</v>
      </c>
      <c r="B1971" s="311" t="s">
        <v>15</v>
      </c>
      <c r="C1971" s="310" t="s">
        <v>16</v>
      </c>
    </row>
    <row r="1972" spans="1:3" ht="15" x14ac:dyDescent="0.2">
      <c r="A1972" s="310">
        <v>19110</v>
      </c>
      <c r="B1972" s="311" t="s">
        <v>15</v>
      </c>
      <c r="C1972" s="310" t="s">
        <v>16</v>
      </c>
    </row>
    <row r="1973" spans="1:3" ht="15" x14ac:dyDescent="0.2">
      <c r="A1973" s="310">
        <v>19111</v>
      </c>
      <c r="B1973" s="311" t="s">
        <v>15</v>
      </c>
      <c r="C1973" s="310" t="s">
        <v>16</v>
      </c>
    </row>
    <row r="1974" spans="1:3" ht="15" x14ac:dyDescent="0.2">
      <c r="A1974" s="310">
        <v>19112</v>
      </c>
      <c r="B1974" s="311" t="s">
        <v>15</v>
      </c>
      <c r="C1974" s="310" t="s">
        <v>16</v>
      </c>
    </row>
    <row r="1975" spans="1:3" ht="15" x14ac:dyDescent="0.2">
      <c r="A1975" s="310">
        <v>19113</v>
      </c>
      <c r="B1975" s="311" t="s">
        <v>15</v>
      </c>
      <c r="C1975" s="310" t="s">
        <v>16</v>
      </c>
    </row>
    <row r="1976" spans="1:3" ht="15" x14ac:dyDescent="0.2">
      <c r="A1976" s="310">
        <v>19114</v>
      </c>
      <c r="B1976" s="311" t="s">
        <v>15</v>
      </c>
      <c r="C1976" s="310" t="s">
        <v>16</v>
      </c>
    </row>
    <row r="1977" spans="1:3" ht="15" x14ac:dyDescent="0.2">
      <c r="A1977" s="310">
        <v>19115</v>
      </c>
      <c r="B1977" s="311" t="s">
        <v>15</v>
      </c>
      <c r="C1977" s="310" t="s">
        <v>16</v>
      </c>
    </row>
    <row r="1978" spans="1:3" ht="15" x14ac:dyDescent="0.2">
      <c r="A1978" s="310">
        <v>19116</v>
      </c>
      <c r="B1978" s="311" t="s">
        <v>15</v>
      </c>
      <c r="C1978" s="310" t="s">
        <v>16</v>
      </c>
    </row>
    <row r="1979" spans="1:3" ht="15" x14ac:dyDescent="0.2">
      <c r="A1979" s="310">
        <v>19118</v>
      </c>
      <c r="B1979" s="311" t="s">
        <v>15</v>
      </c>
      <c r="C1979" s="310" t="s">
        <v>16</v>
      </c>
    </row>
    <row r="1980" spans="1:3" ht="15" x14ac:dyDescent="0.2">
      <c r="A1980" s="310">
        <v>19119</v>
      </c>
      <c r="B1980" s="311" t="s">
        <v>15</v>
      </c>
      <c r="C1980" s="310" t="s">
        <v>16</v>
      </c>
    </row>
    <row r="1981" spans="1:3" ht="15" x14ac:dyDescent="0.2">
      <c r="A1981" s="310">
        <v>19120</v>
      </c>
      <c r="B1981" s="311" t="s">
        <v>15</v>
      </c>
      <c r="C1981" s="310" t="s">
        <v>16</v>
      </c>
    </row>
    <row r="1982" spans="1:3" ht="15" x14ac:dyDescent="0.2">
      <c r="A1982" s="310">
        <v>19121</v>
      </c>
      <c r="B1982" s="311" t="s">
        <v>15</v>
      </c>
      <c r="C1982" s="310" t="s">
        <v>16</v>
      </c>
    </row>
    <row r="1983" spans="1:3" ht="15" x14ac:dyDescent="0.2">
      <c r="A1983" s="310">
        <v>19122</v>
      </c>
      <c r="B1983" s="311" t="s">
        <v>15</v>
      </c>
      <c r="C1983" s="310" t="s">
        <v>16</v>
      </c>
    </row>
    <row r="1984" spans="1:3" ht="15" x14ac:dyDescent="0.2">
      <c r="A1984" s="310">
        <v>19123</v>
      </c>
      <c r="B1984" s="311" t="s">
        <v>15</v>
      </c>
      <c r="C1984" s="310" t="s">
        <v>16</v>
      </c>
    </row>
    <row r="1985" spans="1:3" ht="15" x14ac:dyDescent="0.2">
      <c r="A1985" s="310">
        <v>19124</v>
      </c>
      <c r="B1985" s="311" t="s">
        <v>15</v>
      </c>
      <c r="C1985" s="310" t="s">
        <v>16</v>
      </c>
    </row>
    <row r="1986" spans="1:3" ht="15" x14ac:dyDescent="0.2">
      <c r="A1986" s="310">
        <v>19125</v>
      </c>
      <c r="B1986" s="311" t="s">
        <v>15</v>
      </c>
      <c r="C1986" s="310" t="s">
        <v>16</v>
      </c>
    </row>
    <row r="1987" spans="1:3" ht="15" x14ac:dyDescent="0.2">
      <c r="A1987" s="310">
        <v>19126</v>
      </c>
      <c r="B1987" s="311" t="s">
        <v>15</v>
      </c>
      <c r="C1987" s="310" t="s">
        <v>16</v>
      </c>
    </row>
    <row r="1988" spans="1:3" ht="15" x14ac:dyDescent="0.2">
      <c r="A1988" s="310">
        <v>19127</v>
      </c>
      <c r="B1988" s="311" t="s">
        <v>15</v>
      </c>
      <c r="C1988" s="310" t="s">
        <v>16</v>
      </c>
    </row>
    <row r="1989" spans="1:3" ht="15" x14ac:dyDescent="0.2">
      <c r="A1989" s="310">
        <v>19128</v>
      </c>
      <c r="B1989" s="311" t="s">
        <v>15</v>
      </c>
      <c r="C1989" s="310" t="s">
        <v>16</v>
      </c>
    </row>
    <row r="1990" spans="1:3" ht="15" x14ac:dyDescent="0.2">
      <c r="A1990" s="310">
        <v>19129</v>
      </c>
      <c r="B1990" s="311" t="s">
        <v>15</v>
      </c>
      <c r="C1990" s="310" t="s">
        <v>16</v>
      </c>
    </row>
    <row r="1991" spans="1:3" ht="15" x14ac:dyDescent="0.2">
      <c r="A1991" s="310">
        <v>19130</v>
      </c>
      <c r="B1991" s="311" t="s">
        <v>15</v>
      </c>
      <c r="C1991" s="310" t="s">
        <v>16</v>
      </c>
    </row>
    <row r="1992" spans="1:3" ht="15" x14ac:dyDescent="0.2">
      <c r="A1992" s="310">
        <v>19131</v>
      </c>
      <c r="B1992" s="311" t="s">
        <v>15</v>
      </c>
      <c r="C1992" s="310" t="s">
        <v>16</v>
      </c>
    </row>
    <row r="1993" spans="1:3" ht="15" x14ac:dyDescent="0.2">
      <c r="A1993" s="310">
        <v>19132</v>
      </c>
      <c r="B1993" s="311" t="s">
        <v>15</v>
      </c>
      <c r="C1993" s="310" t="s">
        <v>16</v>
      </c>
    </row>
    <row r="1994" spans="1:3" ht="15" x14ac:dyDescent="0.2">
      <c r="A1994" s="310">
        <v>19133</v>
      </c>
      <c r="B1994" s="311" t="s">
        <v>15</v>
      </c>
      <c r="C1994" s="310" t="s">
        <v>16</v>
      </c>
    </row>
    <row r="1995" spans="1:3" ht="15" x14ac:dyDescent="0.2">
      <c r="A1995" s="310">
        <v>19134</v>
      </c>
      <c r="B1995" s="311" t="s">
        <v>15</v>
      </c>
      <c r="C1995" s="310" t="s">
        <v>16</v>
      </c>
    </row>
    <row r="1996" spans="1:3" ht="15" x14ac:dyDescent="0.2">
      <c r="A1996" s="310">
        <v>19135</v>
      </c>
      <c r="B1996" s="311" t="s">
        <v>15</v>
      </c>
      <c r="C1996" s="310" t="s">
        <v>16</v>
      </c>
    </row>
    <row r="1997" spans="1:3" ht="15" x14ac:dyDescent="0.2">
      <c r="A1997" s="310">
        <v>19136</v>
      </c>
      <c r="B1997" s="311" t="s">
        <v>15</v>
      </c>
      <c r="C1997" s="310" t="s">
        <v>16</v>
      </c>
    </row>
    <row r="1998" spans="1:3" ht="15" x14ac:dyDescent="0.2">
      <c r="A1998" s="310">
        <v>19137</v>
      </c>
      <c r="B1998" s="311" t="s">
        <v>15</v>
      </c>
      <c r="C1998" s="310" t="s">
        <v>16</v>
      </c>
    </row>
    <row r="1999" spans="1:3" ht="15" x14ac:dyDescent="0.2">
      <c r="A1999" s="310">
        <v>19138</v>
      </c>
      <c r="B1999" s="311" t="s">
        <v>15</v>
      </c>
      <c r="C1999" s="310" t="s">
        <v>16</v>
      </c>
    </row>
    <row r="2000" spans="1:3" ht="15" x14ac:dyDescent="0.2">
      <c r="A2000" s="310">
        <v>19139</v>
      </c>
      <c r="B2000" s="311" t="s">
        <v>15</v>
      </c>
      <c r="C2000" s="310" t="s">
        <v>16</v>
      </c>
    </row>
    <row r="2001" spans="1:3" ht="15" x14ac:dyDescent="0.2">
      <c r="A2001" s="310">
        <v>19140</v>
      </c>
      <c r="B2001" s="311" t="s">
        <v>15</v>
      </c>
      <c r="C2001" s="310" t="s">
        <v>16</v>
      </c>
    </row>
    <row r="2002" spans="1:3" ht="15" x14ac:dyDescent="0.2">
      <c r="A2002" s="310">
        <v>19141</v>
      </c>
      <c r="B2002" s="311" t="s">
        <v>15</v>
      </c>
      <c r="C2002" s="310" t="s">
        <v>16</v>
      </c>
    </row>
    <row r="2003" spans="1:3" ht="15" x14ac:dyDescent="0.2">
      <c r="A2003" s="310">
        <v>19142</v>
      </c>
      <c r="B2003" s="311" t="s">
        <v>15</v>
      </c>
      <c r="C2003" s="310" t="s">
        <v>16</v>
      </c>
    </row>
    <row r="2004" spans="1:3" ht="15" x14ac:dyDescent="0.2">
      <c r="A2004" s="310">
        <v>19143</v>
      </c>
      <c r="B2004" s="311" t="s">
        <v>15</v>
      </c>
      <c r="C2004" s="310" t="s">
        <v>16</v>
      </c>
    </row>
    <row r="2005" spans="1:3" ht="15" x14ac:dyDescent="0.2">
      <c r="A2005" s="310">
        <v>19144</v>
      </c>
      <c r="B2005" s="311" t="s">
        <v>15</v>
      </c>
      <c r="C2005" s="310" t="s">
        <v>16</v>
      </c>
    </row>
    <row r="2006" spans="1:3" ht="15" x14ac:dyDescent="0.2">
      <c r="A2006" s="310">
        <v>19145</v>
      </c>
      <c r="B2006" s="311" t="s">
        <v>15</v>
      </c>
      <c r="C2006" s="310" t="s">
        <v>16</v>
      </c>
    </row>
    <row r="2007" spans="1:3" ht="15" x14ac:dyDescent="0.2">
      <c r="A2007" s="310">
        <v>19146</v>
      </c>
      <c r="B2007" s="311" t="s">
        <v>15</v>
      </c>
      <c r="C2007" s="310" t="s">
        <v>16</v>
      </c>
    </row>
    <row r="2008" spans="1:3" ht="15" x14ac:dyDescent="0.2">
      <c r="A2008" s="310">
        <v>19147</v>
      </c>
      <c r="B2008" s="311" t="s">
        <v>15</v>
      </c>
      <c r="C2008" s="310" t="s">
        <v>16</v>
      </c>
    </row>
    <row r="2009" spans="1:3" ht="15" x14ac:dyDescent="0.2">
      <c r="A2009" s="310">
        <v>19148</v>
      </c>
      <c r="B2009" s="311" t="s">
        <v>15</v>
      </c>
      <c r="C2009" s="310" t="s">
        <v>16</v>
      </c>
    </row>
    <row r="2010" spans="1:3" ht="15" x14ac:dyDescent="0.2">
      <c r="A2010" s="310">
        <v>19149</v>
      </c>
      <c r="B2010" s="311" t="s">
        <v>15</v>
      </c>
      <c r="C2010" s="310" t="s">
        <v>16</v>
      </c>
    </row>
    <row r="2011" spans="1:3" ht="15" x14ac:dyDescent="0.2">
      <c r="A2011" s="310">
        <v>19150</v>
      </c>
      <c r="B2011" s="311" t="s">
        <v>15</v>
      </c>
      <c r="C2011" s="310" t="s">
        <v>16</v>
      </c>
    </row>
    <row r="2012" spans="1:3" ht="15" x14ac:dyDescent="0.2">
      <c r="A2012" s="310">
        <v>19151</v>
      </c>
      <c r="B2012" s="311" t="s">
        <v>15</v>
      </c>
      <c r="C2012" s="310" t="s">
        <v>16</v>
      </c>
    </row>
    <row r="2013" spans="1:3" ht="15" x14ac:dyDescent="0.2">
      <c r="A2013" s="310">
        <v>19152</v>
      </c>
      <c r="B2013" s="311" t="s">
        <v>15</v>
      </c>
      <c r="C2013" s="310" t="s">
        <v>16</v>
      </c>
    </row>
    <row r="2014" spans="1:3" ht="15" x14ac:dyDescent="0.2">
      <c r="A2014" s="310">
        <v>19153</v>
      </c>
      <c r="B2014" s="311" t="s">
        <v>15</v>
      </c>
      <c r="C2014" s="310" t="s">
        <v>16</v>
      </c>
    </row>
    <row r="2015" spans="1:3" ht="15" x14ac:dyDescent="0.2">
      <c r="A2015" s="310">
        <v>19154</v>
      </c>
      <c r="B2015" s="311" t="s">
        <v>15</v>
      </c>
      <c r="C2015" s="310" t="s">
        <v>16</v>
      </c>
    </row>
    <row r="2016" spans="1:3" ht="15" x14ac:dyDescent="0.2">
      <c r="A2016" s="310">
        <v>19155</v>
      </c>
      <c r="B2016" s="311" t="s">
        <v>15</v>
      </c>
      <c r="C2016" s="310" t="s">
        <v>16</v>
      </c>
    </row>
    <row r="2017" spans="1:3" ht="15" x14ac:dyDescent="0.2">
      <c r="A2017" s="310">
        <v>19160</v>
      </c>
      <c r="B2017" s="311" t="s">
        <v>15</v>
      </c>
      <c r="C2017" s="310" t="s">
        <v>16</v>
      </c>
    </row>
    <row r="2018" spans="1:3" ht="15" x14ac:dyDescent="0.2">
      <c r="A2018" s="310">
        <v>19161</v>
      </c>
      <c r="B2018" s="311" t="s">
        <v>15</v>
      </c>
      <c r="C2018" s="310" t="s">
        <v>16</v>
      </c>
    </row>
    <row r="2019" spans="1:3" ht="15" x14ac:dyDescent="0.2">
      <c r="A2019" s="310">
        <v>19162</v>
      </c>
      <c r="B2019" s="311" t="s">
        <v>15</v>
      </c>
      <c r="C2019" s="310" t="s">
        <v>16</v>
      </c>
    </row>
    <row r="2020" spans="1:3" ht="15" x14ac:dyDescent="0.2">
      <c r="A2020" s="310">
        <v>19170</v>
      </c>
      <c r="B2020" s="311" t="s">
        <v>15</v>
      </c>
      <c r="C2020" s="310" t="s">
        <v>16</v>
      </c>
    </row>
    <row r="2021" spans="1:3" ht="15" x14ac:dyDescent="0.2">
      <c r="A2021" s="310">
        <v>19171</v>
      </c>
      <c r="B2021" s="311" t="s">
        <v>15</v>
      </c>
      <c r="C2021" s="310" t="s">
        <v>16</v>
      </c>
    </row>
    <row r="2022" spans="1:3" ht="15" x14ac:dyDescent="0.2">
      <c r="A2022" s="310">
        <v>19172</v>
      </c>
      <c r="B2022" s="311" t="s">
        <v>15</v>
      </c>
      <c r="C2022" s="310" t="s">
        <v>16</v>
      </c>
    </row>
    <row r="2023" spans="1:3" ht="15" x14ac:dyDescent="0.2">
      <c r="A2023" s="310">
        <v>19173</v>
      </c>
      <c r="B2023" s="311" t="s">
        <v>15</v>
      </c>
      <c r="C2023" s="310" t="s">
        <v>16</v>
      </c>
    </row>
    <row r="2024" spans="1:3" ht="15" x14ac:dyDescent="0.2">
      <c r="A2024" s="310">
        <v>19175</v>
      </c>
      <c r="B2024" s="311" t="s">
        <v>15</v>
      </c>
      <c r="C2024" s="310" t="s">
        <v>16</v>
      </c>
    </row>
    <row r="2025" spans="1:3" ht="15" x14ac:dyDescent="0.2">
      <c r="A2025" s="310">
        <v>19176</v>
      </c>
      <c r="B2025" s="311" t="s">
        <v>15</v>
      </c>
      <c r="C2025" s="310" t="s">
        <v>16</v>
      </c>
    </row>
    <row r="2026" spans="1:3" ht="15" x14ac:dyDescent="0.2">
      <c r="A2026" s="310">
        <v>19177</v>
      </c>
      <c r="B2026" s="311" t="s">
        <v>15</v>
      </c>
      <c r="C2026" s="310" t="s">
        <v>16</v>
      </c>
    </row>
    <row r="2027" spans="1:3" ht="15" x14ac:dyDescent="0.2">
      <c r="A2027" s="310">
        <v>19178</v>
      </c>
      <c r="B2027" s="311" t="s">
        <v>15</v>
      </c>
      <c r="C2027" s="310" t="s">
        <v>16</v>
      </c>
    </row>
    <row r="2028" spans="1:3" ht="15" x14ac:dyDescent="0.2">
      <c r="A2028" s="310">
        <v>19179</v>
      </c>
      <c r="B2028" s="311" t="s">
        <v>15</v>
      </c>
      <c r="C2028" s="310" t="s">
        <v>16</v>
      </c>
    </row>
    <row r="2029" spans="1:3" ht="15" x14ac:dyDescent="0.2">
      <c r="A2029" s="310">
        <v>19181</v>
      </c>
      <c r="B2029" s="311" t="s">
        <v>15</v>
      </c>
      <c r="C2029" s="310" t="s">
        <v>16</v>
      </c>
    </row>
    <row r="2030" spans="1:3" ht="15" x14ac:dyDescent="0.2">
      <c r="A2030" s="310">
        <v>19182</v>
      </c>
      <c r="B2030" s="311" t="s">
        <v>15</v>
      </c>
      <c r="C2030" s="310" t="s">
        <v>16</v>
      </c>
    </row>
    <row r="2031" spans="1:3" ht="15" x14ac:dyDescent="0.2">
      <c r="A2031" s="310">
        <v>19183</v>
      </c>
      <c r="B2031" s="311" t="s">
        <v>15</v>
      </c>
      <c r="C2031" s="310" t="s">
        <v>16</v>
      </c>
    </row>
    <row r="2032" spans="1:3" ht="15" x14ac:dyDescent="0.2">
      <c r="A2032" s="310">
        <v>19184</v>
      </c>
      <c r="B2032" s="311" t="s">
        <v>15</v>
      </c>
      <c r="C2032" s="310" t="s">
        <v>16</v>
      </c>
    </row>
    <row r="2033" spans="1:3" ht="15" x14ac:dyDescent="0.2">
      <c r="A2033" s="310">
        <v>19185</v>
      </c>
      <c r="B2033" s="311" t="s">
        <v>15</v>
      </c>
      <c r="C2033" s="310" t="s">
        <v>16</v>
      </c>
    </row>
    <row r="2034" spans="1:3" ht="15" x14ac:dyDescent="0.2">
      <c r="A2034" s="310">
        <v>19187</v>
      </c>
      <c r="B2034" s="311" t="s">
        <v>15</v>
      </c>
      <c r="C2034" s="310" t="s">
        <v>16</v>
      </c>
    </row>
    <row r="2035" spans="1:3" ht="15" x14ac:dyDescent="0.2">
      <c r="A2035" s="310">
        <v>19188</v>
      </c>
      <c r="B2035" s="311" t="s">
        <v>15</v>
      </c>
      <c r="C2035" s="310" t="s">
        <v>16</v>
      </c>
    </row>
    <row r="2036" spans="1:3" ht="15" x14ac:dyDescent="0.2">
      <c r="A2036" s="310">
        <v>19190</v>
      </c>
      <c r="B2036" s="311" t="s">
        <v>15</v>
      </c>
      <c r="C2036" s="310" t="s">
        <v>16</v>
      </c>
    </row>
    <row r="2037" spans="1:3" ht="15" x14ac:dyDescent="0.2">
      <c r="A2037" s="310">
        <v>19191</v>
      </c>
      <c r="B2037" s="311" t="s">
        <v>15</v>
      </c>
      <c r="C2037" s="310" t="s">
        <v>16</v>
      </c>
    </row>
    <row r="2038" spans="1:3" ht="15" x14ac:dyDescent="0.2">
      <c r="A2038" s="310">
        <v>19192</v>
      </c>
      <c r="B2038" s="311" t="s">
        <v>15</v>
      </c>
      <c r="C2038" s="310" t="s">
        <v>16</v>
      </c>
    </row>
    <row r="2039" spans="1:3" ht="15" x14ac:dyDescent="0.2">
      <c r="A2039" s="310">
        <v>19193</v>
      </c>
      <c r="B2039" s="311" t="s">
        <v>15</v>
      </c>
      <c r="C2039" s="310" t="s">
        <v>16</v>
      </c>
    </row>
    <row r="2040" spans="1:3" ht="15" x14ac:dyDescent="0.2">
      <c r="A2040" s="310">
        <v>19194</v>
      </c>
      <c r="B2040" s="311" t="s">
        <v>15</v>
      </c>
      <c r="C2040" s="310" t="s">
        <v>16</v>
      </c>
    </row>
    <row r="2041" spans="1:3" ht="15" x14ac:dyDescent="0.2">
      <c r="A2041" s="310">
        <v>19195</v>
      </c>
      <c r="B2041" s="311" t="s">
        <v>15</v>
      </c>
      <c r="C2041" s="310" t="s">
        <v>16</v>
      </c>
    </row>
    <row r="2042" spans="1:3" ht="15" x14ac:dyDescent="0.2">
      <c r="A2042" s="310">
        <v>19196</v>
      </c>
      <c r="B2042" s="311" t="s">
        <v>15</v>
      </c>
      <c r="C2042" s="310" t="s">
        <v>16</v>
      </c>
    </row>
    <row r="2043" spans="1:3" ht="15" x14ac:dyDescent="0.2">
      <c r="A2043" s="310">
        <v>19197</v>
      </c>
      <c r="B2043" s="311" t="s">
        <v>15</v>
      </c>
      <c r="C2043" s="310" t="s">
        <v>16</v>
      </c>
    </row>
    <row r="2044" spans="1:3" ht="15" x14ac:dyDescent="0.2">
      <c r="A2044" s="310">
        <v>19244</v>
      </c>
      <c r="B2044" s="311" t="s">
        <v>15</v>
      </c>
      <c r="C2044" s="310" t="s">
        <v>16</v>
      </c>
    </row>
    <row r="2045" spans="1:3" ht="15" x14ac:dyDescent="0.2">
      <c r="A2045" s="310">
        <v>19255</v>
      </c>
      <c r="B2045" s="311" t="s">
        <v>15</v>
      </c>
      <c r="C2045" s="310" t="s">
        <v>16</v>
      </c>
    </row>
    <row r="2046" spans="1:3" ht="15" x14ac:dyDescent="0.2">
      <c r="A2046" s="310">
        <v>19301</v>
      </c>
      <c r="B2046" s="311" t="s">
        <v>15</v>
      </c>
      <c r="C2046" s="310" t="s">
        <v>16</v>
      </c>
    </row>
    <row r="2047" spans="1:3" ht="15" x14ac:dyDescent="0.2">
      <c r="A2047" s="310">
        <v>19310</v>
      </c>
      <c r="B2047" s="311" t="s">
        <v>15</v>
      </c>
      <c r="C2047" s="310" t="s">
        <v>16</v>
      </c>
    </row>
    <row r="2048" spans="1:3" ht="15" x14ac:dyDescent="0.2">
      <c r="A2048" s="310">
        <v>19311</v>
      </c>
      <c r="B2048" s="311" t="s">
        <v>15</v>
      </c>
      <c r="C2048" s="310" t="s">
        <v>16</v>
      </c>
    </row>
    <row r="2049" spans="1:3" ht="15" x14ac:dyDescent="0.2">
      <c r="A2049" s="310">
        <v>19312</v>
      </c>
      <c r="B2049" s="311" t="s">
        <v>15</v>
      </c>
      <c r="C2049" s="310" t="s">
        <v>16</v>
      </c>
    </row>
    <row r="2050" spans="1:3" ht="15" x14ac:dyDescent="0.2">
      <c r="A2050" s="310">
        <v>19316</v>
      </c>
      <c r="B2050" s="311" t="s">
        <v>15</v>
      </c>
      <c r="C2050" s="310" t="s">
        <v>16</v>
      </c>
    </row>
    <row r="2051" spans="1:3" ht="15" x14ac:dyDescent="0.2">
      <c r="A2051" s="310">
        <v>19317</v>
      </c>
      <c r="B2051" s="311" t="s">
        <v>15</v>
      </c>
      <c r="C2051" s="310" t="s">
        <v>16</v>
      </c>
    </row>
    <row r="2052" spans="1:3" ht="15" x14ac:dyDescent="0.2">
      <c r="A2052" s="310">
        <v>19318</v>
      </c>
      <c r="B2052" s="311" t="s">
        <v>15</v>
      </c>
      <c r="C2052" s="310" t="s">
        <v>16</v>
      </c>
    </row>
    <row r="2053" spans="1:3" ht="15" x14ac:dyDescent="0.2">
      <c r="A2053" s="310">
        <v>19319</v>
      </c>
      <c r="B2053" s="311" t="s">
        <v>15</v>
      </c>
      <c r="C2053" s="310" t="s">
        <v>16</v>
      </c>
    </row>
    <row r="2054" spans="1:3" ht="15" x14ac:dyDescent="0.2">
      <c r="A2054" s="310">
        <v>19320</v>
      </c>
      <c r="B2054" s="311" t="s">
        <v>15</v>
      </c>
      <c r="C2054" s="310" t="s">
        <v>16</v>
      </c>
    </row>
    <row r="2055" spans="1:3" ht="15" x14ac:dyDescent="0.2">
      <c r="A2055" s="310">
        <v>19330</v>
      </c>
      <c r="B2055" s="311" t="s">
        <v>15</v>
      </c>
      <c r="C2055" s="310" t="s">
        <v>16</v>
      </c>
    </row>
    <row r="2056" spans="1:3" ht="15" x14ac:dyDescent="0.2">
      <c r="A2056" s="310">
        <v>19331</v>
      </c>
      <c r="B2056" s="311" t="s">
        <v>15</v>
      </c>
      <c r="C2056" s="310" t="s">
        <v>16</v>
      </c>
    </row>
    <row r="2057" spans="1:3" ht="15" x14ac:dyDescent="0.2">
      <c r="A2057" s="310">
        <v>19333</v>
      </c>
      <c r="B2057" s="311" t="s">
        <v>15</v>
      </c>
      <c r="C2057" s="310" t="s">
        <v>16</v>
      </c>
    </row>
    <row r="2058" spans="1:3" ht="15" x14ac:dyDescent="0.2">
      <c r="A2058" s="310">
        <v>19335</v>
      </c>
      <c r="B2058" s="311" t="s">
        <v>15</v>
      </c>
      <c r="C2058" s="310" t="s">
        <v>16</v>
      </c>
    </row>
    <row r="2059" spans="1:3" ht="15" x14ac:dyDescent="0.2">
      <c r="A2059" s="310">
        <v>19339</v>
      </c>
      <c r="B2059" s="311" t="s">
        <v>15</v>
      </c>
      <c r="C2059" s="310" t="s">
        <v>16</v>
      </c>
    </row>
    <row r="2060" spans="1:3" ht="15" x14ac:dyDescent="0.2">
      <c r="A2060" s="310">
        <v>19340</v>
      </c>
      <c r="B2060" s="311" t="s">
        <v>15</v>
      </c>
      <c r="C2060" s="310" t="s">
        <v>16</v>
      </c>
    </row>
    <row r="2061" spans="1:3" ht="15" x14ac:dyDescent="0.2">
      <c r="A2061" s="310">
        <v>19341</v>
      </c>
      <c r="B2061" s="311" t="s">
        <v>15</v>
      </c>
      <c r="C2061" s="310" t="s">
        <v>16</v>
      </c>
    </row>
    <row r="2062" spans="1:3" ht="15" x14ac:dyDescent="0.2">
      <c r="A2062" s="310">
        <v>19342</v>
      </c>
      <c r="B2062" s="311" t="s">
        <v>15</v>
      </c>
      <c r="C2062" s="310" t="s">
        <v>16</v>
      </c>
    </row>
    <row r="2063" spans="1:3" ht="15" x14ac:dyDescent="0.2">
      <c r="A2063" s="310">
        <v>19343</v>
      </c>
      <c r="B2063" s="311" t="s">
        <v>15</v>
      </c>
      <c r="C2063" s="310" t="s">
        <v>16</v>
      </c>
    </row>
    <row r="2064" spans="1:3" ht="15" x14ac:dyDescent="0.2">
      <c r="A2064" s="310">
        <v>19344</v>
      </c>
      <c r="B2064" s="311" t="s">
        <v>15</v>
      </c>
      <c r="C2064" s="310" t="s">
        <v>16</v>
      </c>
    </row>
    <row r="2065" spans="1:3" ht="15" x14ac:dyDescent="0.2">
      <c r="A2065" s="310">
        <v>19345</v>
      </c>
      <c r="B2065" s="311" t="s">
        <v>15</v>
      </c>
      <c r="C2065" s="310" t="s">
        <v>16</v>
      </c>
    </row>
    <row r="2066" spans="1:3" ht="15" x14ac:dyDescent="0.2">
      <c r="A2066" s="310">
        <v>19346</v>
      </c>
      <c r="B2066" s="311" t="s">
        <v>15</v>
      </c>
      <c r="C2066" s="310" t="s">
        <v>16</v>
      </c>
    </row>
    <row r="2067" spans="1:3" ht="15" x14ac:dyDescent="0.2">
      <c r="A2067" s="310">
        <v>19347</v>
      </c>
      <c r="B2067" s="311" t="s">
        <v>15</v>
      </c>
      <c r="C2067" s="310" t="s">
        <v>16</v>
      </c>
    </row>
    <row r="2068" spans="1:3" ht="15" x14ac:dyDescent="0.2">
      <c r="A2068" s="310">
        <v>19348</v>
      </c>
      <c r="B2068" s="311" t="s">
        <v>15</v>
      </c>
      <c r="C2068" s="310" t="s">
        <v>16</v>
      </c>
    </row>
    <row r="2069" spans="1:3" ht="15" x14ac:dyDescent="0.2">
      <c r="A2069" s="310">
        <v>19350</v>
      </c>
      <c r="B2069" s="311" t="s">
        <v>15</v>
      </c>
      <c r="C2069" s="310" t="s">
        <v>16</v>
      </c>
    </row>
    <row r="2070" spans="1:3" ht="15" x14ac:dyDescent="0.2">
      <c r="A2070" s="310">
        <v>19351</v>
      </c>
      <c r="B2070" s="311" t="s">
        <v>15</v>
      </c>
      <c r="C2070" s="310" t="s">
        <v>16</v>
      </c>
    </row>
    <row r="2071" spans="1:3" ht="15" x14ac:dyDescent="0.2">
      <c r="A2071" s="310">
        <v>19352</v>
      </c>
      <c r="B2071" s="311" t="s">
        <v>15</v>
      </c>
      <c r="C2071" s="310" t="s">
        <v>16</v>
      </c>
    </row>
    <row r="2072" spans="1:3" ht="15" x14ac:dyDescent="0.2">
      <c r="A2072" s="310">
        <v>19353</v>
      </c>
      <c r="B2072" s="311" t="s">
        <v>15</v>
      </c>
      <c r="C2072" s="310" t="s">
        <v>16</v>
      </c>
    </row>
    <row r="2073" spans="1:3" ht="15" x14ac:dyDescent="0.2">
      <c r="A2073" s="310">
        <v>19354</v>
      </c>
      <c r="B2073" s="311" t="s">
        <v>15</v>
      </c>
      <c r="C2073" s="310" t="s">
        <v>16</v>
      </c>
    </row>
    <row r="2074" spans="1:3" ht="15" x14ac:dyDescent="0.2">
      <c r="A2074" s="310">
        <v>19355</v>
      </c>
      <c r="B2074" s="311" t="s">
        <v>15</v>
      </c>
      <c r="C2074" s="310" t="s">
        <v>16</v>
      </c>
    </row>
    <row r="2075" spans="1:3" ht="15" x14ac:dyDescent="0.2">
      <c r="A2075" s="310">
        <v>19357</v>
      </c>
      <c r="B2075" s="311" t="s">
        <v>15</v>
      </c>
      <c r="C2075" s="310" t="s">
        <v>16</v>
      </c>
    </row>
    <row r="2076" spans="1:3" ht="15" x14ac:dyDescent="0.2">
      <c r="A2076" s="310">
        <v>19358</v>
      </c>
      <c r="B2076" s="311" t="s">
        <v>15</v>
      </c>
      <c r="C2076" s="310" t="s">
        <v>16</v>
      </c>
    </row>
    <row r="2077" spans="1:3" ht="15" x14ac:dyDescent="0.2">
      <c r="A2077" s="310">
        <v>19360</v>
      </c>
      <c r="B2077" s="311" t="s">
        <v>15</v>
      </c>
      <c r="C2077" s="310" t="s">
        <v>16</v>
      </c>
    </row>
    <row r="2078" spans="1:3" ht="15" x14ac:dyDescent="0.2">
      <c r="A2078" s="310">
        <v>19362</v>
      </c>
      <c r="B2078" s="311" t="s">
        <v>15</v>
      </c>
      <c r="C2078" s="310" t="s">
        <v>16</v>
      </c>
    </row>
    <row r="2079" spans="1:3" ht="15" x14ac:dyDescent="0.2">
      <c r="A2079" s="310">
        <v>19363</v>
      </c>
      <c r="B2079" s="311" t="s">
        <v>15</v>
      </c>
      <c r="C2079" s="310" t="s">
        <v>16</v>
      </c>
    </row>
    <row r="2080" spans="1:3" ht="15" x14ac:dyDescent="0.2">
      <c r="A2080" s="310">
        <v>19365</v>
      </c>
      <c r="B2080" s="311" t="s">
        <v>15</v>
      </c>
      <c r="C2080" s="310" t="s">
        <v>16</v>
      </c>
    </row>
    <row r="2081" spans="1:3" ht="15" x14ac:dyDescent="0.2">
      <c r="A2081" s="310">
        <v>19366</v>
      </c>
      <c r="B2081" s="311" t="s">
        <v>15</v>
      </c>
      <c r="C2081" s="310" t="s">
        <v>16</v>
      </c>
    </row>
    <row r="2082" spans="1:3" ht="15" x14ac:dyDescent="0.2">
      <c r="A2082" s="310">
        <v>19367</v>
      </c>
      <c r="B2082" s="311" t="s">
        <v>15</v>
      </c>
      <c r="C2082" s="310" t="s">
        <v>16</v>
      </c>
    </row>
    <row r="2083" spans="1:3" ht="15" x14ac:dyDescent="0.2">
      <c r="A2083" s="310">
        <v>19369</v>
      </c>
      <c r="B2083" s="311" t="s">
        <v>15</v>
      </c>
      <c r="C2083" s="310" t="s">
        <v>16</v>
      </c>
    </row>
    <row r="2084" spans="1:3" ht="15" x14ac:dyDescent="0.2">
      <c r="A2084" s="310">
        <v>19371</v>
      </c>
      <c r="B2084" s="311" t="s">
        <v>15</v>
      </c>
      <c r="C2084" s="310" t="s">
        <v>16</v>
      </c>
    </row>
    <row r="2085" spans="1:3" ht="15" x14ac:dyDescent="0.2">
      <c r="A2085" s="310">
        <v>19372</v>
      </c>
      <c r="B2085" s="311" t="s">
        <v>15</v>
      </c>
      <c r="C2085" s="310" t="s">
        <v>16</v>
      </c>
    </row>
    <row r="2086" spans="1:3" ht="15" x14ac:dyDescent="0.2">
      <c r="A2086" s="310">
        <v>19373</v>
      </c>
      <c r="B2086" s="311" t="s">
        <v>15</v>
      </c>
      <c r="C2086" s="310" t="s">
        <v>16</v>
      </c>
    </row>
    <row r="2087" spans="1:3" ht="15" x14ac:dyDescent="0.2">
      <c r="A2087" s="310">
        <v>19374</v>
      </c>
      <c r="B2087" s="311" t="s">
        <v>15</v>
      </c>
      <c r="C2087" s="310" t="s">
        <v>16</v>
      </c>
    </row>
    <row r="2088" spans="1:3" ht="15" x14ac:dyDescent="0.2">
      <c r="A2088" s="310">
        <v>19375</v>
      </c>
      <c r="B2088" s="311" t="s">
        <v>15</v>
      </c>
      <c r="C2088" s="310" t="s">
        <v>16</v>
      </c>
    </row>
    <row r="2089" spans="1:3" ht="15" x14ac:dyDescent="0.2">
      <c r="A2089" s="310">
        <v>19376</v>
      </c>
      <c r="B2089" s="311" t="s">
        <v>15</v>
      </c>
      <c r="C2089" s="310" t="s">
        <v>16</v>
      </c>
    </row>
    <row r="2090" spans="1:3" ht="15" x14ac:dyDescent="0.2">
      <c r="A2090" s="310">
        <v>19380</v>
      </c>
      <c r="B2090" s="311" t="s">
        <v>15</v>
      </c>
      <c r="C2090" s="310" t="s">
        <v>16</v>
      </c>
    </row>
    <row r="2091" spans="1:3" ht="15" x14ac:dyDescent="0.2">
      <c r="A2091" s="310">
        <v>19381</v>
      </c>
      <c r="B2091" s="311" t="s">
        <v>15</v>
      </c>
      <c r="C2091" s="310" t="s">
        <v>16</v>
      </c>
    </row>
    <row r="2092" spans="1:3" ht="15" x14ac:dyDescent="0.2">
      <c r="A2092" s="310">
        <v>19382</v>
      </c>
      <c r="B2092" s="311" t="s">
        <v>15</v>
      </c>
      <c r="C2092" s="310" t="s">
        <v>16</v>
      </c>
    </row>
    <row r="2093" spans="1:3" ht="15" x14ac:dyDescent="0.2">
      <c r="A2093" s="310">
        <v>19383</v>
      </c>
      <c r="B2093" s="311" t="s">
        <v>15</v>
      </c>
      <c r="C2093" s="310" t="s">
        <v>16</v>
      </c>
    </row>
    <row r="2094" spans="1:3" ht="15" x14ac:dyDescent="0.2">
      <c r="A2094" s="310">
        <v>19388</v>
      </c>
      <c r="B2094" s="311" t="s">
        <v>15</v>
      </c>
      <c r="C2094" s="310" t="s">
        <v>16</v>
      </c>
    </row>
    <row r="2095" spans="1:3" ht="15" x14ac:dyDescent="0.2">
      <c r="A2095" s="310">
        <v>19390</v>
      </c>
      <c r="B2095" s="311" t="s">
        <v>15</v>
      </c>
      <c r="C2095" s="310" t="s">
        <v>16</v>
      </c>
    </row>
    <row r="2096" spans="1:3" ht="15" x14ac:dyDescent="0.2">
      <c r="A2096" s="310">
        <v>19395</v>
      </c>
      <c r="B2096" s="311" t="s">
        <v>15</v>
      </c>
      <c r="C2096" s="310" t="s">
        <v>16</v>
      </c>
    </row>
    <row r="2097" spans="1:3" ht="15" x14ac:dyDescent="0.2">
      <c r="A2097" s="310">
        <v>19397</v>
      </c>
      <c r="B2097" s="311" t="s">
        <v>15</v>
      </c>
      <c r="C2097" s="310" t="s">
        <v>16</v>
      </c>
    </row>
    <row r="2098" spans="1:3" ht="15" x14ac:dyDescent="0.2">
      <c r="A2098" s="310">
        <v>19398</v>
      </c>
      <c r="B2098" s="311" t="s">
        <v>15</v>
      </c>
      <c r="C2098" s="310" t="s">
        <v>16</v>
      </c>
    </row>
    <row r="2099" spans="1:3" ht="15" x14ac:dyDescent="0.2">
      <c r="A2099" s="310">
        <v>19399</v>
      </c>
      <c r="B2099" s="311" t="s">
        <v>15</v>
      </c>
      <c r="C2099" s="310" t="s">
        <v>16</v>
      </c>
    </row>
    <row r="2100" spans="1:3" ht="15" x14ac:dyDescent="0.2">
      <c r="A2100" s="310">
        <v>19401</v>
      </c>
      <c r="B2100" s="311" t="s">
        <v>15</v>
      </c>
      <c r="C2100" s="310" t="s">
        <v>16</v>
      </c>
    </row>
    <row r="2101" spans="1:3" ht="15" x14ac:dyDescent="0.2">
      <c r="A2101" s="310">
        <v>19403</v>
      </c>
      <c r="B2101" s="311" t="s">
        <v>15</v>
      </c>
      <c r="C2101" s="310" t="s">
        <v>16</v>
      </c>
    </row>
    <row r="2102" spans="1:3" ht="15" x14ac:dyDescent="0.2">
      <c r="A2102" s="310">
        <v>19404</v>
      </c>
      <c r="B2102" s="311" t="s">
        <v>15</v>
      </c>
      <c r="C2102" s="310" t="s">
        <v>16</v>
      </c>
    </row>
    <row r="2103" spans="1:3" ht="15" x14ac:dyDescent="0.2">
      <c r="A2103" s="310">
        <v>19405</v>
      </c>
      <c r="B2103" s="311" t="s">
        <v>15</v>
      </c>
      <c r="C2103" s="310" t="s">
        <v>16</v>
      </c>
    </row>
    <row r="2104" spans="1:3" ht="15" x14ac:dyDescent="0.2">
      <c r="A2104" s="310">
        <v>19406</v>
      </c>
      <c r="B2104" s="311" t="s">
        <v>15</v>
      </c>
      <c r="C2104" s="310" t="s">
        <v>16</v>
      </c>
    </row>
    <row r="2105" spans="1:3" ht="15" x14ac:dyDescent="0.2">
      <c r="A2105" s="310">
        <v>19407</v>
      </c>
      <c r="B2105" s="311" t="s">
        <v>15</v>
      </c>
      <c r="C2105" s="310" t="s">
        <v>16</v>
      </c>
    </row>
    <row r="2106" spans="1:3" ht="15" x14ac:dyDescent="0.2">
      <c r="A2106" s="310">
        <v>19408</v>
      </c>
      <c r="B2106" s="311" t="s">
        <v>15</v>
      </c>
      <c r="C2106" s="310" t="s">
        <v>16</v>
      </c>
    </row>
    <row r="2107" spans="1:3" ht="15" x14ac:dyDescent="0.2">
      <c r="A2107" s="310">
        <v>19409</v>
      </c>
      <c r="B2107" s="311" t="s">
        <v>15</v>
      </c>
      <c r="C2107" s="310" t="s">
        <v>16</v>
      </c>
    </row>
    <row r="2108" spans="1:3" ht="15" x14ac:dyDescent="0.2">
      <c r="A2108" s="310">
        <v>19415</v>
      </c>
      <c r="B2108" s="311" t="s">
        <v>15</v>
      </c>
      <c r="C2108" s="310" t="s">
        <v>16</v>
      </c>
    </row>
    <row r="2109" spans="1:3" ht="15" x14ac:dyDescent="0.2">
      <c r="A2109" s="310">
        <v>19420</v>
      </c>
      <c r="B2109" s="311" t="s">
        <v>15</v>
      </c>
      <c r="C2109" s="310" t="s">
        <v>16</v>
      </c>
    </row>
    <row r="2110" spans="1:3" ht="15" x14ac:dyDescent="0.2">
      <c r="A2110" s="310">
        <v>19421</v>
      </c>
      <c r="B2110" s="311" t="s">
        <v>15</v>
      </c>
      <c r="C2110" s="310" t="s">
        <v>16</v>
      </c>
    </row>
    <row r="2111" spans="1:3" ht="15" x14ac:dyDescent="0.2">
      <c r="A2111" s="310">
        <v>19422</v>
      </c>
      <c r="B2111" s="311" t="s">
        <v>15</v>
      </c>
      <c r="C2111" s="310" t="s">
        <v>16</v>
      </c>
    </row>
    <row r="2112" spans="1:3" ht="15" x14ac:dyDescent="0.2">
      <c r="A2112" s="310">
        <v>19423</v>
      </c>
      <c r="B2112" s="311" t="s">
        <v>15</v>
      </c>
      <c r="C2112" s="310" t="s">
        <v>16</v>
      </c>
    </row>
    <row r="2113" spans="1:3" ht="15" x14ac:dyDescent="0.2">
      <c r="A2113" s="310">
        <v>19424</v>
      </c>
      <c r="B2113" s="311" t="s">
        <v>15</v>
      </c>
      <c r="C2113" s="310" t="s">
        <v>16</v>
      </c>
    </row>
    <row r="2114" spans="1:3" ht="15" x14ac:dyDescent="0.2">
      <c r="A2114" s="310">
        <v>19425</v>
      </c>
      <c r="B2114" s="311" t="s">
        <v>15</v>
      </c>
      <c r="C2114" s="310" t="s">
        <v>16</v>
      </c>
    </row>
    <row r="2115" spans="1:3" ht="15" x14ac:dyDescent="0.2">
      <c r="A2115" s="310">
        <v>19426</v>
      </c>
      <c r="B2115" s="311" t="s">
        <v>15</v>
      </c>
      <c r="C2115" s="310" t="s">
        <v>16</v>
      </c>
    </row>
    <row r="2116" spans="1:3" ht="15" x14ac:dyDescent="0.2">
      <c r="A2116" s="310">
        <v>19428</v>
      </c>
      <c r="B2116" s="311" t="s">
        <v>15</v>
      </c>
      <c r="C2116" s="310" t="s">
        <v>16</v>
      </c>
    </row>
    <row r="2117" spans="1:3" ht="15" x14ac:dyDescent="0.2">
      <c r="A2117" s="310">
        <v>19429</v>
      </c>
      <c r="B2117" s="311" t="s">
        <v>15</v>
      </c>
      <c r="C2117" s="310" t="s">
        <v>16</v>
      </c>
    </row>
    <row r="2118" spans="1:3" ht="15" x14ac:dyDescent="0.2">
      <c r="A2118" s="310">
        <v>19430</v>
      </c>
      <c r="B2118" s="311" t="s">
        <v>15</v>
      </c>
      <c r="C2118" s="310" t="s">
        <v>16</v>
      </c>
    </row>
    <row r="2119" spans="1:3" ht="15" x14ac:dyDescent="0.2">
      <c r="A2119" s="310">
        <v>19432</v>
      </c>
      <c r="B2119" s="311" t="s">
        <v>15</v>
      </c>
      <c r="C2119" s="310" t="s">
        <v>16</v>
      </c>
    </row>
    <row r="2120" spans="1:3" ht="15" x14ac:dyDescent="0.2">
      <c r="A2120" s="310">
        <v>19435</v>
      </c>
      <c r="B2120" s="311" t="s">
        <v>15</v>
      </c>
      <c r="C2120" s="310" t="s">
        <v>16</v>
      </c>
    </row>
    <row r="2121" spans="1:3" ht="15" x14ac:dyDescent="0.2">
      <c r="A2121" s="310">
        <v>19436</v>
      </c>
      <c r="B2121" s="311" t="s">
        <v>15</v>
      </c>
      <c r="C2121" s="310" t="s">
        <v>16</v>
      </c>
    </row>
    <row r="2122" spans="1:3" ht="15" x14ac:dyDescent="0.2">
      <c r="A2122" s="310">
        <v>19437</v>
      </c>
      <c r="B2122" s="311" t="s">
        <v>15</v>
      </c>
      <c r="C2122" s="310" t="s">
        <v>16</v>
      </c>
    </row>
    <row r="2123" spans="1:3" ht="15" x14ac:dyDescent="0.2">
      <c r="A2123" s="310">
        <v>19438</v>
      </c>
      <c r="B2123" s="311" t="s">
        <v>15</v>
      </c>
      <c r="C2123" s="310" t="s">
        <v>16</v>
      </c>
    </row>
    <row r="2124" spans="1:3" ht="15" x14ac:dyDescent="0.2">
      <c r="A2124" s="310">
        <v>19440</v>
      </c>
      <c r="B2124" s="311" t="s">
        <v>15</v>
      </c>
      <c r="C2124" s="310" t="s">
        <v>16</v>
      </c>
    </row>
    <row r="2125" spans="1:3" ht="15" x14ac:dyDescent="0.2">
      <c r="A2125" s="310">
        <v>19441</v>
      </c>
      <c r="B2125" s="311" t="s">
        <v>15</v>
      </c>
      <c r="C2125" s="310" t="s">
        <v>16</v>
      </c>
    </row>
    <row r="2126" spans="1:3" ht="15" x14ac:dyDescent="0.2">
      <c r="A2126" s="310">
        <v>19442</v>
      </c>
      <c r="B2126" s="311" t="s">
        <v>15</v>
      </c>
      <c r="C2126" s="310" t="s">
        <v>16</v>
      </c>
    </row>
    <row r="2127" spans="1:3" ht="15" x14ac:dyDescent="0.2">
      <c r="A2127" s="310">
        <v>19443</v>
      </c>
      <c r="B2127" s="311" t="s">
        <v>15</v>
      </c>
      <c r="C2127" s="310" t="s">
        <v>16</v>
      </c>
    </row>
    <row r="2128" spans="1:3" ht="15" x14ac:dyDescent="0.2">
      <c r="A2128" s="310">
        <v>19444</v>
      </c>
      <c r="B2128" s="311" t="s">
        <v>15</v>
      </c>
      <c r="C2128" s="310" t="s">
        <v>16</v>
      </c>
    </row>
    <row r="2129" spans="1:3" ht="15" x14ac:dyDescent="0.2">
      <c r="A2129" s="310">
        <v>19446</v>
      </c>
      <c r="B2129" s="311" t="s">
        <v>15</v>
      </c>
      <c r="C2129" s="310" t="s">
        <v>16</v>
      </c>
    </row>
    <row r="2130" spans="1:3" ht="15" x14ac:dyDescent="0.2">
      <c r="A2130" s="310">
        <v>19450</v>
      </c>
      <c r="B2130" s="311" t="s">
        <v>15</v>
      </c>
      <c r="C2130" s="310" t="s">
        <v>16</v>
      </c>
    </row>
    <row r="2131" spans="1:3" ht="15" x14ac:dyDescent="0.2">
      <c r="A2131" s="310">
        <v>19451</v>
      </c>
      <c r="B2131" s="311" t="s">
        <v>15</v>
      </c>
      <c r="C2131" s="310" t="s">
        <v>16</v>
      </c>
    </row>
    <row r="2132" spans="1:3" ht="15" x14ac:dyDescent="0.2">
      <c r="A2132" s="310">
        <v>19453</v>
      </c>
      <c r="B2132" s="311" t="s">
        <v>15</v>
      </c>
      <c r="C2132" s="310" t="s">
        <v>16</v>
      </c>
    </row>
    <row r="2133" spans="1:3" ht="15" x14ac:dyDescent="0.2">
      <c r="A2133" s="310">
        <v>19454</v>
      </c>
      <c r="B2133" s="311" t="s">
        <v>15</v>
      </c>
      <c r="C2133" s="310" t="s">
        <v>16</v>
      </c>
    </row>
    <row r="2134" spans="1:3" ht="15" x14ac:dyDescent="0.2">
      <c r="A2134" s="310">
        <v>19455</v>
      </c>
      <c r="B2134" s="311" t="s">
        <v>15</v>
      </c>
      <c r="C2134" s="310" t="s">
        <v>16</v>
      </c>
    </row>
    <row r="2135" spans="1:3" ht="15" x14ac:dyDescent="0.2">
      <c r="A2135" s="310">
        <v>19456</v>
      </c>
      <c r="B2135" s="311" t="s">
        <v>15</v>
      </c>
      <c r="C2135" s="310" t="s">
        <v>16</v>
      </c>
    </row>
    <row r="2136" spans="1:3" ht="15" x14ac:dyDescent="0.2">
      <c r="A2136" s="310">
        <v>19457</v>
      </c>
      <c r="B2136" s="311" t="s">
        <v>15</v>
      </c>
      <c r="C2136" s="310" t="s">
        <v>16</v>
      </c>
    </row>
    <row r="2137" spans="1:3" ht="15" x14ac:dyDescent="0.2">
      <c r="A2137" s="310">
        <v>19460</v>
      </c>
      <c r="B2137" s="311" t="s">
        <v>15</v>
      </c>
      <c r="C2137" s="310" t="s">
        <v>16</v>
      </c>
    </row>
    <row r="2138" spans="1:3" ht="15" x14ac:dyDescent="0.2">
      <c r="A2138" s="310">
        <v>19462</v>
      </c>
      <c r="B2138" s="311" t="s">
        <v>15</v>
      </c>
      <c r="C2138" s="310" t="s">
        <v>16</v>
      </c>
    </row>
    <row r="2139" spans="1:3" ht="15" x14ac:dyDescent="0.2">
      <c r="A2139" s="310">
        <v>19464</v>
      </c>
      <c r="B2139" s="311" t="s">
        <v>15</v>
      </c>
      <c r="C2139" s="310" t="s">
        <v>16</v>
      </c>
    </row>
    <row r="2140" spans="1:3" ht="15" x14ac:dyDescent="0.2">
      <c r="A2140" s="310">
        <v>19465</v>
      </c>
      <c r="B2140" s="311" t="s">
        <v>15</v>
      </c>
      <c r="C2140" s="310" t="s">
        <v>16</v>
      </c>
    </row>
    <row r="2141" spans="1:3" ht="15" x14ac:dyDescent="0.2">
      <c r="A2141" s="310">
        <v>19468</v>
      </c>
      <c r="B2141" s="311" t="s">
        <v>15</v>
      </c>
      <c r="C2141" s="310" t="s">
        <v>16</v>
      </c>
    </row>
    <row r="2142" spans="1:3" ht="15" x14ac:dyDescent="0.2">
      <c r="A2142" s="310">
        <v>19470</v>
      </c>
      <c r="B2142" s="311" t="s">
        <v>15</v>
      </c>
      <c r="C2142" s="310" t="s">
        <v>16</v>
      </c>
    </row>
    <row r="2143" spans="1:3" ht="15" x14ac:dyDescent="0.2">
      <c r="A2143" s="310">
        <v>19472</v>
      </c>
      <c r="B2143" s="311" t="s">
        <v>15</v>
      </c>
      <c r="C2143" s="310" t="s">
        <v>16</v>
      </c>
    </row>
    <row r="2144" spans="1:3" ht="15" x14ac:dyDescent="0.2">
      <c r="A2144" s="310">
        <v>19473</v>
      </c>
      <c r="B2144" s="311" t="s">
        <v>15</v>
      </c>
      <c r="C2144" s="310" t="s">
        <v>16</v>
      </c>
    </row>
    <row r="2145" spans="1:3" ht="15" x14ac:dyDescent="0.2">
      <c r="A2145" s="310">
        <v>19474</v>
      </c>
      <c r="B2145" s="311" t="s">
        <v>15</v>
      </c>
      <c r="C2145" s="310" t="s">
        <v>16</v>
      </c>
    </row>
    <row r="2146" spans="1:3" ht="15" x14ac:dyDescent="0.2">
      <c r="A2146" s="310">
        <v>19475</v>
      </c>
      <c r="B2146" s="311" t="s">
        <v>15</v>
      </c>
      <c r="C2146" s="310" t="s">
        <v>16</v>
      </c>
    </row>
    <row r="2147" spans="1:3" ht="15" x14ac:dyDescent="0.2">
      <c r="A2147" s="310">
        <v>19477</v>
      </c>
      <c r="B2147" s="311" t="s">
        <v>15</v>
      </c>
      <c r="C2147" s="310" t="s">
        <v>16</v>
      </c>
    </row>
    <row r="2148" spans="1:3" ht="15" x14ac:dyDescent="0.2">
      <c r="A2148" s="310">
        <v>19478</v>
      </c>
      <c r="B2148" s="311" t="s">
        <v>15</v>
      </c>
      <c r="C2148" s="310" t="s">
        <v>16</v>
      </c>
    </row>
    <row r="2149" spans="1:3" ht="15" x14ac:dyDescent="0.2">
      <c r="A2149" s="310">
        <v>19480</v>
      </c>
      <c r="B2149" s="311" t="s">
        <v>15</v>
      </c>
      <c r="C2149" s="310" t="s">
        <v>16</v>
      </c>
    </row>
    <row r="2150" spans="1:3" ht="15" x14ac:dyDescent="0.2">
      <c r="A2150" s="310">
        <v>19481</v>
      </c>
      <c r="B2150" s="311" t="s">
        <v>15</v>
      </c>
      <c r="C2150" s="310" t="s">
        <v>16</v>
      </c>
    </row>
    <row r="2151" spans="1:3" ht="15" x14ac:dyDescent="0.2">
      <c r="A2151" s="310">
        <v>19482</v>
      </c>
      <c r="B2151" s="311" t="s">
        <v>15</v>
      </c>
      <c r="C2151" s="310" t="s">
        <v>16</v>
      </c>
    </row>
    <row r="2152" spans="1:3" ht="15" x14ac:dyDescent="0.2">
      <c r="A2152" s="310">
        <v>19483</v>
      </c>
      <c r="B2152" s="311" t="s">
        <v>15</v>
      </c>
      <c r="C2152" s="310" t="s">
        <v>16</v>
      </c>
    </row>
    <row r="2153" spans="1:3" ht="15" x14ac:dyDescent="0.2">
      <c r="A2153" s="310">
        <v>19484</v>
      </c>
      <c r="B2153" s="311" t="s">
        <v>15</v>
      </c>
      <c r="C2153" s="310" t="s">
        <v>16</v>
      </c>
    </row>
    <row r="2154" spans="1:3" ht="15" x14ac:dyDescent="0.2">
      <c r="A2154" s="310">
        <v>19485</v>
      </c>
      <c r="B2154" s="311" t="s">
        <v>15</v>
      </c>
      <c r="C2154" s="310" t="s">
        <v>16</v>
      </c>
    </row>
    <row r="2155" spans="1:3" ht="15" x14ac:dyDescent="0.2">
      <c r="A2155" s="310">
        <v>19486</v>
      </c>
      <c r="B2155" s="311" t="s">
        <v>15</v>
      </c>
      <c r="C2155" s="310" t="s">
        <v>16</v>
      </c>
    </row>
    <row r="2156" spans="1:3" ht="15" x14ac:dyDescent="0.2">
      <c r="A2156" s="310">
        <v>19487</v>
      </c>
      <c r="B2156" s="311" t="s">
        <v>15</v>
      </c>
      <c r="C2156" s="310" t="s">
        <v>16</v>
      </c>
    </row>
    <row r="2157" spans="1:3" ht="15" x14ac:dyDescent="0.2">
      <c r="A2157" s="310">
        <v>19488</v>
      </c>
      <c r="B2157" s="311" t="s">
        <v>15</v>
      </c>
      <c r="C2157" s="310" t="s">
        <v>16</v>
      </c>
    </row>
    <row r="2158" spans="1:3" ht="15" x14ac:dyDescent="0.2">
      <c r="A2158" s="310">
        <v>19489</v>
      </c>
      <c r="B2158" s="311" t="s">
        <v>15</v>
      </c>
      <c r="C2158" s="310" t="s">
        <v>16</v>
      </c>
    </row>
    <row r="2159" spans="1:3" ht="15" x14ac:dyDescent="0.2">
      <c r="A2159" s="310">
        <v>19490</v>
      </c>
      <c r="B2159" s="311" t="s">
        <v>15</v>
      </c>
      <c r="C2159" s="310" t="s">
        <v>16</v>
      </c>
    </row>
    <row r="2160" spans="1:3" ht="15" x14ac:dyDescent="0.2">
      <c r="A2160" s="310">
        <v>19492</v>
      </c>
      <c r="B2160" s="311" t="s">
        <v>15</v>
      </c>
      <c r="C2160" s="310" t="s">
        <v>16</v>
      </c>
    </row>
    <row r="2161" spans="1:3" ht="15" x14ac:dyDescent="0.2">
      <c r="A2161" s="310">
        <v>19493</v>
      </c>
      <c r="B2161" s="311" t="s">
        <v>15</v>
      </c>
      <c r="C2161" s="310" t="s">
        <v>16</v>
      </c>
    </row>
    <row r="2162" spans="1:3" ht="15" x14ac:dyDescent="0.2">
      <c r="A2162" s="310">
        <v>19494</v>
      </c>
      <c r="B2162" s="311" t="s">
        <v>15</v>
      </c>
      <c r="C2162" s="310" t="s">
        <v>16</v>
      </c>
    </row>
    <row r="2163" spans="1:3" ht="15" x14ac:dyDescent="0.2">
      <c r="A2163" s="310">
        <v>19495</v>
      </c>
      <c r="B2163" s="311" t="s">
        <v>15</v>
      </c>
      <c r="C2163" s="310" t="s">
        <v>16</v>
      </c>
    </row>
    <row r="2164" spans="1:3" ht="15" x14ac:dyDescent="0.2">
      <c r="A2164" s="310">
        <v>19496</v>
      </c>
      <c r="B2164" s="311" t="s">
        <v>15</v>
      </c>
      <c r="C2164" s="310" t="s">
        <v>16</v>
      </c>
    </row>
    <row r="2165" spans="1:3" ht="15" x14ac:dyDescent="0.2">
      <c r="A2165" s="310">
        <v>19501</v>
      </c>
      <c r="B2165" s="311" t="s">
        <v>15</v>
      </c>
      <c r="C2165" s="310" t="s">
        <v>16</v>
      </c>
    </row>
    <row r="2166" spans="1:3" ht="15" x14ac:dyDescent="0.2">
      <c r="A2166" s="310">
        <v>19503</v>
      </c>
      <c r="B2166" s="311" t="s">
        <v>15</v>
      </c>
      <c r="C2166" s="310" t="s">
        <v>16</v>
      </c>
    </row>
    <row r="2167" spans="1:3" ht="15" x14ac:dyDescent="0.2">
      <c r="A2167" s="310">
        <v>19504</v>
      </c>
      <c r="B2167" s="311" t="s">
        <v>15</v>
      </c>
      <c r="C2167" s="310" t="s">
        <v>16</v>
      </c>
    </row>
    <row r="2168" spans="1:3" ht="15" x14ac:dyDescent="0.2">
      <c r="A2168" s="310">
        <v>19505</v>
      </c>
      <c r="B2168" s="311" t="s">
        <v>15</v>
      </c>
      <c r="C2168" s="310" t="s">
        <v>16</v>
      </c>
    </row>
    <row r="2169" spans="1:3" ht="15" x14ac:dyDescent="0.2">
      <c r="A2169" s="310">
        <v>19506</v>
      </c>
      <c r="B2169" s="311" t="s">
        <v>15</v>
      </c>
      <c r="C2169" s="310" t="s">
        <v>16</v>
      </c>
    </row>
    <row r="2170" spans="1:3" ht="15" x14ac:dyDescent="0.2">
      <c r="A2170" s="310">
        <v>19507</v>
      </c>
      <c r="B2170" s="311" t="s">
        <v>15</v>
      </c>
      <c r="C2170" s="310" t="s">
        <v>16</v>
      </c>
    </row>
    <row r="2171" spans="1:3" ht="15" x14ac:dyDescent="0.2">
      <c r="A2171" s="310">
        <v>19508</v>
      </c>
      <c r="B2171" s="311" t="s">
        <v>15</v>
      </c>
      <c r="C2171" s="310" t="s">
        <v>16</v>
      </c>
    </row>
    <row r="2172" spans="1:3" ht="15" x14ac:dyDescent="0.2">
      <c r="A2172" s="310">
        <v>19510</v>
      </c>
      <c r="B2172" s="311" t="s">
        <v>15</v>
      </c>
      <c r="C2172" s="310" t="s">
        <v>16</v>
      </c>
    </row>
    <row r="2173" spans="1:3" ht="15" x14ac:dyDescent="0.2">
      <c r="A2173" s="310">
        <v>19511</v>
      </c>
      <c r="B2173" s="311" t="s">
        <v>15</v>
      </c>
      <c r="C2173" s="310" t="s">
        <v>16</v>
      </c>
    </row>
    <row r="2174" spans="1:3" ht="15" x14ac:dyDescent="0.2">
      <c r="A2174" s="310">
        <v>19512</v>
      </c>
      <c r="B2174" s="311" t="s">
        <v>15</v>
      </c>
      <c r="C2174" s="310" t="s">
        <v>16</v>
      </c>
    </row>
    <row r="2175" spans="1:3" ht="15" x14ac:dyDescent="0.2">
      <c r="A2175" s="310">
        <v>19516</v>
      </c>
      <c r="B2175" s="311" t="s">
        <v>15</v>
      </c>
      <c r="C2175" s="310" t="s">
        <v>16</v>
      </c>
    </row>
    <row r="2176" spans="1:3" ht="15" x14ac:dyDescent="0.2">
      <c r="A2176" s="310">
        <v>19518</v>
      </c>
      <c r="B2176" s="311" t="s">
        <v>15</v>
      </c>
      <c r="C2176" s="310" t="s">
        <v>16</v>
      </c>
    </row>
    <row r="2177" spans="1:3" ht="15" x14ac:dyDescent="0.2">
      <c r="A2177" s="310">
        <v>19519</v>
      </c>
      <c r="B2177" s="311" t="s">
        <v>15</v>
      </c>
      <c r="C2177" s="310" t="s">
        <v>16</v>
      </c>
    </row>
    <row r="2178" spans="1:3" ht="15" x14ac:dyDescent="0.2">
      <c r="A2178" s="310">
        <v>19520</v>
      </c>
      <c r="B2178" s="311" t="s">
        <v>15</v>
      </c>
      <c r="C2178" s="310" t="s">
        <v>16</v>
      </c>
    </row>
    <row r="2179" spans="1:3" ht="15" x14ac:dyDescent="0.2">
      <c r="A2179" s="310">
        <v>19522</v>
      </c>
      <c r="B2179" s="311" t="s">
        <v>15</v>
      </c>
      <c r="C2179" s="310" t="s">
        <v>16</v>
      </c>
    </row>
    <row r="2180" spans="1:3" ht="15" x14ac:dyDescent="0.2">
      <c r="A2180" s="310">
        <v>19523</v>
      </c>
      <c r="B2180" s="311" t="s">
        <v>15</v>
      </c>
      <c r="C2180" s="310" t="s">
        <v>16</v>
      </c>
    </row>
    <row r="2181" spans="1:3" ht="15" x14ac:dyDescent="0.2">
      <c r="A2181" s="310">
        <v>19525</v>
      </c>
      <c r="B2181" s="311" t="s">
        <v>15</v>
      </c>
      <c r="C2181" s="310" t="s">
        <v>16</v>
      </c>
    </row>
    <row r="2182" spans="1:3" ht="15" x14ac:dyDescent="0.2">
      <c r="A2182" s="310">
        <v>19526</v>
      </c>
      <c r="B2182" s="311" t="s">
        <v>15</v>
      </c>
      <c r="C2182" s="310" t="s">
        <v>16</v>
      </c>
    </row>
    <row r="2183" spans="1:3" ht="15" x14ac:dyDescent="0.2">
      <c r="A2183" s="310">
        <v>19529</v>
      </c>
      <c r="B2183" s="311" t="s">
        <v>15</v>
      </c>
      <c r="C2183" s="310" t="s">
        <v>16</v>
      </c>
    </row>
    <row r="2184" spans="1:3" ht="15" x14ac:dyDescent="0.2">
      <c r="A2184" s="310">
        <v>19530</v>
      </c>
      <c r="B2184" s="311" t="s">
        <v>15</v>
      </c>
      <c r="C2184" s="310" t="s">
        <v>16</v>
      </c>
    </row>
    <row r="2185" spans="1:3" ht="15" x14ac:dyDescent="0.2">
      <c r="A2185" s="310">
        <v>19533</v>
      </c>
      <c r="B2185" s="311" t="s">
        <v>15</v>
      </c>
      <c r="C2185" s="310" t="s">
        <v>16</v>
      </c>
    </row>
    <row r="2186" spans="1:3" ht="15" x14ac:dyDescent="0.2">
      <c r="A2186" s="310">
        <v>19534</v>
      </c>
      <c r="B2186" s="311" t="s">
        <v>15</v>
      </c>
      <c r="C2186" s="310" t="s">
        <v>16</v>
      </c>
    </row>
    <row r="2187" spans="1:3" ht="15" x14ac:dyDescent="0.2">
      <c r="A2187" s="310">
        <v>19535</v>
      </c>
      <c r="B2187" s="311" t="s">
        <v>15</v>
      </c>
      <c r="C2187" s="310" t="s">
        <v>16</v>
      </c>
    </row>
    <row r="2188" spans="1:3" ht="15" x14ac:dyDescent="0.2">
      <c r="A2188" s="310">
        <v>19536</v>
      </c>
      <c r="B2188" s="311" t="s">
        <v>15</v>
      </c>
      <c r="C2188" s="310" t="s">
        <v>16</v>
      </c>
    </row>
    <row r="2189" spans="1:3" ht="15" x14ac:dyDescent="0.2">
      <c r="A2189" s="310">
        <v>19538</v>
      </c>
      <c r="B2189" s="311" t="s">
        <v>15</v>
      </c>
      <c r="C2189" s="310" t="s">
        <v>16</v>
      </c>
    </row>
    <row r="2190" spans="1:3" ht="15" x14ac:dyDescent="0.2">
      <c r="A2190" s="310">
        <v>19539</v>
      </c>
      <c r="B2190" s="311" t="s">
        <v>15</v>
      </c>
      <c r="C2190" s="310" t="s">
        <v>16</v>
      </c>
    </row>
    <row r="2191" spans="1:3" ht="15" x14ac:dyDescent="0.2">
      <c r="A2191" s="310">
        <v>19540</v>
      </c>
      <c r="B2191" s="311" t="s">
        <v>15</v>
      </c>
      <c r="C2191" s="310" t="s">
        <v>16</v>
      </c>
    </row>
    <row r="2192" spans="1:3" ht="15" x14ac:dyDescent="0.2">
      <c r="A2192" s="310">
        <v>19541</v>
      </c>
      <c r="B2192" s="311" t="s">
        <v>15</v>
      </c>
      <c r="C2192" s="310" t="s">
        <v>16</v>
      </c>
    </row>
    <row r="2193" spans="1:3" ht="15" x14ac:dyDescent="0.2">
      <c r="A2193" s="310">
        <v>19542</v>
      </c>
      <c r="B2193" s="311" t="s">
        <v>15</v>
      </c>
      <c r="C2193" s="310" t="s">
        <v>16</v>
      </c>
    </row>
    <row r="2194" spans="1:3" ht="15" x14ac:dyDescent="0.2">
      <c r="A2194" s="310">
        <v>19543</v>
      </c>
      <c r="B2194" s="311" t="s">
        <v>15</v>
      </c>
      <c r="C2194" s="310" t="s">
        <v>16</v>
      </c>
    </row>
    <row r="2195" spans="1:3" ht="15" x14ac:dyDescent="0.2">
      <c r="A2195" s="310">
        <v>19544</v>
      </c>
      <c r="B2195" s="311" t="s">
        <v>15</v>
      </c>
      <c r="C2195" s="310" t="s">
        <v>16</v>
      </c>
    </row>
    <row r="2196" spans="1:3" ht="15" x14ac:dyDescent="0.2">
      <c r="A2196" s="310">
        <v>19545</v>
      </c>
      <c r="B2196" s="311" t="s">
        <v>15</v>
      </c>
      <c r="C2196" s="310" t="s">
        <v>16</v>
      </c>
    </row>
    <row r="2197" spans="1:3" ht="15" x14ac:dyDescent="0.2">
      <c r="A2197" s="310">
        <v>19547</v>
      </c>
      <c r="B2197" s="311" t="s">
        <v>15</v>
      </c>
      <c r="C2197" s="310" t="s">
        <v>16</v>
      </c>
    </row>
    <row r="2198" spans="1:3" ht="15" x14ac:dyDescent="0.2">
      <c r="A2198" s="310">
        <v>19548</v>
      </c>
      <c r="B2198" s="311" t="s">
        <v>15</v>
      </c>
      <c r="C2198" s="310" t="s">
        <v>16</v>
      </c>
    </row>
    <row r="2199" spans="1:3" ht="15" x14ac:dyDescent="0.2">
      <c r="A2199" s="310">
        <v>19549</v>
      </c>
      <c r="B2199" s="311" t="s">
        <v>17</v>
      </c>
      <c r="C2199" s="310" t="s">
        <v>18</v>
      </c>
    </row>
    <row r="2200" spans="1:3" ht="15" x14ac:dyDescent="0.2">
      <c r="A2200" s="310">
        <v>19550</v>
      </c>
      <c r="B2200" s="311" t="s">
        <v>15</v>
      </c>
      <c r="C2200" s="310" t="s">
        <v>16</v>
      </c>
    </row>
    <row r="2201" spans="1:3" ht="15" x14ac:dyDescent="0.2">
      <c r="A2201" s="310">
        <v>19551</v>
      </c>
      <c r="B2201" s="311" t="s">
        <v>15</v>
      </c>
      <c r="C2201" s="310" t="s">
        <v>16</v>
      </c>
    </row>
    <row r="2202" spans="1:3" ht="15" x14ac:dyDescent="0.2">
      <c r="A2202" s="310">
        <v>19554</v>
      </c>
      <c r="B2202" s="311" t="s">
        <v>15</v>
      </c>
      <c r="C2202" s="310" t="s">
        <v>16</v>
      </c>
    </row>
    <row r="2203" spans="1:3" ht="15" x14ac:dyDescent="0.2">
      <c r="A2203" s="310">
        <v>19555</v>
      </c>
      <c r="B2203" s="311" t="s">
        <v>15</v>
      </c>
      <c r="C2203" s="310" t="s">
        <v>16</v>
      </c>
    </row>
    <row r="2204" spans="1:3" ht="15" x14ac:dyDescent="0.2">
      <c r="A2204" s="310">
        <v>19557</v>
      </c>
      <c r="B2204" s="311" t="s">
        <v>15</v>
      </c>
      <c r="C2204" s="310" t="s">
        <v>16</v>
      </c>
    </row>
    <row r="2205" spans="1:3" ht="15" x14ac:dyDescent="0.2">
      <c r="A2205" s="310">
        <v>19559</v>
      </c>
      <c r="B2205" s="311" t="s">
        <v>15</v>
      </c>
      <c r="C2205" s="310" t="s">
        <v>16</v>
      </c>
    </row>
    <row r="2206" spans="1:3" ht="15" x14ac:dyDescent="0.2">
      <c r="A2206" s="310">
        <v>19560</v>
      </c>
      <c r="B2206" s="311" t="s">
        <v>15</v>
      </c>
      <c r="C2206" s="310" t="s">
        <v>16</v>
      </c>
    </row>
    <row r="2207" spans="1:3" ht="15" x14ac:dyDescent="0.2">
      <c r="A2207" s="310">
        <v>19562</v>
      </c>
      <c r="B2207" s="311" t="s">
        <v>15</v>
      </c>
      <c r="C2207" s="310" t="s">
        <v>16</v>
      </c>
    </row>
    <row r="2208" spans="1:3" ht="15" x14ac:dyDescent="0.2">
      <c r="A2208" s="310">
        <v>19564</v>
      </c>
      <c r="B2208" s="311" t="s">
        <v>15</v>
      </c>
      <c r="C2208" s="310" t="s">
        <v>16</v>
      </c>
    </row>
    <row r="2209" spans="1:3" ht="15" x14ac:dyDescent="0.2">
      <c r="A2209" s="310">
        <v>19565</v>
      </c>
      <c r="B2209" s="311" t="s">
        <v>15</v>
      </c>
      <c r="C2209" s="310" t="s">
        <v>16</v>
      </c>
    </row>
    <row r="2210" spans="1:3" ht="15" x14ac:dyDescent="0.2">
      <c r="A2210" s="310">
        <v>19567</v>
      </c>
      <c r="B2210" s="311" t="s">
        <v>15</v>
      </c>
      <c r="C2210" s="310" t="s">
        <v>16</v>
      </c>
    </row>
    <row r="2211" spans="1:3" ht="15" x14ac:dyDescent="0.2">
      <c r="A2211" s="310">
        <v>19601</v>
      </c>
      <c r="B2211" s="311" t="s">
        <v>15</v>
      </c>
      <c r="C2211" s="310" t="s">
        <v>16</v>
      </c>
    </row>
    <row r="2212" spans="1:3" ht="15" x14ac:dyDescent="0.2">
      <c r="A2212" s="310">
        <v>19602</v>
      </c>
      <c r="B2212" s="311" t="s">
        <v>15</v>
      </c>
      <c r="C2212" s="310" t="s">
        <v>16</v>
      </c>
    </row>
    <row r="2213" spans="1:3" ht="15" x14ac:dyDescent="0.2">
      <c r="A2213" s="310">
        <v>19603</v>
      </c>
      <c r="B2213" s="311" t="s">
        <v>15</v>
      </c>
      <c r="C2213" s="310" t="s">
        <v>16</v>
      </c>
    </row>
    <row r="2214" spans="1:3" ht="15" x14ac:dyDescent="0.2">
      <c r="A2214" s="310">
        <v>19604</v>
      </c>
      <c r="B2214" s="311" t="s">
        <v>15</v>
      </c>
      <c r="C2214" s="310" t="s">
        <v>16</v>
      </c>
    </row>
    <row r="2215" spans="1:3" ht="15" x14ac:dyDescent="0.2">
      <c r="A2215" s="310">
        <v>19605</v>
      </c>
      <c r="B2215" s="311" t="s">
        <v>15</v>
      </c>
      <c r="C2215" s="310" t="s">
        <v>16</v>
      </c>
    </row>
    <row r="2216" spans="1:3" ht="15" x14ac:dyDescent="0.2">
      <c r="A2216" s="310">
        <v>19606</v>
      </c>
      <c r="B2216" s="311" t="s">
        <v>15</v>
      </c>
      <c r="C2216" s="310" t="s">
        <v>16</v>
      </c>
    </row>
    <row r="2217" spans="1:3" ht="15" x14ac:dyDescent="0.2">
      <c r="A2217" s="310">
        <v>19607</v>
      </c>
      <c r="B2217" s="311" t="s">
        <v>15</v>
      </c>
      <c r="C2217" s="310" t="s">
        <v>16</v>
      </c>
    </row>
    <row r="2218" spans="1:3" ht="15" x14ac:dyDescent="0.2">
      <c r="A2218" s="310">
        <v>19608</v>
      </c>
      <c r="B2218" s="311" t="s">
        <v>15</v>
      </c>
      <c r="C2218" s="310" t="s">
        <v>16</v>
      </c>
    </row>
    <row r="2219" spans="1:3" ht="15" x14ac:dyDescent="0.2">
      <c r="A2219" s="310">
        <v>19609</v>
      </c>
      <c r="B2219" s="311" t="s">
        <v>15</v>
      </c>
      <c r="C2219" s="310" t="s">
        <v>16</v>
      </c>
    </row>
    <row r="2220" spans="1:3" ht="15" x14ac:dyDescent="0.2">
      <c r="A2220" s="310">
        <v>19610</v>
      </c>
      <c r="B2220" s="311" t="s">
        <v>15</v>
      </c>
      <c r="C2220" s="310" t="s">
        <v>16</v>
      </c>
    </row>
    <row r="2221" spans="1:3" ht="15" x14ac:dyDescent="0.2">
      <c r="A2221" s="310">
        <v>19611</v>
      </c>
      <c r="B2221" s="311" t="s">
        <v>15</v>
      </c>
      <c r="C2221" s="310" t="s">
        <v>16</v>
      </c>
    </row>
    <row r="2222" spans="1:3" ht="15" x14ac:dyDescent="0.2">
      <c r="A2222" s="310">
        <v>19612</v>
      </c>
      <c r="B2222" s="311" t="s">
        <v>15</v>
      </c>
      <c r="C2222" s="310" t="s">
        <v>16</v>
      </c>
    </row>
    <row r="2223" spans="1:3" ht="15" x14ac:dyDescent="0.2">
      <c r="A2223" s="310">
        <v>19640</v>
      </c>
      <c r="B2223" s="311" t="s">
        <v>15</v>
      </c>
      <c r="C2223" s="310" t="s">
        <v>16</v>
      </c>
    </row>
  </sheetData>
  <autoFilter ref="A1:C2223" xr:uid="{2869960D-76A9-4FCD-8DB9-D6104E6D81E4}"/>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0" tint="-0.14999847407452621"/>
  </sheetPr>
  <dimension ref="B2:D97"/>
  <sheetViews>
    <sheetView topLeftCell="A67" zoomScale="90" zoomScaleNormal="90" workbookViewId="0">
      <selection activeCell="B6" sqref="B6"/>
    </sheetView>
  </sheetViews>
  <sheetFormatPr defaultColWidth="8.75" defaultRowHeight="14.25" x14ac:dyDescent="0.2"/>
  <cols>
    <col min="1" max="1" width="3.25" style="1" customWidth="1"/>
    <col min="2" max="2" width="8.75" style="1" customWidth="1"/>
    <col min="3" max="3" width="100.375" style="1" customWidth="1"/>
    <col min="4" max="16384" width="8.75" style="1"/>
  </cols>
  <sheetData>
    <row r="2" spans="2:4" ht="34.5" x14ac:dyDescent="0.5">
      <c r="B2" s="5" t="s">
        <v>204</v>
      </c>
      <c r="C2" s="5"/>
      <c r="D2" s="5"/>
    </row>
    <row r="5" spans="2:4" ht="33" customHeight="1" x14ac:dyDescent="0.2">
      <c r="B5" s="690" t="s">
        <v>29</v>
      </c>
      <c r="C5" s="690"/>
    </row>
    <row r="6" spans="2:4" x14ac:dyDescent="0.2">
      <c r="B6" s="131" t="s">
        <v>205</v>
      </c>
    </row>
    <row r="39" spans="2:3" ht="18" x14ac:dyDescent="0.25">
      <c r="B39" s="691" t="s">
        <v>206</v>
      </c>
      <c r="C39" s="691"/>
    </row>
    <row r="40" spans="2:3" x14ac:dyDescent="0.2">
      <c r="B40" s="131" t="s">
        <v>207</v>
      </c>
    </row>
    <row r="68" spans="2:3" ht="18" x14ac:dyDescent="0.25">
      <c r="B68" s="691" t="s">
        <v>208</v>
      </c>
      <c r="C68" s="691"/>
    </row>
    <row r="69" spans="2:3" ht="18" x14ac:dyDescent="0.25">
      <c r="B69" s="131" t="s">
        <v>205</v>
      </c>
      <c r="C69" s="133"/>
    </row>
    <row r="96" spans="2:2" ht="18" x14ac:dyDescent="0.25">
      <c r="B96" s="132" t="s">
        <v>209</v>
      </c>
    </row>
    <row r="97" spans="2:2" x14ac:dyDescent="0.2">
      <c r="B97" s="131" t="s">
        <v>205</v>
      </c>
    </row>
  </sheetData>
  <mergeCells count="3">
    <mergeCell ref="B5:C5"/>
    <mergeCell ref="B39:C39"/>
    <mergeCell ref="B68:C68"/>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0" tint="-0.14999847407452621"/>
  </sheetPr>
  <dimension ref="B1:AF305"/>
  <sheetViews>
    <sheetView showGridLines="0" zoomScale="90" zoomScaleNormal="90" workbookViewId="0">
      <selection activeCell="L244" sqref="L244:L245"/>
    </sheetView>
  </sheetViews>
  <sheetFormatPr defaultColWidth="8.75" defaultRowHeight="14.25" x14ac:dyDescent="0.2"/>
  <cols>
    <col min="1" max="1" width="3.625" style="3" customWidth="1"/>
    <col min="2" max="2" width="18.75" style="1" customWidth="1"/>
    <col min="3" max="3" width="22.375" style="1" bestFit="1" customWidth="1"/>
    <col min="4" max="4" width="33.875" style="1" bestFit="1" customWidth="1"/>
    <col min="5" max="5" width="40.625" style="1" customWidth="1"/>
    <col min="6" max="6" width="25" style="1" customWidth="1"/>
    <col min="7" max="7" width="16.375" style="1" customWidth="1"/>
    <col min="8" max="8" width="26.875" style="1" customWidth="1"/>
    <col min="9" max="10" width="13" style="1" customWidth="1"/>
    <col min="11" max="11" width="25.25" style="1" customWidth="1"/>
    <col min="12" max="12" width="40.5" style="1" bestFit="1" customWidth="1"/>
    <col min="13" max="13" width="26.75" style="1" customWidth="1"/>
    <col min="14" max="14" width="22.375" style="1" bestFit="1" customWidth="1"/>
    <col min="15" max="15" width="33.875" style="1" bestFit="1" customWidth="1"/>
    <col min="16" max="16" width="25.75" style="1" bestFit="1" customWidth="1"/>
    <col min="17" max="17" width="16.625" style="1" bestFit="1" customWidth="1"/>
    <col min="18" max="18" width="11" style="1" customWidth="1"/>
    <col min="19" max="19" width="12.25" style="1" bestFit="1" customWidth="1"/>
    <col min="20" max="20" width="10.125" style="1" customWidth="1"/>
    <col min="21" max="21" width="11.25" style="1" customWidth="1"/>
    <col min="22" max="22" width="28.625" style="1" customWidth="1"/>
    <col min="23" max="23" width="18" style="1" customWidth="1"/>
    <col min="24" max="24" width="11.75" style="1" customWidth="1"/>
    <col min="25" max="25" width="18.875" style="3" customWidth="1"/>
    <col min="26" max="26" width="16.625" style="3" customWidth="1"/>
    <col min="27" max="27" width="22.625" style="3" customWidth="1"/>
    <col min="28" max="28" width="21.625" style="3" customWidth="1"/>
    <col min="29" max="29" width="21.125" style="3" customWidth="1"/>
    <col min="30" max="30" width="12.5" style="3" customWidth="1"/>
    <col min="31" max="31" width="8.75" style="3" customWidth="1"/>
    <col min="32" max="16384" width="8.75" style="3"/>
  </cols>
  <sheetData>
    <row r="1" spans="2:30" ht="18.600000000000001" customHeight="1" thickBot="1" x14ac:dyDescent="0.25"/>
    <row r="2" spans="2:30" ht="18.75" thickBot="1" x14ac:dyDescent="0.3">
      <c r="B2" s="134" t="s">
        <v>210</v>
      </c>
      <c r="C2" s="2"/>
      <c r="D2" s="158" t="s">
        <v>211</v>
      </c>
      <c r="E2" s="158" t="s">
        <v>212</v>
      </c>
      <c r="F2" s="32" t="s">
        <v>213</v>
      </c>
      <c r="H2" s="32" t="s">
        <v>214</v>
      </c>
      <c r="K2" s="32" t="s">
        <v>215</v>
      </c>
      <c r="L2" s="32" t="s">
        <v>128</v>
      </c>
      <c r="M2" s="329"/>
      <c r="N2" s="32" t="s">
        <v>216</v>
      </c>
      <c r="P2" s="42" t="s">
        <v>217</v>
      </c>
      <c r="R2" s="42" t="s">
        <v>218</v>
      </c>
    </row>
    <row r="3" spans="2:30" ht="18.75" thickBot="1" x14ac:dyDescent="0.25">
      <c r="B3" s="135" t="s">
        <v>18</v>
      </c>
      <c r="C3" s="26"/>
      <c r="D3" s="137" t="s">
        <v>219</v>
      </c>
      <c r="E3" s="137" t="s">
        <v>219</v>
      </c>
      <c r="F3" s="39" t="s">
        <v>220</v>
      </c>
      <c r="H3" s="39" t="s">
        <v>221</v>
      </c>
      <c r="K3" s="327" t="s">
        <v>153</v>
      </c>
      <c r="L3" s="327">
        <v>0.76</v>
      </c>
      <c r="M3"/>
      <c r="N3" s="39" t="s">
        <v>222</v>
      </c>
      <c r="P3" s="41">
        <v>1</v>
      </c>
      <c r="R3" s="41">
        <v>2</v>
      </c>
      <c r="Y3" s="158" t="s">
        <v>153</v>
      </c>
      <c r="Z3" s="158"/>
      <c r="AA3" s="158"/>
      <c r="AB3" s="158" t="s">
        <v>223</v>
      </c>
      <c r="AC3" s="400"/>
      <c r="AD3" s="400"/>
    </row>
    <row r="4" spans="2:30" ht="15" thickBot="1" x14ac:dyDescent="0.25">
      <c r="B4" s="30" t="s">
        <v>20</v>
      </c>
      <c r="C4" s="26"/>
      <c r="D4" s="34" t="s">
        <v>224</v>
      </c>
      <c r="E4" s="34" t="s">
        <v>224</v>
      </c>
      <c r="F4" s="31" t="s">
        <v>140</v>
      </c>
      <c r="H4" s="31" t="s">
        <v>225</v>
      </c>
      <c r="K4" s="159" t="s">
        <v>226</v>
      </c>
      <c r="L4" s="159">
        <v>0.76</v>
      </c>
      <c r="N4" s="38" t="s">
        <v>139</v>
      </c>
      <c r="P4" s="35">
        <v>1.5</v>
      </c>
      <c r="R4" s="35">
        <v>4</v>
      </c>
      <c r="Y4" s="137" t="s">
        <v>219</v>
      </c>
      <c r="Z4" s="137"/>
      <c r="AA4" s="137"/>
      <c r="AB4" s="137" t="s">
        <v>219</v>
      </c>
      <c r="AC4" s="401"/>
      <c r="AD4" s="401"/>
    </row>
    <row r="5" spans="2:30" ht="15" thickBot="1" x14ac:dyDescent="0.25">
      <c r="B5" s="30" t="s">
        <v>10</v>
      </c>
      <c r="C5" s="26"/>
      <c r="D5" s="34" t="s">
        <v>227</v>
      </c>
      <c r="E5" s="34" t="s">
        <v>228</v>
      </c>
      <c r="F5" s="38" t="s">
        <v>229</v>
      </c>
      <c r="H5" s="38" t="s">
        <v>138</v>
      </c>
      <c r="K5" s="159" t="s">
        <v>137</v>
      </c>
      <c r="L5" s="159">
        <v>0.79</v>
      </c>
      <c r="P5" s="35">
        <v>2</v>
      </c>
      <c r="R5" s="35">
        <v>6</v>
      </c>
      <c r="Y5" s="34" t="s">
        <v>224</v>
      </c>
      <c r="Z5" s="34"/>
      <c r="AA5" s="34"/>
      <c r="AB5" s="34" t="s">
        <v>224</v>
      </c>
      <c r="AC5" s="401"/>
      <c r="AD5" s="401"/>
    </row>
    <row r="6" spans="2:30" ht="15" thickBot="1" x14ac:dyDescent="0.25">
      <c r="B6" s="33" t="s">
        <v>8</v>
      </c>
      <c r="C6" s="26"/>
      <c r="D6" s="34" t="s">
        <v>228</v>
      </c>
      <c r="E6" s="34" t="s">
        <v>230</v>
      </c>
      <c r="K6" s="159" t="s">
        <v>231</v>
      </c>
      <c r="L6" s="159">
        <v>0.79</v>
      </c>
      <c r="P6" s="35">
        <v>3</v>
      </c>
      <c r="R6" s="36">
        <v>8</v>
      </c>
      <c r="Y6" s="34" t="s">
        <v>227</v>
      </c>
      <c r="Z6" s="34"/>
      <c r="AA6" s="34"/>
      <c r="AB6" s="34" t="s">
        <v>228</v>
      </c>
      <c r="AC6" s="401"/>
      <c r="AD6" s="401"/>
    </row>
    <row r="7" spans="2:30" ht="15" thickBot="1" x14ac:dyDescent="0.25">
      <c r="B7" s="30" t="s">
        <v>6</v>
      </c>
      <c r="C7" s="26"/>
      <c r="D7" s="34" t="s">
        <v>230</v>
      </c>
      <c r="E7" s="35" t="s">
        <v>232</v>
      </c>
      <c r="K7" s="328" t="s">
        <v>150</v>
      </c>
      <c r="L7" s="328">
        <v>0.79</v>
      </c>
      <c r="P7" s="35">
        <v>5</v>
      </c>
      <c r="Y7" s="34" t="s">
        <v>228</v>
      </c>
      <c r="Z7" s="34"/>
      <c r="AA7" s="34"/>
      <c r="AB7" s="34" t="s">
        <v>230</v>
      </c>
      <c r="AC7" s="401"/>
      <c r="AD7" s="401"/>
    </row>
    <row r="8" spans="2:30" x14ac:dyDescent="0.2">
      <c r="B8" s="31" t="s">
        <v>16</v>
      </c>
      <c r="C8" s="2"/>
      <c r="D8" s="35" t="s">
        <v>232</v>
      </c>
      <c r="E8" s="35" t="s">
        <v>233</v>
      </c>
      <c r="P8" s="35">
        <v>7.5</v>
      </c>
      <c r="Y8" s="34" t="s">
        <v>230</v>
      </c>
      <c r="Z8" s="35"/>
      <c r="AA8" s="35"/>
      <c r="AB8" s="35" t="s">
        <v>232</v>
      </c>
      <c r="AC8" s="43"/>
      <c r="AD8" s="43"/>
    </row>
    <row r="9" spans="2:30" x14ac:dyDescent="0.2">
      <c r="B9" s="31" t="s">
        <v>4</v>
      </c>
      <c r="D9" s="35" t="s">
        <v>234</v>
      </c>
      <c r="E9" s="34" t="s">
        <v>111</v>
      </c>
      <c r="P9" s="35">
        <v>10</v>
      </c>
      <c r="Y9" s="35" t="s">
        <v>232</v>
      </c>
      <c r="Z9" s="35"/>
      <c r="AA9" s="35"/>
      <c r="AB9" s="35" t="s">
        <v>233</v>
      </c>
      <c r="AC9" s="43"/>
      <c r="AD9" s="43"/>
    </row>
    <row r="10" spans="2:30" x14ac:dyDescent="0.2">
      <c r="B10" s="30" t="s">
        <v>14</v>
      </c>
      <c r="D10" s="35" t="s">
        <v>233</v>
      </c>
      <c r="E10" s="35" t="s">
        <v>233</v>
      </c>
      <c r="P10" s="35">
        <v>15</v>
      </c>
      <c r="Y10" s="35" t="s">
        <v>234</v>
      </c>
      <c r="Z10" s="34"/>
      <c r="AA10" s="34"/>
      <c r="AB10" s="34" t="s">
        <v>111</v>
      </c>
      <c r="AC10" s="401"/>
      <c r="AD10" s="401"/>
    </row>
    <row r="11" spans="2:30" ht="15" thickBot="1" x14ac:dyDescent="0.25">
      <c r="B11" s="136" t="s">
        <v>12</v>
      </c>
      <c r="C11" s="26"/>
      <c r="D11" s="159" t="s">
        <v>235</v>
      </c>
      <c r="E11" s="34" t="s">
        <v>236</v>
      </c>
      <c r="P11" s="35">
        <v>20</v>
      </c>
      <c r="Y11" s="35" t="s">
        <v>233</v>
      </c>
      <c r="Z11" s="35"/>
      <c r="AA11" s="35"/>
      <c r="AB11" s="35" t="s">
        <v>233</v>
      </c>
      <c r="AC11" s="43"/>
      <c r="AD11" s="43"/>
    </row>
    <row r="12" spans="2:30" x14ac:dyDescent="0.2">
      <c r="B12" s="26"/>
      <c r="C12" s="26"/>
      <c r="D12" s="34" t="s">
        <v>111</v>
      </c>
      <c r="E12" s="34"/>
      <c r="P12" s="35">
        <v>25</v>
      </c>
      <c r="Y12" s="159" t="s">
        <v>235</v>
      </c>
      <c r="Z12" s="34"/>
      <c r="AA12" s="34"/>
      <c r="AB12" s="34" t="s">
        <v>236</v>
      </c>
      <c r="AC12" s="401"/>
      <c r="AD12" s="401"/>
    </row>
    <row r="13" spans="2:30" x14ac:dyDescent="0.2">
      <c r="B13" s="26"/>
      <c r="C13" s="26"/>
      <c r="D13" s="34" t="s">
        <v>237</v>
      </c>
      <c r="E13" s="34"/>
      <c r="P13" s="35">
        <v>30</v>
      </c>
      <c r="Y13" s="34" t="s">
        <v>111</v>
      </c>
    </row>
    <row r="14" spans="2:30" x14ac:dyDescent="0.2">
      <c r="B14" s="26"/>
      <c r="C14" s="26"/>
      <c r="D14" s="34" t="s">
        <v>236</v>
      </c>
      <c r="E14" s="34"/>
      <c r="P14" s="35">
        <v>40</v>
      </c>
      <c r="Y14" s="34" t="s">
        <v>237</v>
      </c>
    </row>
    <row r="15" spans="2:30" x14ac:dyDescent="0.2">
      <c r="C15" s="2"/>
      <c r="D15" s="34" t="s">
        <v>238</v>
      </c>
      <c r="E15" s="34"/>
      <c r="P15" s="35">
        <v>50</v>
      </c>
      <c r="Y15" s="34" t="s">
        <v>236</v>
      </c>
    </row>
    <row r="16" spans="2:30" ht="15" thickBot="1" x14ac:dyDescent="0.25">
      <c r="D16" s="36" t="s">
        <v>239</v>
      </c>
      <c r="E16" s="36"/>
      <c r="P16" s="35">
        <v>60</v>
      </c>
      <c r="Q16" s="3"/>
      <c r="Y16" s="34" t="s">
        <v>238</v>
      </c>
    </row>
    <row r="17" spans="2:25" ht="18.75" thickBot="1" x14ac:dyDescent="0.3">
      <c r="B17" s="4"/>
      <c r="D17" s="43"/>
      <c r="E17" s="4"/>
      <c r="P17" s="35">
        <v>75</v>
      </c>
      <c r="Y17" s="36" t="s">
        <v>239</v>
      </c>
    </row>
    <row r="18" spans="2:25" s="6" customFormat="1" ht="15" x14ac:dyDescent="0.25">
      <c r="B18" s="27"/>
      <c r="C18" s="28"/>
      <c r="D18" s="43" t="s">
        <v>240</v>
      </c>
      <c r="E18" s="27"/>
      <c r="F18" s="28"/>
      <c r="G18" s="28"/>
      <c r="H18" s="1"/>
      <c r="I18" s="1"/>
      <c r="J18" s="1"/>
      <c r="K18" s="1"/>
      <c r="L18" s="1"/>
      <c r="M18" s="1"/>
      <c r="N18" s="1"/>
      <c r="O18" s="1"/>
      <c r="P18" s="35">
        <v>100</v>
      </c>
      <c r="Q18" s="1"/>
      <c r="R18" s="1"/>
      <c r="S18" s="1"/>
      <c r="T18" s="1"/>
      <c r="U18" s="3"/>
      <c r="V18" s="3"/>
      <c r="W18" s="3"/>
      <c r="X18" s="3"/>
      <c r="Y18" s="3"/>
    </row>
    <row r="19" spans="2:25" ht="18.75" thickBot="1" x14ac:dyDescent="0.3">
      <c r="B19" s="26"/>
      <c r="C19" s="29"/>
      <c r="D19" s="287" t="s">
        <v>241</v>
      </c>
      <c r="E19" s="288">
        <f>_xlfn.XLOOKUP(CR_Utility,'Utility Admin'!$B$7:$B$9,'Utility Admin'!$C$7:$C$9)</f>
        <v>0.1</v>
      </c>
      <c r="G19" s="29"/>
      <c r="P19" s="35">
        <v>125</v>
      </c>
      <c r="U19" s="3"/>
      <c r="V19" s="3"/>
      <c r="W19" s="3"/>
      <c r="X19" s="3"/>
    </row>
    <row r="20" spans="2:25" ht="18.75" thickBot="1" x14ac:dyDescent="0.3">
      <c r="B20" s="26"/>
      <c r="C20" s="29"/>
      <c r="D20" s="287" t="s">
        <v>242</v>
      </c>
      <c r="E20" s="289">
        <f>_xlfn.XLOOKUP(CR_Utility,'Utility Admin'!$B$7:$B$9,'Utility Admin'!$D$7:$D$9)</f>
        <v>0</v>
      </c>
      <c r="F20" s="29"/>
      <c r="G20" s="29"/>
      <c r="P20" s="35">
        <v>150</v>
      </c>
      <c r="U20" s="3"/>
      <c r="V20" s="3"/>
      <c r="W20" s="3"/>
      <c r="X20" s="3"/>
      <c r="Y20" s="158"/>
    </row>
    <row r="21" spans="2:25" x14ac:dyDescent="0.2">
      <c r="B21" s="26"/>
      <c r="C21" s="29"/>
      <c r="D21" s="43"/>
      <c r="E21" s="26"/>
      <c r="F21" s="29"/>
      <c r="G21" s="29"/>
      <c r="P21" s="35">
        <v>200</v>
      </c>
      <c r="U21" s="3"/>
      <c r="V21" s="3"/>
      <c r="W21" s="3"/>
      <c r="X21" s="3"/>
      <c r="Y21" s="137"/>
    </row>
    <row r="22" spans="2:25" x14ac:dyDescent="0.2">
      <c r="B22" s="26"/>
      <c r="C22" s="29"/>
      <c r="D22" s="43"/>
      <c r="E22" s="26"/>
      <c r="F22" s="29"/>
      <c r="G22" s="29"/>
      <c r="P22" s="35">
        <v>250</v>
      </c>
      <c r="U22" s="3"/>
      <c r="V22" s="3"/>
      <c r="W22" s="3"/>
      <c r="X22" s="3"/>
      <c r="Y22" s="34"/>
    </row>
    <row r="23" spans="2:25" x14ac:dyDescent="0.2">
      <c r="B23" s="26"/>
      <c r="C23" s="29"/>
      <c r="D23" s="43"/>
      <c r="E23" s="26"/>
      <c r="F23" s="29"/>
      <c r="G23" s="29"/>
      <c r="P23" s="35">
        <v>300</v>
      </c>
      <c r="U23" s="3"/>
      <c r="V23" s="3"/>
      <c r="W23" s="3"/>
      <c r="X23" s="3"/>
      <c r="Y23" s="34"/>
    </row>
    <row r="24" spans="2:25" x14ac:dyDescent="0.2">
      <c r="B24" s="26"/>
      <c r="C24" s="29"/>
      <c r="E24" s="26"/>
      <c r="F24" s="29"/>
      <c r="G24" s="29"/>
      <c r="P24" s="35">
        <v>350</v>
      </c>
      <c r="U24" s="3"/>
      <c r="V24" s="3"/>
      <c r="W24" s="3"/>
      <c r="X24" s="3"/>
      <c r="Y24" s="34"/>
    </row>
    <row r="25" spans="2:25" x14ac:dyDescent="0.2">
      <c r="B25" s="26"/>
      <c r="C25" s="29"/>
      <c r="E25" s="26"/>
      <c r="F25" s="29"/>
      <c r="G25" s="29"/>
      <c r="P25" s="35">
        <v>400</v>
      </c>
      <c r="U25" s="3"/>
      <c r="V25" s="3"/>
      <c r="W25" s="3"/>
      <c r="X25" s="3"/>
      <c r="Y25" s="35"/>
    </row>
    <row r="26" spans="2:25" x14ac:dyDescent="0.2">
      <c r="P26" s="35">
        <v>450</v>
      </c>
      <c r="U26" s="3"/>
      <c r="V26" s="3"/>
      <c r="W26" s="3"/>
      <c r="X26" s="3"/>
      <c r="Y26" s="35"/>
    </row>
    <row r="27" spans="2:25" ht="15" thickBot="1" x14ac:dyDescent="0.25">
      <c r="P27" s="36">
        <v>500</v>
      </c>
      <c r="U27" s="3"/>
      <c r="V27" s="3"/>
      <c r="W27" s="3"/>
      <c r="X27" s="3"/>
      <c r="Y27" s="34"/>
    </row>
    <row r="28" spans="2:25" ht="14.85" customHeight="1" x14ac:dyDescent="0.2">
      <c r="S28" s="3"/>
      <c r="T28" s="3"/>
      <c r="U28" s="3"/>
      <c r="V28" s="3"/>
      <c r="W28" s="3"/>
      <c r="X28" s="3"/>
      <c r="Y28" s="35"/>
    </row>
    <row r="29" spans="2:25" ht="14.85" customHeight="1" thickBot="1" x14ac:dyDescent="0.25">
      <c r="R29" s="3"/>
      <c r="S29" s="3"/>
      <c r="T29" s="3"/>
      <c r="U29" s="3"/>
      <c r="V29" s="3"/>
      <c r="W29" s="3"/>
      <c r="X29" s="3"/>
      <c r="Y29" s="34"/>
    </row>
    <row r="30" spans="2:25" ht="18.75" thickBot="1" x14ac:dyDescent="0.25">
      <c r="B30" s="698" t="s">
        <v>243</v>
      </c>
      <c r="C30" s="699"/>
      <c r="D30" s="699"/>
      <c r="E30" s="699"/>
      <c r="F30" s="699"/>
      <c r="G30" s="699"/>
      <c r="H30" s="699"/>
      <c r="I30" s="699"/>
      <c r="J30" s="699"/>
      <c r="K30" s="699"/>
      <c r="L30" s="699"/>
      <c r="M30" s="699"/>
      <c r="N30" s="699"/>
      <c r="O30" s="699"/>
      <c r="P30" s="699"/>
      <c r="Q30" s="699"/>
      <c r="R30" s="699"/>
      <c r="S30" s="699"/>
      <c r="T30" s="699"/>
      <c r="U30" s="699"/>
      <c r="V30" s="700"/>
      <c r="W30" s="3"/>
      <c r="X30" s="3"/>
    </row>
    <row r="31" spans="2:25" ht="14.85" customHeight="1" thickBot="1" x14ac:dyDescent="0.25">
      <c r="B31" s="60" t="s">
        <v>125</v>
      </c>
      <c r="C31" s="61" t="s">
        <v>244</v>
      </c>
      <c r="D31" s="62" t="s">
        <v>245</v>
      </c>
      <c r="E31" s="63" t="s">
        <v>246</v>
      </c>
      <c r="F31" s="61" t="s">
        <v>222</v>
      </c>
      <c r="G31" s="61" t="s">
        <v>134</v>
      </c>
      <c r="H31" s="62" t="s">
        <v>247</v>
      </c>
      <c r="I31" s="62" t="s">
        <v>248</v>
      </c>
      <c r="J31" s="62"/>
      <c r="K31" s="62" t="s">
        <v>249</v>
      </c>
      <c r="L31" s="62" t="s">
        <v>250</v>
      </c>
      <c r="M31" s="62" t="s">
        <v>251</v>
      </c>
      <c r="N31" s="62" t="s">
        <v>252</v>
      </c>
      <c r="O31" s="62" t="s">
        <v>253</v>
      </c>
      <c r="P31" s="62" t="s">
        <v>254</v>
      </c>
      <c r="Q31" s="62" t="s">
        <v>255</v>
      </c>
      <c r="R31" s="62" t="s">
        <v>256</v>
      </c>
      <c r="S31" s="62" t="s">
        <v>257</v>
      </c>
      <c r="T31" s="62" t="s">
        <v>258</v>
      </c>
      <c r="U31" s="62" t="s">
        <v>259</v>
      </c>
      <c r="V31" s="64" t="s">
        <v>130</v>
      </c>
    </row>
    <row r="32" spans="2:25" ht="14.85" customHeight="1" x14ac:dyDescent="0.2">
      <c r="B32" s="56">
        <v>1</v>
      </c>
      <c r="C32" s="57" t="str">
        <f>IF('Premium Eff Motor'!L10='Lookup Table'!$F$4,"No", "Yes")</f>
        <v>Yes</v>
      </c>
      <c r="D32" s="58">
        <f>'Premium Eff Motor'!I10</f>
        <v>0</v>
      </c>
      <c r="E32" s="58">
        <f>'Premium Eff Motor'!J10</f>
        <v>0</v>
      </c>
      <c r="F32" s="58">
        <f>'Premium Eff Motor'!K10</f>
        <v>0</v>
      </c>
      <c r="G32" s="58">
        <f>'Premium Eff Motor'!M10</f>
        <v>0</v>
      </c>
      <c r="H32" s="58">
        <f>IF(D32="Type C",10,9)</f>
        <v>9</v>
      </c>
      <c r="I32" s="58" t="e">
        <f t="shared" ref="I32:I41" si="0">IF($H32=9,VLOOKUP($G32,$B$43:$K$70,2,FALSE),0)</f>
        <v>#N/A</v>
      </c>
      <c r="J32" s="58"/>
      <c r="K32" s="58" t="e">
        <f t="shared" ref="K32:K41" si="1">IF($H32=9,VLOOKUP($G32,$B$43:$K$70,3,FALSE),0)</f>
        <v>#N/A</v>
      </c>
      <c r="L32" s="58" t="e">
        <f t="shared" ref="L32:L41" si="2">IF($H32=9,VLOOKUP($G32,$B$43:$K$70,4,FALSE),VLOOKUP($G32,$M$43:$S$64,2,FALSE))</f>
        <v>#N/A</v>
      </c>
      <c r="M32" s="58" t="e">
        <f t="shared" ref="M32:M41" si="3">IF($H32=9,VLOOKUP($G32,$B$43:$K$70,5,FALSE),VLOOKUP($G32,$M$43:$S$64,3,FALSE))</f>
        <v>#N/A</v>
      </c>
      <c r="N32" s="58" t="e">
        <f t="shared" ref="N32:N41" si="4">IF($H32=9,VLOOKUP($G32,$B$43:$K$70,6,FALSE),VLOOKUP($G32,$M$43:$S$64,4,FALSE))</f>
        <v>#N/A</v>
      </c>
      <c r="O32" s="58" t="e">
        <f t="shared" ref="O32:O41" si="5">IF($H32=9,VLOOKUP($G32,$B$43:$K$70,7,FALSE),VLOOKUP($G32,$M$43:$S$64,5,FALSE))</f>
        <v>#N/A</v>
      </c>
      <c r="P32" s="58" t="e">
        <f t="shared" ref="P32:P41" si="6">IF($H32=9,VLOOKUP($G32,$B$43:$K$70,8,FALSE),VLOOKUP($G32,$M$43:$S$64,6,FALSE))</f>
        <v>#N/A</v>
      </c>
      <c r="Q32" s="58" t="e">
        <f t="shared" ref="Q32:Q41" si="7">IF($H32=9,VLOOKUP($G32,$B$43:$K$70,9,FALSE),VLOOKUP($G32,$M$43:$S$64,7,FALSE))</f>
        <v>#N/A</v>
      </c>
      <c r="R32" s="58" t="e">
        <f t="shared" ref="R32:R41" si="8">IF($F32="Open",$K32,$I32)</f>
        <v>#N/A</v>
      </c>
      <c r="S32" s="58" t="e">
        <f t="shared" ref="S32:S41" si="9">IF($F32="Open",$M32,$L32)</f>
        <v>#N/A</v>
      </c>
      <c r="T32" s="58" t="e">
        <f t="shared" ref="T32:T41" si="10">IF($F32="Open",$O32,$N32)</f>
        <v>#N/A</v>
      </c>
      <c r="U32" s="58" t="e">
        <f t="shared" ref="U32:U41" si="11">IF($F32="Open",$Q32,$P32)</f>
        <v>#N/A</v>
      </c>
      <c r="V32" s="59">
        <f t="shared" ref="V32:V41" si="12">IF(E32=2,R32,IF(E32=4,S32,IF(E32=6,T32,IF(E32=8,U32,0))))</f>
        <v>0</v>
      </c>
    </row>
    <row r="33" spans="2:31" ht="14.85" customHeight="1" x14ac:dyDescent="0.2">
      <c r="B33" s="47">
        <v>2</v>
      </c>
      <c r="C33" s="11" t="str">
        <f>IF('Premium Eff Motor'!L11='Lookup Table'!$F$4,"No", "Yes")</f>
        <v>Yes</v>
      </c>
      <c r="D33" s="46">
        <f>'Premium Eff Motor'!I11</f>
        <v>0</v>
      </c>
      <c r="E33" s="46">
        <f>'Premium Eff Motor'!J11</f>
        <v>0</v>
      </c>
      <c r="F33" s="46">
        <f>'Premium Eff Motor'!K11</f>
        <v>0</v>
      </c>
      <c r="G33" s="46">
        <f>'Premium Eff Motor'!M11</f>
        <v>0</v>
      </c>
      <c r="H33" s="46">
        <f t="shared" ref="H33:H41" si="13">IF(D33="Type C",10,9)</f>
        <v>9</v>
      </c>
      <c r="I33" s="46" t="e">
        <f t="shared" si="0"/>
        <v>#N/A</v>
      </c>
      <c r="J33" s="46"/>
      <c r="K33" s="46" t="e">
        <f t="shared" si="1"/>
        <v>#N/A</v>
      </c>
      <c r="L33" s="46" t="e">
        <f t="shared" si="2"/>
        <v>#N/A</v>
      </c>
      <c r="M33" s="46" t="e">
        <f t="shared" si="3"/>
        <v>#N/A</v>
      </c>
      <c r="N33" s="46" t="e">
        <f t="shared" si="4"/>
        <v>#N/A</v>
      </c>
      <c r="O33" s="46" t="e">
        <f t="shared" si="5"/>
        <v>#N/A</v>
      </c>
      <c r="P33" s="46" t="e">
        <f t="shared" si="6"/>
        <v>#N/A</v>
      </c>
      <c r="Q33" s="46" t="e">
        <f t="shared" si="7"/>
        <v>#N/A</v>
      </c>
      <c r="R33" s="46" t="e">
        <f t="shared" si="8"/>
        <v>#N/A</v>
      </c>
      <c r="S33" s="46" t="e">
        <f t="shared" si="9"/>
        <v>#N/A</v>
      </c>
      <c r="T33" s="46" t="e">
        <f t="shared" si="10"/>
        <v>#N/A</v>
      </c>
      <c r="U33" s="46" t="e">
        <f t="shared" si="11"/>
        <v>#N/A</v>
      </c>
      <c r="V33" s="48">
        <f t="shared" si="12"/>
        <v>0</v>
      </c>
    </row>
    <row r="34" spans="2:31" s="6" customFormat="1" ht="14.85" customHeight="1" x14ac:dyDescent="0.25">
      <c r="B34" s="47">
        <v>3</v>
      </c>
      <c r="C34" s="11" t="str">
        <f>IF('Premium Eff Motor'!L12='Lookup Table'!$F$4,"No", "Yes")</f>
        <v>Yes</v>
      </c>
      <c r="D34" s="46">
        <f>'Premium Eff Motor'!I12</f>
        <v>0</v>
      </c>
      <c r="E34" s="46">
        <f>'Premium Eff Motor'!J12</f>
        <v>0</v>
      </c>
      <c r="F34" s="46">
        <f>'Premium Eff Motor'!K12</f>
        <v>0</v>
      </c>
      <c r="G34" s="46">
        <f>'Premium Eff Motor'!M12</f>
        <v>0</v>
      </c>
      <c r="H34" s="46">
        <f t="shared" si="13"/>
        <v>9</v>
      </c>
      <c r="I34" s="46" t="e">
        <f t="shared" si="0"/>
        <v>#N/A</v>
      </c>
      <c r="J34" s="46"/>
      <c r="K34" s="46" t="e">
        <f t="shared" si="1"/>
        <v>#N/A</v>
      </c>
      <c r="L34" s="46" t="e">
        <f t="shared" si="2"/>
        <v>#N/A</v>
      </c>
      <c r="M34" s="46" t="e">
        <f t="shared" si="3"/>
        <v>#N/A</v>
      </c>
      <c r="N34" s="46" t="e">
        <f t="shared" si="4"/>
        <v>#N/A</v>
      </c>
      <c r="O34" s="46" t="e">
        <f t="shared" si="5"/>
        <v>#N/A</v>
      </c>
      <c r="P34" s="46" t="e">
        <f t="shared" si="6"/>
        <v>#N/A</v>
      </c>
      <c r="Q34" s="46" t="e">
        <f t="shared" si="7"/>
        <v>#N/A</v>
      </c>
      <c r="R34" s="46" t="e">
        <f t="shared" si="8"/>
        <v>#N/A</v>
      </c>
      <c r="S34" s="46" t="e">
        <f t="shared" si="9"/>
        <v>#N/A</v>
      </c>
      <c r="T34" s="46" t="e">
        <f t="shared" si="10"/>
        <v>#N/A</v>
      </c>
      <c r="U34" s="46" t="e">
        <f t="shared" si="11"/>
        <v>#N/A</v>
      </c>
      <c r="V34" s="48">
        <f t="shared" si="12"/>
        <v>0</v>
      </c>
      <c r="W34" s="1"/>
      <c r="X34" s="1"/>
      <c r="Y34" s="3"/>
      <c r="Z34" s="3"/>
      <c r="AA34" s="3"/>
      <c r="AB34" s="3"/>
      <c r="AC34" s="3"/>
      <c r="AD34" s="3"/>
      <c r="AE34" s="3"/>
    </row>
    <row r="35" spans="2:31" ht="14.85" customHeight="1" x14ac:dyDescent="0.2">
      <c r="B35" s="49">
        <v>4</v>
      </c>
      <c r="C35" s="11" t="str">
        <f>IF('Premium Eff Motor'!L13='Lookup Table'!$F$4,"No", "Yes")</f>
        <v>Yes</v>
      </c>
      <c r="D35" s="46">
        <f>'Premium Eff Motor'!I13</f>
        <v>0</v>
      </c>
      <c r="E35" s="46">
        <f>'Premium Eff Motor'!J13</f>
        <v>0</v>
      </c>
      <c r="F35" s="46">
        <f>'Premium Eff Motor'!K13</f>
        <v>0</v>
      </c>
      <c r="G35" s="46">
        <f>'Premium Eff Motor'!M13</f>
        <v>0</v>
      </c>
      <c r="H35" s="46">
        <f t="shared" si="13"/>
        <v>9</v>
      </c>
      <c r="I35" s="46" t="e">
        <f t="shared" si="0"/>
        <v>#N/A</v>
      </c>
      <c r="J35" s="46"/>
      <c r="K35" s="46" t="e">
        <f t="shared" si="1"/>
        <v>#N/A</v>
      </c>
      <c r="L35" s="46" t="e">
        <f t="shared" si="2"/>
        <v>#N/A</v>
      </c>
      <c r="M35" s="46" t="e">
        <f t="shared" si="3"/>
        <v>#N/A</v>
      </c>
      <c r="N35" s="46" t="e">
        <f t="shared" si="4"/>
        <v>#N/A</v>
      </c>
      <c r="O35" s="46" t="e">
        <f t="shared" si="5"/>
        <v>#N/A</v>
      </c>
      <c r="P35" s="46" t="e">
        <f t="shared" si="6"/>
        <v>#N/A</v>
      </c>
      <c r="Q35" s="46" t="e">
        <f t="shared" si="7"/>
        <v>#N/A</v>
      </c>
      <c r="R35" s="46" t="e">
        <f t="shared" si="8"/>
        <v>#N/A</v>
      </c>
      <c r="S35" s="46" t="e">
        <f t="shared" si="9"/>
        <v>#N/A</v>
      </c>
      <c r="T35" s="46" t="e">
        <f t="shared" si="10"/>
        <v>#N/A</v>
      </c>
      <c r="U35" s="46" t="e">
        <f t="shared" si="11"/>
        <v>#N/A</v>
      </c>
      <c r="V35" s="48">
        <f t="shared" si="12"/>
        <v>0</v>
      </c>
    </row>
    <row r="36" spans="2:31" ht="14.85" customHeight="1" x14ac:dyDescent="0.2">
      <c r="B36" s="49">
        <v>5</v>
      </c>
      <c r="C36" s="11" t="str">
        <f>IF('Premium Eff Motor'!L14='Lookup Table'!$F$4,"No", "Yes")</f>
        <v>Yes</v>
      </c>
      <c r="D36" s="46">
        <f>'Premium Eff Motor'!I14</f>
        <v>0</v>
      </c>
      <c r="E36" s="46">
        <f>'Premium Eff Motor'!J14</f>
        <v>0</v>
      </c>
      <c r="F36" s="46">
        <f>'Premium Eff Motor'!K14</f>
        <v>0</v>
      </c>
      <c r="G36" s="46">
        <f>'Premium Eff Motor'!M14</f>
        <v>0</v>
      </c>
      <c r="H36" s="46">
        <f t="shared" si="13"/>
        <v>9</v>
      </c>
      <c r="I36" s="46" t="e">
        <f t="shared" si="0"/>
        <v>#N/A</v>
      </c>
      <c r="J36" s="46"/>
      <c r="K36" s="46" t="e">
        <f t="shared" si="1"/>
        <v>#N/A</v>
      </c>
      <c r="L36" s="46" t="e">
        <f t="shared" si="2"/>
        <v>#N/A</v>
      </c>
      <c r="M36" s="46" t="e">
        <f t="shared" si="3"/>
        <v>#N/A</v>
      </c>
      <c r="N36" s="46" t="e">
        <f t="shared" si="4"/>
        <v>#N/A</v>
      </c>
      <c r="O36" s="46" t="e">
        <f t="shared" si="5"/>
        <v>#N/A</v>
      </c>
      <c r="P36" s="46" t="e">
        <f t="shared" si="6"/>
        <v>#N/A</v>
      </c>
      <c r="Q36" s="46" t="e">
        <f t="shared" si="7"/>
        <v>#N/A</v>
      </c>
      <c r="R36" s="46" t="e">
        <f t="shared" si="8"/>
        <v>#N/A</v>
      </c>
      <c r="S36" s="46" t="e">
        <f t="shared" si="9"/>
        <v>#N/A</v>
      </c>
      <c r="T36" s="46" t="e">
        <f t="shared" si="10"/>
        <v>#N/A</v>
      </c>
      <c r="U36" s="46" t="e">
        <f t="shared" si="11"/>
        <v>#N/A</v>
      </c>
      <c r="V36" s="48">
        <f t="shared" si="12"/>
        <v>0</v>
      </c>
    </row>
    <row r="37" spans="2:31" ht="14.85" customHeight="1" x14ac:dyDescent="0.2">
      <c r="B37" s="50">
        <v>6</v>
      </c>
      <c r="C37" s="11" t="str">
        <f>IF('Premium Eff Motor'!L15='Lookup Table'!$F$4,"No", "Yes")</f>
        <v>Yes</v>
      </c>
      <c r="D37" s="46">
        <f>'Premium Eff Motor'!I15</f>
        <v>0</v>
      </c>
      <c r="E37" s="46">
        <f>'Premium Eff Motor'!J15</f>
        <v>0</v>
      </c>
      <c r="F37" s="46">
        <f>'Premium Eff Motor'!K15</f>
        <v>0</v>
      </c>
      <c r="G37" s="46">
        <f>'Premium Eff Motor'!M15</f>
        <v>0</v>
      </c>
      <c r="H37" s="46">
        <f t="shared" si="13"/>
        <v>9</v>
      </c>
      <c r="I37" s="46" t="e">
        <f t="shared" si="0"/>
        <v>#N/A</v>
      </c>
      <c r="J37" s="46"/>
      <c r="K37" s="46" t="e">
        <f t="shared" si="1"/>
        <v>#N/A</v>
      </c>
      <c r="L37" s="46" t="e">
        <f t="shared" si="2"/>
        <v>#N/A</v>
      </c>
      <c r="M37" s="46" t="e">
        <f t="shared" si="3"/>
        <v>#N/A</v>
      </c>
      <c r="N37" s="46" t="e">
        <f t="shared" si="4"/>
        <v>#N/A</v>
      </c>
      <c r="O37" s="46" t="e">
        <f t="shared" si="5"/>
        <v>#N/A</v>
      </c>
      <c r="P37" s="46" t="e">
        <f t="shared" si="6"/>
        <v>#N/A</v>
      </c>
      <c r="Q37" s="46" t="e">
        <f t="shared" si="7"/>
        <v>#N/A</v>
      </c>
      <c r="R37" s="46" t="e">
        <f t="shared" si="8"/>
        <v>#N/A</v>
      </c>
      <c r="S37" s="46" t="e">
        <f t="shared" si="9"/>
        <v>#N/A</v>
      </c>
      <c r="T37" s="46" t="e">
        <f t="shared" si="10"/>
        <v>#N/A</v>
      </c>
      <c r="U37" s="46" t="e">
        <f t="shared" si="11"/>
        <v>#N/A</v>
      </c>
      <c r="V37" s="48">
        <f t="shared" si="12"/>
        <v>0</v>
      </c>
    </row>
    <row r="38" spans="2:31" ht="14.85" customHeight="1" x14ac:dyDescent="0.2">
      <c r="B38" s="51">
        <v>7</v>
      </c>
      <c r="C38" s="11" t="str">
        <f>IF('Premium Eff Motor'!L16='Lookup Table'!$F$4,"No", "Yes")</f>
        <v>Yes</v>
      </c>
      <c r="D38" s="46">
        <f>'Premium Eff Motor'!I16</f>
        <v>0</v>
      </c>
      <c r="E38" s="46">
        <f>'Premium Eff Motor'!J16</f>
        <v>0</v>
      </c>
      <c r="F38" s="46">
        <f>'Premium Eff Motor'!K16</f>
        <v>0</v>
      </c>
      <c r="G38" s="46">
        <f>'Premium Eff Motor'!M16</f>
        <v>0</v>
      </c>
      <c r="H38" s="46">
        <f t="shared" si="13"/>
        <v>9</v>
      </c>
      <c r="I38" s="46" t="e">
        <f t="shared" si="0"/>
        <v>#N/A</v>
      </c>
      <c r="J38" s="46"/>
      <c r="K38" s="46" t="e">
        <f t="shared" si="1"/>
        <v>#N/A</v>
      </c>
      <c r="L38" s="46" t="e">
        <f t="shared" si="2"/>
        <v>#N/A</v>
      </c>
      <c r="M38" s="46" t="e">
        <f t="shared" si="3"/>
        <v>#N/A</v>
      </c>
      <c r="N38" s="46" t="e">
        <f t="shared" si="4"/>
        <v>#N/A</v>
      </c>
      <c r="O38" s="46" t="e">
        <f t="shared" si="5"/>
        <v>#N/A</v>
      </c>
      <c r="P38" s="46" t="e">
        <f t="shared" si="6"/>
        <v>#N/A</v>
      </c>
      <c r="Q38" s="46" t="e">
        <f t="shared" si="7"/>
        <v>#N/A</v>
      </c>
      <c r="R38" s="46" t="e">
        <f t="shared" si="8"/>
        <v>#N/A</v>
      </c>
      <c r="S38" s="46" t="e">
        <f t="shared" si="9"/>
        <v>#N/A</v>
      </c>
      <c r="T38" s="46" t="e">
        <f t="shared" si="10"/>
        <v>#N/A</v>
      </c>
      <c r="U38" s="46" t="e">
        <f t="shared" si="11"/>
        <v>#N/A</v>
      </c>
      <c r="V38" s="48">
        <f t="shared" si="12"/>
        <v>0</v>
      </c>
    </row>
    <row r="39" spans="2:31" ht="14.85" customHeight="1" x14ac:dyDescent="0.2">
      <c r="B39" s="47">
        <v>8</v>
      </c>
      <c r="C39" s="11" t="str">
        <f>IF('Premium Eff Motor'!L17='Lookup Table'!$F$4,"No", "Yes")</f>
        <v>Yes</v>
      </c>
      <c r="D39" s="46">
        <f>'Premium Eff Motor'!I17</f>
        <v>0</v>
      </c>
      <c r="E39" s="46">
        <f>'Premium Eff Motor'!J17</f>
        <v>0</v>
      </c>
      <c r="F39" s="46">
        <f>'Premium Eff Motor'!K17</f>
        <v>0</v>
      </c>
      <c r="G39" s="46">
        <f>'Premium Eff Motor'!M17</f>
        <v>0</v>
      </c>
      <c r="H39" s="46">
        <f t="shared" si="13"/>
        <v>9</v>
      </c>
      <c r="I39" s="46" t="e">
        <f t="shared" si="0"/>
        <v>#N/A</v>
      </c>
      <c r="J39" s="46"/>
      <c r="K39" s="46" t="e">
        <f t="shared" si="1"/>
        <v>#N/A</v>
      </c>
      <c r="L39" s="46" t="e">
        <f t="shared" si="2"/>
        <v>#N/A</v>
      </c>
      <c r="M39" s="46" t="e">
        <f t="shared" si="3"/>
        <v>#N/A</v>
      </c>
      <c r="N39" s="46" t="e">
        <f t="shared" si="4"/>
        <v>#N/A</v>
      </c>
      <c r="O39" s="46" t="e">
        <f t="shared" si="5"/>
        <v>#N/A</v>
      </c>
      <c r="P39" s="46" t="e">
        <f t="shared" si="6"/>
        <v>#N/A</v>
      </c>
      <c r="Q39" s="46" t="e">
        <f t="shared" si="7"/>
        <v>#N/A</v>
      </c>
      <c r="R39" s="46" t="e">
        <f t="shared" si="8"/>
        <v>#N/A</v>
      </c>
      <c r="S39" s="46" t="e">
        <f t="shared" si="9"/>
        <v>#N/A</v>
      </c>
      <c r="T39" s="46" t="e">
        <f t="shared" si="10"/>
        <v>#N/A</v>
      </c>
      <c r="U39" s="46" t="e">
        <f t="shared" si="11"/>
        <v>#N/A</v>
      </c>
      <c r="V39" s="48">
        <f t="shared" si="12"/>
        <v>0</v>
      </c>
    </row>
    <row r="40" spans="2:31" ht="14.85" customHeight="1" x14ac:dyDescent="0.2">
      <c r="B40" s="47">
        <v>9</v>
      </c>
      <c r="C40" s="11" t="str">
        <f>IF('Premium Eff Motor'!L18='Lookup Table'!$F$4,"No", "Yes")</f>
        <v>Yes</v>
      </c>
      <c r="D40" s="46">
        <f>'Premium Eff Motor'!I18</f>
        <v>0</v>
      </c>
      <c r="E40" s="46">
        <f>'Premium Eff Motor'!J18</f>
        <v>0</v>
      </c>
      <c r="F40" s="46">
        <f>'Premium Eff Motor'!K18</f>
        <v>0</v>
      </c>
      <c r="G40" s="46">
        <f>'Premium Eff Motor'!M18</f>
        <v>0</v>
      </c>
      <c r="H40" s="46">
        <f t="shared" si="13"/>
        <v>9</v>
      </c>
      <c r="I40" s="46" t="e">
        <f t="shared" si="0"/>
        <v>#N/A</v>
      </c>
      <c r="J40" s="46"/>
      <c r="K40" s="46" t="e">
        <f t="shared" si="1"/>
        <v>#N/A</v>
      </c>
      <c r="L40" s="46" t="e">
        <f t="shared" si="2"/>
        <v>#N/A</v>
      </c>
      <c r="M40" s="46" t="e">
        <f t="shared" si="3"/>
        <v>#N/A</v>
      </c>
      <c r="N40" s="46" t="e">
        <f t="shared" si="4"/>
        <v>#N/A</v>
      </c>
      <c r="O40" s="46" t="e">
        <f t="shared" si="5"/>
        <v>#N/A</v>
      </c>
      <c r="P40" s="46" t="e">
        <f t="shared" si="6"/>
        <v>#N/A</v>
      </c>
      <c r="Q40" s="46" t="e">
        <f t="shared" si="7"/>
        <v>#N/A</v>
      </c>
      <c r="R40" s="46" t="e">
        <f t="shared" si="8"/>
        <v>#N/A</v>
      </c>
      <c r="S40" s="46" t="e">
        <f t="shared" si="9"/>
        <v>#N/A</v>
      </c>
      <c r="T40" s="46" t="e">
        <f t="shared" si="10"/>
        <v>#N/A</v>
      </c>
      <c r="U40" s="46" t="e">
        <f t="shared" si="11"/>
        <v>#N/A</v>
      </c>
      <c r="V40" s="48">
        <f t="shared" si="12"/>
        <v>0</v>
      </c>
    </row>
    <row r="41" spans="2:31" ht="14.85" customHeight="1" thickBot="1" x14ac:dyDescent="0.25">
      <c r="B41" s="52">
        <v>10</v>
      </c>
      <c r="C41" s="53" t="str">
        <f>IF('Premium Eff Motor'!L19='Lookup Table'!$F$4,"No", "Yes")</f>
        <v>Yes</v>
      </c>
      <c r="D41" s="54">
        <f>'Premium Eff Motor'!I19</f>
        <v>0</v>
      </c>
      <c r="E41" s="54">
        <f>'Premium Eff Motor'!J19</f>
        <v>0</v>
      </c>
      <c r="F41" s="54">
        <f>'Premium Eff Motor'!K19</f>
        <v>0</v>
      </c>
      <c r="G41" s="54">
        <f>'Premium Eff Motor'!M19</f>
        <v>0</v>
      </c>
      <c r="H41" s="54">
        <f t="shared" si="13"/>
        <v>9</v>
      </c>
      <c r="I41" s="54" t="e">
        <f t="shared" si="0"/>
        <v>#N/A</v>
      </c>
      <c r="J41" s="54"/>
      <c r="K41" s="54" t="e">
        <f t="shared" si="1"/>
        <v>#N/A</v>
      </c>
      <c r="L41" s="54" t="e">
        <f t="shared" si="2"/>
        <v>#N/A</v>
      </c>
      <c r="M41" s="54" t="e">
        <f t="shared" si="3"/>
        <v>#N/A</v>
      </c>
      <c r="N41" s="54" t="e">
        <f t="shared" si="4"/>
        <v>#N/A</v>
      </c>
      <c r="O41" s="54" t="e">
        <f t="shared" si="5"/>
        <v>#N/A</v>
      </c>
      <c r="P41" s="54" t="e">
        <f t="shared" si="6"/>
        <v>#N/A</v>
      </c>
      <c r="Q41" s="54" t="e">
        <f t="shared" si="7"/>
        <v>#N/A</v>
      </c>
      <c r="R41" s="54" t="e">
        <f t="shared" si="8"/>
        <v>#N/A</v>
      </c>
      <c r="S41" s="54" t="e">
        <f t="shared" si="9"/>
        <v>#N/A</v>
      </c>
      <c r="T41" s="54" t="e">
        <f t="shared" si="10"/>
        <v>#N/A</v>
      </c>
      <c r="U41" s="54" t="e">
        <f t="shared" si="11"/>
        <v>#N/A</v>
      </c>
      <c r="V41" s="55">
        <f t="shared" si="12"/>
        <v>0</v>
      </c>
    </row>
    <row r="42" spans="2:31" ht="15" thickBot="1" x14ac:dyDescent="0.25">
      <c r="B42" s="26"/>
      <c r="C42" s="29"/>
      <c r="D42" s="29"/>
      <c r="E42" s="29"/>
      <c r="F42" s="29"/>
      <c r="G42" s="29"/>
      <c r="H42" s="29"/>
      <c r="I42" s="29"/>
      <c r="J42" s="29"/>
      <c r="K42" s="29"/>
      <c r="L42" s="29"/>
    </row>
    <row r="43" spans="2:31" ht="18.75" thickBot="1" x14ac:dyDescent="0.3">
      <c r="B43" s="698" t="s">
        <v>260</v>
      </c>
      <c r="C43" s="699"/>
      <c r="D43" s="699"/>
      <c r="E43" s="699"/>
      <c r="F43" s="699"/>
      <c r="G43" s="699"/>
      <c r="H43" s="699"/>
      <c r="I43" s="699"/>
      <c r="J43" s="699"/>
      <c r="K43" s="700"/>
      <c r="L43" s="29"/>
      <c r="M43" s="692" t="s">
        <v>261</v>
      </c>
      <c r="N43" s="693"/>
      <c r="O43" s="693"/>
      <c r="P43" s="693"/>
      <c r="Q43" s="693"/>
      <c r="R43" s="693"/>
      <c r="S43" s="694"/>
    </row>
    <row r="44" spans="2:31" x14ac:dyDescent="0.2">
      <c r="B44" s="65"/>
      <c r="C44" s="66" t="s">
        <v>262</v>
      </c>
      <c r="D44" s="66"/>
      <c r="E44" s="66" t="s">
        <v>263</v>
      </c>
      <c r="F44" s="66"/>
      <c r="G44" s="66" t="s">
        <v>264</v>
      </c>
      <c r="H44" s="66"/>
      <c r="I44" s="66" t="s">
        <v>265</v>
      </c>
      <c r="J44" s="391"/>
      <c r="K44" s="67"/>
      <c r="L44" s="29"/>
      <c r="M44" s="72"/>
      <c r="N44" s="73" t="s">
        <v>263</v>
      </c>
      <c r="O44" s="73"/>
      <c r="P44" s="73" t="s">
        <v>264</v>
      </c>
      <c r="Q44" s="73"/>
      <c r="R44" s="73" t="s">
        <v>265</v>
      </c>
      <c r="S44" s="74"/>
    </row>
    <row r="45" spans="2:31" ht="15" thickBot="1" x14ac:dyDescent="0.25">
      <c r="B45" s="68" t="s">
        <v>266</v>
      </c>
      <c r="C45" s="69" t="s">
        <v>267</v>
      </c>
      <c r="D45" s="69" t="s">
        <v>222</v>
      </c>
      <c r="E45" s="69" t="s">
        <v>267</v>
      </c>
      <c r="F45" s="69" t="s">
        <v>222</v>
      </c>
      <c r="G45" s="69" t="s">
        <v>267</v>
      </c>
      <c r="H45" s="69" t="s">
        <v>222</v>
      </c>
      <c r="I45" s="69" t="s">
        <v>267</v>
      </c>
      <c r="J45" s="392"/>
      <c r="K45" s="70" t="s">
        <v>222</v>
      </c>
      <c r="L45" s="29"/>
      <c r="M45" s="75" t="s">
        <v>266</v>
      </c>
      <c r="N45" s="76" t="s">
        <v>267</v>
      </c>
      <c r="O45" s="76" t="s">
        <v>222</v>
      </c>
      <c r="P45" s="76" t="s">
        <v>267</v>
      </c>
      <c r="Q45" s="76" t="s">
        <v>222</v>
      </c>
      <c r="R45" s="76" t="s">
        <v>267</v>
      </c>
      <c r="S45" s="77" t="s">
        <v>222</v>
      </c>
    </row>
    <row r="46" spans="2:31" x14ac:dyDescent="0.2">
      <c r="B46" s="78">
        <v>1</v>
      </c>
      <c r="C46" s="79">
        <v>0.77</v>
      </c>
      <c r="D46" s="79">
        <v>0.77</v>
      </c>
      <c r="E46" s="79">
        <v>0.85499999999999998</v>
      </c>
      <c r="F46" s="79">
        <v>0.85499999999999998</v>
      </c>
      <c r="G46" s="79">
        <v>0.82499999999999996</v>
      </c>
      <c r="H46" s="79">
        <v>0.82</v>
      </c>
      <c r="I46" s="79">
        <v>0.755</v>
      </c>
      <c r="J46" s="393"/>
      <c r="K46" s="80">
        <v>0.755</v>
      </c>
      <c r="L46" s="29"/>
      <c r="M46" s="88">
        <v>1</v>
      </c>
      <c r="N46" s="89">
        <v>0.85499999999999998</v>
      </c>
      <c r="O46" s="89">
        <v>0.85499999999999998</v>
      </c>
      <c r="P46" s="89">
        <v>0.82499999999999996</v>
      </c>
      <c r="Q46" s="89">
        <v>0.82499999999999996</v>
      </c>
      <c r="R46" s="90">
        <v>0.755</v>
      </c>
      <c r="S46" s="91">
        <v>0.755</v>
      </c>
    </row>
    <row r="47" spans="2:31" x14ac:dyDescent="0.2">
      <c r="B47" s="81">
        <v>1.5</v>
      </c>
      <c r="C47" s="44">
        <v>0.84</v>
      </c>
      <c r="D47" s="44">
        <v>0.84</v>
      </c>
      <c r="E47" s="44">
        <v>0.86499999999999999</v>
      </c>
      <c r="F47" s="44">
        <v>0.86499999999999999</v>
      </c>
      <c r="G47" s="44">
        <v>0.875</v>
      </c>
      <c r="H47" s="44">
        <v>0.86499999999999999</v>
      </c>
      <c r="I47" s="44">
        <v>0.78500000000000003</v>
      </c>
      <c r="J47" s="394"/>
      <c r="K47" s="82">
        <v>0.77</v>
      </c>
      <c r="L47" s="29"/>
      <c r="M47" s="83">
        <v>1.5</v>
      </c>
      <c r="N47" s="40">
        <v>0.86499999999999999</v>
      </c>
      <c r="O47" s="40">
        <v>0.86499999999999999</v>
      </c>
      <c r="P47" s="40">
        <v>0.875</v>
      </c>
      <c r="Q47" s="40">
        <v>0.86499999999999999</v>
      </c>
      <c r="R47" s="37">
        <v>0.78500000000000003</v>
      </c>
      <c r="S47" s="92">
        <v>0.77</v>
      </c>
    </row>
    <row r="48" spans="2:31" x14ac:dyDescent="0.2">
      <c r="B48" s="81">
        <v>2</v>
      </c>
      <c r="C48" s="44">
        <v>0.85499999999999998</v>
      </c>
      <c r="D48" s="44">
        <v>0.85499999999999998</v>
      </c>
      <c r="E48" s="44">
        <v>0.86499999999999999</v>
      </c>
      <c r="F48" s="44">
        <v>0.86499999999999999</v>
      </c>
      <c r="G48" s="44">
        <v>0.88500000000000001</v>
      </c>
      <c r="H48" s="44">
        <v>0.875</v>
      </c>
      <c r="I48" s="44">
        <v>0.84</v>
      </c>
      <c r="J48" s="394"/>
      <c r="K48" s="82">
        <v>0.86499999999999999</v>
      </c>
      <c r="L48" s="29"/>
      <c r="M48" s="83">
        <v>2</v>
      </c>
      <c r="N48" s="40">
        <v>0.86499999999999999</v>
      </c>
      <c r="O48" s="40">
        <v>0.86499999999999999</v>
      </c>
      <c r="P48" s="40">
        <v>0.88500000000000001</v>
      </c>
      <c r="Q48" s="40">
        <v>0.875</v>
      </c>
      <c r="R48" s="37">
        <v>0.84</v>
      </c>
      <c r="S48" s="92">
        <v>0.86499999999999999</v>
      </c>
    </row>
    <row r="49" spans="2:19" x14ac:dyDescent="0.2">
      <c r="B49" s="81">
        <v>3</v>
      </c>
      <c r="C49" s="44">
        <v>0.86499999999999999</v>
      </c>
      <c r="D49" s="44">
        <v>0.85499999999999998</v>
      </c>
      <c r="E49" s="44">
        <v>0.89500000000000002</v>
      </c>
      <c r="F49" s="44">
        <v>0.89500000000000002</v>
      </c>
      <c r="G49" s="44">
        <v>0.89500000000000002</v>
      </c>
      <c r="H49" s="44">
        <v>0.88500000000000001</v>
      </c>
      <c r="I49" s="44">
        <v>0.85499999999999998</v>
      </c>
      <c r="J49" s="394"/>
      <c r="K49" s="82">
        <v>0.875</v>
      </c>
      <c r="L49" s="29"/>
      <c r="M49" s="83">
        <v>3</v>
      </c>
      <c r="N49" s="40">
        <v>0.89500000000000002</v>
      </c>
      <c r="O49" s="40">
        <v>0.89500000000000002</v>
      </c>
      <c r="P49" s="40">
        <v>0.89500000000000002</v>
      </c>
      <c r="Q49" s="40">
        <v>0.88500000000000001</v>
      </c>
      <c r="R49" s="37">
        <v>0.85499999999999998</v>
      </c>
      <c r="S49" s="92">
        <v>0.875</v>
      </c>
    </row>
    <row r="50" spans="2:19" x14ac:dyDescent="0.2">
      <c r="B50" s="81">
        <v>5</v>
      </c>
      <c r="C50" s="44">
        <v>0.88500000000000001</v>
      </c>
      <c r="D50" s="44">
        <v>0.86499999999999999</v>
      </c>
      <c r="E50" s="44">
        <v>0.89500000000000002</v>
      </c>
      <c r="F50" s="44">
        <v>0.89500000000000002</v>
      </c>
      <c r="G50" s="44">
        <v>0.89500000000000002</v>
      </c>
      <c r="H50" s="44">
        <v>0.89500000000000002</v>
      </c>
      <c r="I50" s="44">
        <v>0.86499999999999999</v>
      </c>
      <c r="J50" s="394"/>
      <c r="K50" s="82">
        <v>0.88500000000000001</v>
      </c>
      <c r="L50" s="29"/>
      <c r="M50" s="83">
        <v>5</v>
      </c>
      <c r="N50" s="40">
        <v>0.89500000000000002</v>
      </c>
      <c r="O50" s="40">
        <v>0.89500000000000002</v>
      </c>
      <c r="P50" s="40">
        <v>0.89500000000000002</v>
      </c>
      <c r="Q50" s="40">
        <v>0.89500000000000002</v>
      </c>
      <c r="R50" s="37">
        <v>0.86499999999999999</v>
      </c>
      <c r="S50" s="92">
        <v>0.88500000000000001</v>
      </c>
    </row>
    <row r="51" spans="2:19" x14ac:dyDescent="0.2">
      <c r="B51" s="83">
        <v>7.5</v>
      </c>
      <c r="C51" s="45">
        <v>0.89500000000000002</v>
      </c>
      <c r="D51" s="45">
        <v>0.88500000000000001</v>
      </c>
      <c r="E51" s="45">
        <v>0.91700000000000004</v>
      </c>
      <c r="F51" s="45">
        <v>0.91</v>
      </c>
      <c r="G51" s="45">
        <v>0.91</v>
      </c>
      <c r="H51" s="45">
        <v>0.90200000000000002</v>
      </c>
      <c r="I51" s="45">
        <v>0.86499999999999999</v>
      </c>
      <c r="J51" s="395"/>
      <c r="K51" s="84">
        <v>0.89500000000000002</v>
      </c>
      <c r="M51" s="83">
        <v>7.5</v>
      </c>
      <c r="N51" s="40">
        <v>0.91700000000000004</v>
      </c>
      <c r="O51" s="40">
        <v>0.91</v>
      </c>
      <c r="P51" s="40">
        <v>0.91</v>
      </c>
      <c r="Q51" s="40">
        <v>0.90200000000000002</v>
      </c>
      <c r="R51" s="37">
        <v>0.86499999999999999</v>
      </c>
      <c r="S51" s="92">
        <v>0.89500000000000002</v>
      </c>
    </row>
    <row r="52" spans="2:19" x14ac:dyDescent="0.2">
      <c r="B52" s="83">
        <v>10</v>
      </c>
      <c r="C52" s="45">
        <v>0.90200000000000002</v>
      </c>
      <c r="D52" s="45">
        <v>0.89500000000000002</v>
      </c>
      <c r="E52" s="45">
        <v>0.91700000000000004</v>
      </c>
      <c r="F52" s="45">
        <v>0.91700000000000004</v>
      </c>
      <c r="G52" s="45">
        <v>0.91</v>
      </c>
      <c r="H52" s="45">
        <v>0.91700000000000004</v>
      </c>
      <c r="I52" s="45">
        <v>0.89500000000000002</v>
      </c>
      <c r="J52" s="395"/>
      <c r="K52" s="84">
        <v>0.90200000000000002</v>
      </c>
      <c r="M52" s="83">
        <v>10</v>
      </c>
      <c r="N52" s="40">
        <v>0.91700000000000004</v>
      </c>
      <c r="O52" s="40">
        <v>0.91700000000000004</v>
      </c>
      <c r="P52" s="40">
        <v>0.91</v>
      </c>
      <c r="Q52" s="40">
        <v>0.91700000000000004</v>
      </c>
      <c r="R52" s="37">
        <v>0.89500000000000002</v>
      </c>
      <c r="S52" s="92">
        <v>0.90200000000000002</v>
      </c>
    </row>
    <row r="53" spans="2:19" x14ac:dyDescent="0.2">
      <c r="B53" s="83">
        <v>15</v>
      </c>
      <c r="C53" s="45">
        <v>0.91</v>
      </c>
      <c r="D53" s="45">
        <v>0.90200000000000002</v>
      </c>
      <c r="E53" s="45">
        <v>0.92400000000000004</v>
      </c>
      <c r="F53" s="45">
        <v>0.93</v>
      </c>
      <c r="G53" s="45">
        <v>0.91700000000000004</v>
      </c>
      <c r="H53" s="45">
        <v>0.91700000000000004</v>
      </c>
      <c r="I53" s="45">
        <v>0.89500000000000002</v>
      </c>
      <c r="J53" s="395"/>
      <c r="K53" s="84">
        <v>0.90200000000000002</v>
      </c>
      <c r="M53" s="83">
        <v>15</v>
      </c>
      <c r="N53" s="40">
        <v>0.92400000000000004</v>
      </c>
      <c r="O53" s="40">
        <v>0.93</v>
      </c>
      <c r="P53" s="40">
        <v>0.91700000000000004</v>
      </c>
      <c r="Q53" s="40">
        <v>0.91700000000000004</v>
      </c>
      <c r="R53" s="37">
        <v>0.89500000000000002</v>
      </c>
      <c r="S53" s="92">
        <v>0.90200000000000002</v>
      </c>
    </row>
    <row r="54" spans="2:19" x14ac:dyDescent="0.2">
      <c r="B54" s="83">
        <v>20</v>
      </c>
      <c r="C54" s="45">
        <v>0.91</v>
      </c>
      <c r="D54" s="45">
        <v>0.91</v>
      </c>
      <c r="E54" s="45">
        <v>0.93</v>
      </c>
      <c r="F54" s="45">
        <v>0.93</v>
      </c>
      <c r="G54" s="45">
        <v>0.91700000000000004</v>
      </c>
      <c r="H54" s="45">
        <v>0.92400000000000004</v>
      </c>
      <c r="I54" s="45">
        <v>0.90200000000000002</v>
      </c>
      <c r="J54" s="395"/>
      <c r="K54" s="84">
        <v>0.91</v>
      </c>
      <c r="M54" s="83">
        <v>20</v>
      </c>
      <c r="N54" s="40">
        <v>0.93</v>
      </c>
      <c r="O54" s="40">
        <v>0.93</v>
      </c>
      <c r="P54" s="40">
        <v>0.91700000000000004</v>
      </c>
      <c r="Q54" s="40">
        <v>0.92400000000000004</v>
      </c>
      <c r="R54" s="37">
        <v>0.90200000000000002</v>
      </c>
      <c r="S54" s="92">
        <v>0.91</v>
      </c>
    </row>
    <row r="55" spans="2:19" x14ac:dyDescent="0.2">
      <c r="B55" s="83">
        <v>25</v>
      </c>
      <c r="C55" s="45">
        <v>0.91700000000000004</v>
      </c>
      <c r="D55" s="45">
        <v>0.91700000000000004</v>
      </c>
      <c r="E55" s="45">
        <v>0.93600000000000005</v>
      </c>
      <c r="F55" s="45">
        <v>0.93600000000000005</v>
      </c>
      <c r="G55" s="45">
        <v>0.93</v>
      </c>
      <c r="H55" s="45">
        <v>0.93</v>
      </c>
      <c r="I55" s="45">
        <v>0.90200000000000002</v>
      </c>
      <c r="J55" s="395"/>
      <c r="K55" s="84">
        <v>0.91</v>
      </c>
      <c r="M55" s="83">
        <v>25</v>
      </c>
      <c r="N55" s="40">
        <v>0.93600000000000005</v>
      </c>
      <c r="O55" s="40">
        <v>0.93600000000000005</v>
      </c>
      <c r="P55" s="40">
        <v>0.93</v>
      </c>
      <c r="Q55" s="40">
        <v>0.93</v>
      </c>
      <c r="R55" s="37">
        <v>0.90200000000000002</v>
      </c>
      <c r="S55" s="92">
        <v>0.91</v>
      </c>
    </row>
    <row r="56" spans="2:19" x14ac:dyDescent="0.2">
      <c r="B56" s="83">
        <v>30</v>
      </c>
      <c r="C56" s="45">
        <v>0.91700000000000004</v>
      </c>
      <c r="D56" s="45">
        <v>0.91700000000000004</v>
      </c>
      <c r="E56" s="45">
        <v>0.93600000000000005</v>
      </c>
      <c r="F56" s="45">
        <v>0.94099999999999995</v>
      </c>
      <c r="G56" s="45">
        <v>0.93</v>
      </c>
      <c r="H56" s="45">
        <v>0.93600000000000005</v>
      </c>
      <c r="I56" s="45">
        <v>0.91700000000000004</v>
      </c>
      <c r="J56" s="395"/>
      <c r="K56" s="84">
        <v>0.91700000000000004</v>
      </c>
      <c r="M56" s="83">
        <v>30</v>
      </c>
      <c r="N56" s="40">
        <v>0.93600000000000005</v>
      </c>
      <c r="O56" s="40">
        <v>0.94099999999999995</v>
      </c>
      <c r="P56" s="40">
        <v>0.93</v>
      </c>
      <c r="Q56" s="40">
        <v>0.93600000000000005</v>
      </c>
      <c r="R56" s="37">
        <v>0.91700000000000004</v>
      </c>
      <c r="S56" s="92">
        <v>0.91700000000000004</v>
      </c>
    </row>
    <row r="57" spans="2:19" x14ac:dyDescent="0.2">
      <c r="B57" s="83">
        <v>40</v>
      </c>
      <c r="C57" s="45">
        <v>0.92400000000000004</v>
      </c>
      <c r="D57" s="45">
        <v>0.92400000000000004</v>
      </c>
      <c r="E57" s="45">
        <v>0.94099999999999995</v>
      </c>
      <c r="F57" s="45">
        <v>0.94099999999999995</v>
      </c>
      <c r="G57" s="45">
        <v>0.94099999999999995</v>
      </c>
      <c r="H57" s="45">
        <v>0.94099999999999995</v>
      </c>
      <c r="I57" s="45">
        <v>0.91700000000000004</v>
      </c>
      <c r="J57" s="395"/>
      <c r="K57" s="84">
        <v>0.91700000000000004</v>
      </c>
      <c r="M57" s="83">
        <v>40</v>
      </c>
      <c r="N57" s="40">
        <v>0.94099999999999995</v>
      </c>
      <c r="O57" s="40">
        <v>0.94099999999999995</v>
      </c>
      <c r="P57" s="40">
        <v>0.94099999999999995</v>
      </c>
      <c r="Q57" s="40">
        <v>0.94099999999999995</v>
      </c>
      <c r="R57" s="37">
        <v>0.91700000000000004</v>
      </c>
      <c r="S57" s="92">
        <v>0.91700000000000004</v>
      </c>
    </row>
    <row r="58" spans="2:19" x14ac:dyDescent="0.2">
      <c r="B58" s="83">
        <v>50</v>
      </c>
      <c r="C58" s="45">
        <v>0.93</v>
      </c>
      <c r="D58" s="45">
        <v>0.93</v>
      </c>
      <c r="E58" s="45">
        <v>0.94499999999999995</v>
      </c>
      <c r="F58" s="45">
        <v>0.94499999999999995</v>
      </c>
      <c r="G58" s="45">
        <v>0.94099999999999995</v>
      </c>
      <c r="H58" s="45">
        <v>0.94099999999999995</v>
      </c>
      <c r="I58" s="45">
        <v>0.92400000000000004</v>
      </c>
      <c r="J58" s="395"/>
      <c r="K58" s="84">
        <v>0.92400000000000004</v>
      </c>
      <c r="M58" s="83">
        <v>50</v>
      </c>
      <c r="N58" s="40">
        <v>0.94499999999999995</v>
      </c>
      <c r="O58" s="40">
        <v>0.94499999999999995</v>
      </c>
      <c r="P58" s="40">
        <v>0.94099999999999995</v>
      </c>
      <c r="Q58" s="40">
        <v>0.94099999999999995</v>
      </c>
      <c r="R58" s="37">
        <v>0.92400000000000004</v>
      </c>
      <c r="S58" s="92">
        <v>0.92400000000000004</v>
      </c>
    </row>
    <row r="59" spans="2:19" x14ac:dyDescent="0.2">
      <c r="B59" s="83">
        <v>60</v>
      </c>
      <c r="C59" s="45">
        <v>0.93600000000000005</v>
      </c>
      <c r="D59" s="45">
        <v>0.93600000000000005</v>
      </c>
      <c r="E59" s="45">
        <v>0.95</v>
      </c>
      <c r="F59" s="45">
        <v>0.95</v>
      </c>
      <c r="G59" s="45">
        <v>0.94499999999999995</v>
      </c>
      <c r="H59" s="45">
        <v>0.94499999999999995</v>
      </c>
      <c r="I59" s="45">
        <v>0.92400000000000004</v>
      </c>
      <c r="J59" s="395"/>
      <c r="K59" s="84">
        <v>0.93</v>
      </c>
      <c r="M59" s="83">
        <v>60</v>
      </c>
      <c r="N59" s="40">
        <v>0.95</v>
      </c>
      <c r="O59" s="40">
        <v>0.95</v>
      </c>
      <c r="P59" s="40">
        <v>0.94499999999999995</v>
      </c>
      <c r="Q59" s="40">
        <v>0.94499999999999995</v>
      </c>
      <c r="R59" s="37">
        <v>0.92400000000000004</v>
      </c>
      <c r="S59" s="92">
        <v>0.93</v>
      </c>
    </row>
    <row r="60" spans="2:19" x14ac:dyDescent="0.2">
      <c r="B60" s="83">
        <v>75</v>
      </c>
      <c r="C60" s="45">
        <v>0.93600000000000005</v>
      </c>
      <c r="D60" s="45">
        <v>0.93600000000000005</v>
      </c>
      <c r="E60" s="45">
        <v>0.95399999999999996</v>
      </c>
      <c r="F60" s="45">
        <v>0.95</v>
      </c>
      <c r="G60" s="45">
        <v>0.94499999999999995</v>
      </c>
      <c r="H60" s="45">
        <v>0.94499999999999995</v>
      </c>
      <c r="I60" s="45">
        <v>0.93600000000000005</v>
      </c>
      <c r="J60" s="395"/>
      <c r="K60" s="84">
        <v>0.94099999999999995</v>
      </c>
      <c r="M60" s="83">
        <v>75</v>
      </c>
      <c r="N60" s="40">
        <v>0.95399999999999996</v>
      </c>
      <c r="O60" s="40">
        <v>0.95</v>
      </c>
      <c r="P60" s="40">
        <v>0.94499999999999995</v>
      </c>
      <c r="Q60" s="40">
        <v>0.94499999999999995</v>
      </c>
      <c r="R60" s="37">
        <v>0.93600000000000005</v>
      </c>
      <c r="S60" s="92">
        <v>0.94099999999999995</v>
      </c>
    </row>
    <row r="61" spans="2:19" x14ac:dyDescent="0.2">
      <c r="B61" s="83">
        <v>100</v>
      </c>
      <c r="C61" s="45">
        <v>0.94099999999999995</v>
      </c>
      <c r="D61" s="45">
        <v>0.93600000000000005</v>
      </c>
      <c r="E61" s="45">
        <v>0.95399999999999996</v>
      </c>
      <c r="F61" s="45">
        <v>0.95399999999999996</v>
      </c>
      <c r="G61" s="45">
        <v>0.95</v>
      </c>
      <c r="H61" s="45">
        <v>0.95</v>
      </c>
      <c r="I61" s="45">
        <v>0.93600000000000005</v>
      </c>
      <c r="J61" s="395"/>
      <c r="K61" s="84">
        <v>0.94099999999999995</v>
      </c>
      <c r="M61" s="83">
        <v>100</v>
      </c>
      <c r="N61" s="40">
        <v>0.95399999999999996</v>
      </c>
      <c r="O61" s="40">
        <v>0.95399999999999996</v>
      </c>
      <c r="P61" s="40">
        <v>0.95</v>
      </c>
      <c r="Q61" s="40">
        <v>0.95</v>
      </c>
      <c r="R61" s="37">
        <v>0.93600000000000005</v>
      </c>
      <c r="S61" s="92">
        <v>0.94099999999999995</v>
      </c>
    </row>
    <row r="62" spans="2:19" x14ac:dyDescent="0.2">
      <c r="B62" s="83">
        <v>125</v>
      </c>
      <c r="C62" s="45">
        <v>0.95</v>
      </c>
      <c r="D62" s="45">
        <v>0.94099999999999995</v>
      </c>
      <c r="E62" s="45">
        <v>0.95399999999999996</v>
      </c>
      <c r="F62" s="45">
        <v>0.95399999999999996</v>
      </c>
      <c r="G62" s="45">
        <v>0.95</v>
      </c>
      <c r="H62" s="45">
        <v>0.95</v>
      </c>
      <c r="I62" s="45">
        <v>0.94099999999999995</v>
      </c>
      <c r="J62" s="395"/>
      <c r="K62" s="84">
        <v>0.94099999999999995</v>
      </c>
      <c r="M62" s="83">
        <v>125</v>
      </c>
      <c r="N62" s="40">
        <v>0.95399999999999996</v>
      </c>
      <c r="O62" s="40">
        <v>0.95399999999999996</v>
      </c>
      <c r="P62" s="40">
        <v>0.95</v>
      </c>
      <c r="Q62" s="40">
        <v>0.95</v>
      </c>
      <c r="R62" s="37">
        <v>0.94099999999999995</v>
      </c>
      <c r="S62" s="92">
        <v>0.94099999999999995</v>
      </c>
    </row>
    <row r="63" spans="2:19" x14ac:dyDescent="0.2">
      <c r="B63" s="83">
        <v>150</v>
      </c>
      <c r="C63" s="45">
        <v>0.95</v>
      </c>
      <c r="D63" s="45">
        <v>0.94099999999999995</v>
      </c>
      <c r="E63" s="45">
        <v>0.95799999999999996</v>
      </c>
      <c r="F63" s="45">
        <v>0.95799999999999996</v>
      </c>
      <c r="G63" s="45">
        <v>0.95799999999999996</v>
      </c>
      <c r="H63" s="45">
        <v>0.95399999999999996</v>
      </c>
      <c r="I63" s="45">
        <v>0.94099999999999995</v>
      </c>
      <c r="J63" s="395"/>
      <c r="K63" s="84">
        <v>0.94099999999999995</v>
      </c>
      <c r="M63" s="83">
        <v>150</v>
      </c>
      <c r="N63" s="40">
        <v>0.95799999999999996</v>
      </c>
      <c r="O63" s="40">
        <v>0.95799999999999996</v>
      </c>
      <c r="P63" s="40">
        <v>0.95799999999999996</v>
      </c>
      <c r="Q63" s="40">
        <v>0.95399999999999996</v>
      </c>
      <c r="R63" s="37">
        <v>0.94099999999999995</v>
      </c>
      <c r="S63" s="92">
        <v>0.94099999999999995</v>
      </c>
    </row>
    <row r="64" spans="2:19" ht="15" thickBot="1" x14ac:dyDescent="0.25">
      <c r="B64" s="83">
        <v>200</v>
      </c>
      <c r="C64" s="45">
        <v>0.95399999999999996</v>
      </c>
      <c r="D64" s="45">
        <v>0.95</v>
      </c>
      <c r="E64" s="45">
        <v>0.96199999999999997</v>
      </c>
      <c r="F64" s="45">
        <v>0.95799999999999996</v>
      </c>
      <c r="G64" s="45">
        <v>0.95799999999999996</v>
      </c>
      <c r="H64" s="45">
        <v>0.95399999999999996</v>
      </c>
      <c r="I64" s="45">
        <v>0.94499999999999995</v>
      </c>
      <c r="J64" s="395"/>
      <c r="K64" s="84">
        <v>0.94099999999999995</v>
      </c>
      <c r="M64" s="85">
        <v>200</v>
      </c>
      <c r="N64" s="93">
        <v>0.96199999999999997</v>
      </c>
      <c r="O64" s="93">
        <v>0.95799999999999996</v>
      </c>
      <c r="P64" s="93">
        <v>0.95799999999999996</v>
      </c>
      <c r="Q64" s="93">
        <v>0.95399999999999996</v>
      </c>
      <c r="R64" s="94">
        <v>0.94499999999999995</v>
      </c>
      <c r="S64" s="95">
        <v>0.94099999999999995</v>
      </c>
    </row>
    <row r="65" spans="2:32" ht="15" thickBot="1" x14ac:dyDescent="0.25">
      <c r="B65" s="83">
        <v>250</v>
      </c>
      <c r="C65" s="45">
        <v>0.95799999999999996</v>
      </c>
      <c r="D65" s="45">
        <v>0.95</v>
      </c>
      <c r="E65" s="45">
        <v>0.96199999999999997</v>
      </c>
      <c r="F65" s="45">
        <v>0.95799999999999996</v>
      </c>
      <c r="G65" s="45">
        <v>0.95799999999999996</v>
      </c>
      <c r="H65" s="45">
        <v>0.95799999999999996</v>
      </c>
      <c r="I65" s="45">
        <v>0.95</v>
      </c>
      <c r="J65" s="395"/>
      <c r="K65" s="84">
        <v>0.95</v>
      </c>
    </row>
    <row r="66" spans="2:32" ht="18.75" thickBot="1" x14ac:dyDescent="0.3">
      <c r="B66" s="83">
        <v>300</v>
      </c>
      <c r="C66" s="45">
        <v>0.95799999999999996</v>
      </c>
      <c r="D66" s="45">
        <v>0.95399999999999996</v>
      </c>
      <c r="E66" s="45">
        <v>0.96199999999999997</v>
      </c>
      <c r="F66" s="45">
        <v>0.95799999999999996</v>
      </c>
      <c r="G66" s="45">
        <v>0.95799999999999996</v>
      </c>
      <c r="H66" s="45">
        <v>0.95799999999999996</v>
      </c>
      <c r="I66" s="45" t="s">
        <v>268</v>
      </c>
      <c r="J66" s="395"/>
      <c r="K66" s="84" t="s">
        <v>268</v>
      </c>
      <c r="M66" s="692" t="s">
        <v>269</v>
      </c>
      <c r="N66" s="693"/>
      <c r="O66" s="693"/>
      <c r="P66" s="693"/>
      <c r="Q66" s="693"/>
      <c r="R66" s="693"/>
      <c r="S66" s="693"/>
      <c r="T66" s="388"/>
      <c r="U66" s="389"/>
      <c r="V66" s="692" t="s">
        <v>270</v>
      </c>
      <c r="W66" s="693"/>
      <c r="X66" s="694"/>
      <c r="Y66" s="692" t="s">
        <v>271</v>
      </c>
      <c r="Z66" s="693"/>
      <c r="AA66" s="694"/>
      <c r="AB66" s="692" t="s">
        <v>272</v>
      </c>
      <c r="AC66" s="693"/>
      <c r="AD66" s="694"/>
    </row>
    <row r="67" spans="2:32" ht="43.5" thickBot="1" x14ac:dyDescent="0.25">
      <c r="B67" s="83">
        <v>350</v>
      </c>
      <c r="C67" s="45">
        <v>0.95799999999999996</v>
      </c>
      <c r="D67" s="45">
        <v>0.95399999999999996</v>
      </c>
      <c r="E67" s="45">
        <v>0.96199999999999997</v>
      </c>
      <c r="F67" s="45">
        <v>0.95799999999999996</v>
      </c>
      <c r="G67" s="45">
        <v>0.95799999999999996</v>
      </c>
      <c r="H67" s="45">
        <v>0.95799999999999996</v>
      </c>
      <c r="I67" s="45" t="s">
        <v>268</v>
      </c>
      <c r="J67" s="395"/>
      <c r="K67" s="84" t="s">
        <v>268</v>
      </c>
      <c r="M67" s="405" t="s">
        <v>273</v>
      </c>
      <c r="N67" s="101" t="s">
        <v>274</v>
      </c>
      <c r="O67" s="406" t="s">
        <v>153</v>
      </c>
      <c r="P67" s="101" t="s">
        <v>137</v>
      </c>
      <c r="Q67" s="101" t="s">
        <v>226</v>
      </c>
      <c r="R67" s="101" t="s">
        <v>231</v>
      </c>
      <c r="S67" s="402" t="s">
        <v>150</v>
      </c>
      <c r="T67" s="402"/>
      <c r="U67" s="402"/>
      <c r="V67" s="451" t="s">
        <v>275</v>
      </c>
      <c r="W67" s="102" t="s">
        <v>199</v>
      </c>
      <c r="X67" s="102" t="s">
        <v>200</v>
      </c>
      <c r="Y67" s="451" t="s">
        <v>275</v>
      </c>
      <c r="Z67" s="102" t="s">
        <v>199</v>
      </c>
      <c r="AA67" s="102" t="s">
        <v>200</v>
      </c>
      <c r="AB67" s="451" t="s">
        <v>275</v>
      </c>
      <c r="AC67" s="102" t="s">
        <v>199</v>
      </c>
      <c r="AD67" s="102" t="s">
        <v>200</v>
      </c>
    </row>
    <row r="68" spans="2:32" x14ac:dyDescent="0.2">
      <c r="B68" s="83">
        <v>400</v>
      </c>
      <c r="C68" s="45">
        <v>0.95799999999999996</v>
      </c>
      <c r="D68" s="45">
        <v>0.95799999999999996</v>
      </c>
      <c r="E68" s="45">
        <v>0.96199999999999997</v>
      </c>
      <c r="F68" s="45">
        <v>0.95799999999999996</v>
      </c>
      <c r="G68" s="45" t="s">
        <v>268</v>
      </c>
      <c r="H68" s="45" t="s">
        <v>268</v>
      </c>
      <c r="I68" s="45" t="s">
        <v>268</v>
      </c>
      <c r="J68" s="395"/>
      <c r="K68" s="84" t="s">
        <v>268</v>
      </c>
      <c r="M68" s="97" t="s">
        <v>219</v>
      </c>
      <c r="N68" s="71" t="s">
        <v>276</v>
      </c>
      <c r="O68" s="409">
        <v>1.63E-4</v>
      </c>
      <c r="P68" s="71">
        <v>5.5110000000000001E-4</v>
      </c>
      <c r="Q68" s="71">
        <v>4.5429999999999998E-4</v>
      </c>
      <c r="R68" s="71">
        <v>7.8899999999999993E-5</v>
      </c>
      <c r="S68" s="411">
        <v>5.5110000000000001E-4</v>
      </c>
      <c r="T68" s="411" t="s">
        <v>153</v>
      </c>
      <c r="U68" s="411">
        <v>3</v>
      </c>
      <c r="V68" s="107" t="s">
        <v>219</v>
      </c>
      <c r="W68" s="452">
        <v>1.63E-4</v>
      </c>
      <c r="X68" s="453">
        <v>1.4430000000000001E-4</v>
      </c>
      <c r="Y68" s="107" t="s">
        <v>219</v>
      </c>
      <c r="Z68" s="452">
        <v>2.0259999999999999E-4</v>
      </c>
      <c r="AA68" s="453">
        <v>1.3740000000000001E-4</v>
      </c>
      <c r="AB68" s="107" t="s">
        <v>219</v>
      </c>
      <c r="AC68" s="452">
        <v>2.0259999999999999E-4</v>
      </c>
      <c r="AD68" s="453">
        <v>1.3740000000000001E-4</v>
      </c>
    </row>
    <row r="69" spans="2:32" x14ac:dyDescent="0.2">
      <c r="B69" s="83">
        <v>450</v>
      </c>
      <c r="C69" s="45">
        <v>0.95799999999999996</v>
      </c>
      <c r="D69" s="45">
        <v>0.96199999999999997</v>
      </c>
      <c r="E69" s="45">
        <v>0.96199999999999997</v>
      </c>
      <c r="F69" s="45">
        <v>0.96199999999999997</v>
      </c>
      <c r="G69" s="45" t="s">
        <v>268</v>
      </c>
      <c r="H69" s="45" t="s">
        <v>268</v>
      </c>
      <c r="I69" s="45" t="s">
        <v>268</v>
      </c>
      <c r="J69" s="395"/>
      <c r="K69" s="84" t="s">
        <v>268</v>
      </c>
      <c r="M69" s="83" t="s">
        <v>224</v>
      </c>
      <c r="N69" s="71" t="s">
        <v>276</v>
      </c>
      <c r="O69" s="408">
        <v>1.63E-4</v>
      </c>
      <c r="P69" s="40">
        <v>5.5110000000000001E-4</v>
      </c>
      <c r="Q69" s="40">
        <v>4.5429999999999998E-4</v>
      </c>
      <c r="R69" s="40">
        <v>7.8899999999999993E-5</v>
      </c>
      <c r="S69" s="412">
        <v>5.5110000000000001E-4</v>
      </c>
      <c r="T69" s="412" t="s">
        <v>137</v>
      </c>
      <c r="U69" s="412">
        <v>4</v>
      </c>
      <c r="V69" s="105" t="s">
        <v>224</v>
      </c>
      <c r="W69" s="454">
        <v>1.63E-4</v>
      </c>
      <c r="X69" s="455">
        <v>1.4430000000000001E-4</v>
      </c>
      <c r="Y69" s="105" t="s">
        <v>224</v>
      </c>
      <c r="Z69" s="454">
        <v>1.63E-4</v>
      </c>
      <c r="AA69" s="455">
        <v>1.4430000000000001E-4</v>
      </c>
      <c r="AB69" s="105" t="s">
        <v>224</v>
      </c>
      <c r="AC69" s="454">
        <v>1.63E-4</v>
      </c>
      <c r="AD69" s="455">
        <v>1.4430000000000001E-4</v>
      </c>
    </row>
    <row r="70" spans="2:32" ht="15" thickBot="1" x14ac:dyDescent="0.25">
      <c r="B70" s="85">
        <v>500</v>
      </c>
      <c r="C70" s="86">
        <v>0.95799999999999996</v>
      </c>
      <c r="D70" s="86">
        <v>0.96199999999999997</v>
      </c>
      <c r="E70" s="86">
        <v>0.96199999999999997</v>
      </c>
      <c r="F70" s="86">
        <v>0.96199999999999997</v>
      </c>
      <c r="G70" s="86" t="s">
        <v>268</v>
      </c>
      <c r="H70" s="86" t="s">
        <v>268</v>
      </c>
      <c r="I70" s="86" t="s">
        <v>268</v>
      </c>
      <c r="J70" s="396"/>
      <c r="K70" s="87" t="s">
        <v>268</v>
      </c>
      <c r="M70" s="83" t="s">
        <v>227</v>
      </c>
      <c r="N70" s="71" t="s">
        <v>276</v>
      </c>
      <c r="O70" s="40">
        <v>1.853E-4</v>
      </c>
      <c r="P70" s="408">
        <v>0</v>
      </c>
      <c r="Q70" s="408">
        <v>0</v>
      </c>
      <c r="R70" s="408">
        <v>0</v>
      </c>
      <c r="S70" s="413">
        <v>0</v>
      </c>
      <c r="T70" s="413" t="s">
        <v>226</v>
      </c>
      <c r="U70" s="450">
        <v>5</v>
      </c>
      <c r="V70" s="105" t="s">
        <v>227</v>
      </c>
      <c r="W70" s="454">
        <v>1.6330000000000001E-4</v>
      </c>
      <c r="X70" s="455">
        <v>1.2410000000000001E-4</v>
      </c>
      <c r="Y70" s="105" t="s">
        <v>227</v>
      </c>
      <c r="Z70" s="454">
        <v>1.6330000000000001E-4</v>
      </c>
      <c r="AA70" s="455">
        <v>1.2410000000000001E-4</v>
      </c>
      <c r="AB70" s="105" t="s">
        <v>227</v>
      </c>
      <c r="AC70" s="454">
        <v>1.6330000000000001E-4</v>
      </c>
      <c r="AD70" s="455">
        <v>1.2410000000000001E-4</v>
      </c>
    </row>
    <row r="71" spans="2:32" ht="15" thickBot="1" x14ac:dyDescent="0.25">
      <c r="M71" s="83" t="s">
        <v>228</v>
      </c>
      <c r="N71" s="71" t="s">
        <v>276</v>
      </c>
      <c r="O71" s="40">
        <v>1.2219999999999999E-4</v>
      </c>
      <c r="P71" s="40">
        <v>3.0229999999999998E-4</v>
      </c>
      <c r="Q71" s="40">
        <v>2.9819999999999998E-4</v>
      </c>
      <c r="R71" s="40">
        <v>1.047E-4</v>
      </c>
      <c r="S71" s="412">
        <v>3.0229999999999998E-4</v>
      </c>
      <c r="T71" s="412" t="s">
        <v>231</v>
      </c>
      <c r="U71" s="412">
        <v>6</v>
      </c>
      <c r="V71" s="105" t="s">
        <v>228</v>
      </c>
      <c r="W71" s="454">
        <v>1.2219999999999999E-4</v>
      </c>
      <c r="X71" s="455">
        <v>1.036E-4</v>
      </c>
      <c r="Y71" s="105" t="s">
        <v>228</v>
      </c>
      <c r="Z71" s="454">
        <v>1.2219999999999999E-4</v>
      </c>
      <c r="AA71" s="455">
        <v>1.036E-4</v>
      </c>
      <c r="AB71" s="105" t="s">
        <v>228</v>
      </c>
      <c r="AC71" s="454">
        <v>1.2219999999999999E-4</v>
      </c>
      <c r="AD71" s="455">
        <v>1.036E-4</v>
      </c>
    </row>
    <row r="72" spans="2:32" ht="18.75" thickBot="1" x14ac:dyDescent="0.3">
      <c r="B72" s="692" t="s">
        <v>277</v>
      </c>
      <c r="C72" s="693"/>
      <c r="D72" s="693"/>
      <c r="E72" s="693"/>
      <c r="F72" s="693"/>
      <c r="G72" s="693"/>
      <c r="H72" s="693"/>
      <c r="I72" s="694"/>
      <c r="J72" s="390"/>
      <c r="M72" s="83" t="s">
        <v>230</v>
      </c>
      <c r="N72" s="71" t="s">
        <v>276</v>
      </c>
      <c r="O72" s="40">
        <v>1.5090000000000001E-4</v>
      </c>
      <c r="P72" s="40">
        <v>3.904E-4</v>
      </c>
      <c r="Q72" s="40">
        <v>3.793E-4</v>
      </c>
      <c r="R72" s="40">
        <v>1.393E-4</v>
      </c>
      <c r="S72" s="412">
        <v>3.904E-4</v>
      </c>
      <c r="T72" s="412" t="s">
        <v>150</v>
      </c>
      <c r="U72" s="412">
        <v>7</v>
      </c>
      <c r="V72" s="105" t="s">
        <v>230</v>
      </c>
      <c r="W72" s="454">
        <v>1.5090000000000001E-4</v>
      </c>
      <c r="X72" s="455">
        <v>1.2659999999999999E-4</v>
      </c>
      <c r="Y72" s="105" t="s">
        <v>230</v>
      </c>
      <c r="Z72" s="454">
        <v>1.5090000000000001E-4</v>
      </c>
      <c r="AA72" s="455">
        <v>1.2659999999999999E-4</v>
      </c>
      <c r="AB72" s="105" t="s">
        <v>230</v>
      </c>
      <c r="AC72" s="454">
        <v>1.5090000000000001E-4</v>
      </c>
      <c r="AD72" s="455">
        <v>1.2659999999999999E-4</v>
      </c>
    </row>
    <row r="73" spans="2:32" ht="29.25" thickBot="1" x14ac:dyDescent="0.25">
      <c r="B73" s="427" t="s">
        <v>278</v>
      </c>
      <c r="C73" s="404" t="s">
        <v>273</v>
      </c>
      <c r="D73" s="404" t="s">
        <v>279</v>
      </c>
      <c r="E73" s="404" t="s">
        <v>137</v>
      </c>
      <c r="F73" s="404" t="s">
        <v>226</v>
      </c>
      <c r="G73" s="404" t="s">
        <v>150</v>
      </c>
      <c r="H73" s="404" t="s">
        <v>231</v>
      </c>
      <c r="I73" s="403" t="s">
        <v>153</v>
      </c>
      <c r="J73" s="397"/>
      <c r="M73" s="83" t="s">
        <v>232</v>
      </c>
      <c r="N73" s="71" t="s">
        <v>276</v>
      </c>
      <c r="O73" s="408">
        <v>1.95E-4</v>
      </c>
      <c r="P73" s="40">
        <v>6.2839999999999999E-4</v>
      </c>
      <c r="Q73" s="40">
        <v>6.2109999999999997E-4</v>
      </c>
      <c r="R73" s="408">
        <v>0</v>
      </c>
      <c r="S73" s="412">
        <v>6.2839999999999999E-4</v>
      </c>
      <c r="T73" s="412"/>
      <c r="U73" s="412"/>
      <c r="V73" s="105" t="s">
        <v>232</v>
      </c>
      <c r="W73" s="454">
        <v>1.95E-4</v>
      </c>
      <c r="X73" s="455">
        <v>1.2679999999999999E-4</v>
      </c>
      <c r="Y73" s="105" t="s">
        <v>232</v>
      </c>
      <c r="Z73" s="454">
        <v>1.95E-4</v>
      </c>
      <c r="AA73" s="455">
        <v>1.2679999999999999E-4</v>
      </c>
      <c r="AB73" s="105" t="s">
        <v>232</v>
      </c>
      <c r="AC73" s="454">
        <v>1.95E-4</v>
      </c>
      <c r="AD73" s="455">
        <v>1.2679999999999999E-4</v>
      </c>
      <c r="AF73" s="3" t="s">
        <v>280</v>
      </c>
    </row>
    <row r="74" spans="2:32" x14ac:dyDescent="0.2">
      <c r="B74" s="88" t="s">
        <v>18</v>
      </c>
      <c r="C74" s="89" t="s">
        <v>219</v>
      </c>
      <c r="D74" s="89" t="s">
        <v>281</v>
      </c>
      <c r="E74" s="89">
        <v>5450</v>
      </c>
      <c r="F74" s="89">
        <v>5448</v>
      </c>
      <c r="G74" s="89">
        <v>4797</v>
      </c>
      <c r="H74" s="89">
        <v>4548</v>
      </c>
      <c r="I74" s="103">
        <v>5798</v>
      </c>
      <c r="J74" s="43"/>
      <c r="K74" s="43"/>
      <c r="L74" s="43"/>
      <c r="M74" s="83" t="s">
        <v>234</v>
      </c>
      <c r="N74" s="71" t="s">
        <v>276</v>
      </c>
      <c r="O74" s="40">
        <v>1.674E-4</v>
      </c>
      <c r="P74" s="408">
        <v>0</v>
      </c>
      <c r="Q74" s="408">
        <v>0</v>
      </c>
      <c r="R74" s="408">
        <v>0</v>
      </c>
      <c r="S74" s="413">
        <v>0</v>
      </c>
      <c r="T74" s="413"/>
      <c r="U74" s="413"/>
      <c r="V74" s="105" t="s">
        <v>234</v>
      </c>
      <c r="W74" s="454">
        <v>1.674E-4</v>
      </c>
      <c r="X74" s="455">
        <v>1.136E-4</v>
      </c>
      <c r="Y74" s="105" t="s">
        <v>234</v>
      </c>
      <c r="Z74" s="454">
        <v>1.674E-4</v>
      </c>
      <c r="AA74" s="455">
        <v>1.136E-4</v>
      </c>
      <c r="AB74" s="105" t="s">
        <v>234</v>
      </c>
      <c r="AC74" s="454">
        <v>1.674E-4</v>
      </c>
      <c r="AD74" s="455">
        <v>1.136E-4</v>
      </c>
    </row>
    <row r="75" spans="2:32" x14ac:dyDescent="0.2">
      <c r="B75" s="83" t="s">
        <v>18</v>
      </c>
      <c r="C75" s="40" t="s">
        <v>224</v>
      </c>
      <c r="D75" s="40" t="s">
        <v>282</v>
      </c>
      <c r="E75" s="40">
        <v>3701</v>
      </c>
      <c r="F75" s="40">
        <v>3729</v>
      </c>
      <c r="G75" s="40">
        <v>3329</v>
      </c>
      <c r="H75" s="40">
        <v>3651</v>
      </c>
      <c r="I75" s="99">
        <v>4203</v>
      </c>
      <c r="J75" s="43"/>
      <c r="K75" s="43"/>
      <c r="L75" s="43"/>
      <c r="M75" s="83" t="s">
        <v>233</v>
      </c>
      <c r="N75" s="71" t="s">
        <v>276</v>
      </c>
      <c r="O75" s="40">
        <v>1.8450000000000001E-4</v>
      </c>
      <c r="P75" s="40">
        <v>2.853E-4</v>
      </c>
      <c r="Q75" s="40">
        <v>2.5139999999999999E-4</v>
      </c>
      <c r="R75" s="40">
        <v>8.6199999999999995E-5</v>
      </c>
      <c r="S75" s="412">
        <v>2.853E-4</v>
      </c>
      <c r="T75" s="412"/>
      <c r="U75" s="412"/>
      <c r="V75" s="105" t="s">
        <v>233</v>
      </c>
      <c r="W75" s="454">
        <v>1.8469999999999999E-4</v>
      </c>
      <c r="X75" s="455">
        <v>1.175E-4</v>
      </c>
      <c r="Y75" s="105" t="s">
        <v>233</v>
      </c>
      <c r="Z75" s="454">
        <v>1.8469999999999999E-4</v>
      </c>
      <c r="AA75" s="455">
        <v>1.175E-4</v>
      </c>
      <c r="AB75" s="105" t="s">
        <v>233</v>
      </c>
      <c r="AC75" s="454">
        <v>1.8469999999999999E-4</v>
      </c>
      <c r="AD75" s="455">
        <v>1.175E-4</v>
      </c>
    </row>
    <row r="76" spans="2:32" x14ac:dyDescent="0.2">
      <c r="B76" s="83" t="s">
        <v>18</v>
      </c>
      <c r="C76" s="40" t="s">
        <v>227</v>
      </c>
      <c r="D76" s="40" t="s">
        <v>283</v>
      </c>
      <c r="E76" s="40" t="s">
        <v>268</v>
      </c>
      <c r="F76" s="40" t="s">
        <v>268</v>
      </c>
      <c r="G76" s="40" t="s">
        <v>268</v>
      </c>
      <c r="H76" s="40" t="s">
        <v>268</v>
      </c>
      <c r="I76" s="99">
        <v>6437</v>
      </c>
      <c r="J76" s="43"/>
      <c r="K76" s="43"/>
      <c r="L76" s="43"/>
      <c r="M76" s="83" t="s">
        <v>111</v>
      </c>
      <c r="N76" s="71" t="s">
        <v>276</v>
      </c>
      <c r="O76" s="40">
        <v>1.7689999999999999E-4</v>
      </c>
      <c r="P76" s="40">
        <v>5.8569999999999998E-4</v>
      </c>
      <c r="Q76" s="40">
        <v>5.8770000000000003E-4</v>
      </c>
      <c r="R76" s="40">
        <v>1.9469999999999999E-4</v>
      </c>
      <c r="S76" s="412">
        <v>5.8569999999999998E-4</v>
      </c>
      <c r="T76" s="412"/>
      <c r="U76" s="412"/>
      <c r="V76" s="105" t="s">
        <v>111</v>
      </c>
      <c r="W76" s="454">
        <v>1.6650000000000001E-4</v>
      </c>
      <c r="X76" s="455">
        <v>1.2420000000000001E-4</v>
      </c>
      <c r="Y76" s="105" t="s">
        <v>111</v>
      </c>
      <c r="Z76" s="454">
        <v>1.6650000000000001E-4</v>
      </c>
      <c r="AA76" s="455">
        <v>1.2420000000000001E-4</v>
      </c>
      <c r="AB76" s="105" t="s">
        <v>111</v>
      </c>
      <c r="AC76" s="454">
        <v>1.6650000000000001E-4</v>
      </c>
      <c r="AD76" s="455">
        <v>1.2420000000000001E-4</v>
      </c>
    </row>
    <row r="77" spans="2:32" x14ac:dyDescent="0.2">
      <c r="B77" s="83" t="s">
        <v>18</v>
      </c>
      <c r="C77" s="40" t="s">
        <v>228</v>
      </c>
      <c r="D77" s="40" t="s">
        <v>284</v>
      </c>
      <c r="E77" s="40">
        <v>7600</v>
      </c>
      <c r="F77" s="40">
        <v>7598</v>
      </c>
      <c r="G77" s="40">
        <v>5372</v>
      </c>
      <c r="H77" s="40">
        <v>8760</v>
      </c>
      <c r="I77" s="99">
        <v>8406</v>
      </c>
      <c r="J77" s="43"/>
      <c r="K77" s="43"/>
      <c r="L77" s="43"/>
      <c r="M77" s="83" t="s">
        <v>237</v>
      </c>
      <c r="N77" s="71" t="s">
        <v>276</v>
      </c>
      <c r="O77" s="40">
        <v>1.5650000000000001E-4</v>
      </c>
      <c r="P77" s="408">
        <v>0</v>
      </c>
      <c r="Q77" s="408">
        <v>0</v>
      </c>
      <c r="R77" s="408">
        <v>0</v>
      </c>
      <c r="S77" s="413">
        <v>0</v>
      </c>
      <c r="T77" s="413"/>
      <c r="U77" s="413"/>
      <c r="V77" s="105" t="s">
        <v>237</v>
      </c>
      <c r="W77" s="454">
        <v>1.5660000000000001E-4</v>
      </c>
      <c r="X77" s="455">
        <v>1.3090000000000001E-4</v>
      </c>
      <c r="Y77" s="105" t="s">
        <v>237</v>
      </c>
      <c r="Z77" s="454">
        <v>1.5660000000000001E-4</v>
      </c>
      <c r="AA77" s="455">
        <v>1.3090000000000001E-4</v>
      </c>
      <c r="AB77" s="105" t="s">
        <v>237</v>
      </c>
      <c r="AC77" s="454">
        <v>1.5660000000000001E-4</v>
      </c>
      <c r="AD77" s="455">
        <v>1.3090000000000001E-4</v>
      </c>
    </row>
    <row r="78" spans="2:32" x14ac:dyDescent="0.2">
      <c r="B78" s="83" t="s">
        <v>18</v>
      </c>
      <c r="C78" s="40" t="s">
        <v>230</v>
      </c>
      <c r="D78" s="40" t="s">
        <v>285</v>
      </c>
      <c r="E78" s="40">
        <v>5293</v>
      </c>
      <c r="F78" s="40">
        <v>5296</v>
      </c>
      <c r="G78" s="40">
        <v>4998</v>
      </c>
      <c r="H78" s="40">
        <v>5934</v>
      </c>
      <c r="I78" s="99">
        <v>8406</v>
      </c>
      <c r="J78" s="43"/>
      <c r="K78" s="43"/>
      <c r="L78" s="43"/>
      <c r="M78" s="83" t="s">
        <v>236</v>
      </c>
      <c r="N78" s="71" t="s">
        <v>276</v>
      </c>
      <c r="O78" s="408">
        <v>1.7699999999999999E-4</v>
      </c>
      <c r="P78" s="408">
        <v>4.7199999999999998E-4</v>
      </c>
      <c r="Q78" s="40">
        <v>2.7619999999999999E-4</v>
      </c>
      <c r="R78" s="40">
        <v>1.031E-4</v>
      </c>
      <c r="S78" s="413">
        <v>4.7199999999999998E-4</v>
      </c>
      <c r="T78" s="413"/>
      <c r="U78" s="413"/>
      <c r="V78" s="105" t="s">
        <v>236</v>
      </c>
      <c r="W78" s="454">
        <v>1.6330000000000001E-4</v>
      </c>
      <c r="X78" s="455">
        <v>1.2410000000000001E-4</v>
      </c>
      <c r="Y78" s="105" t="s">
        <v>236</v>
      </c>
      <c r="Z78" s="454">
        <v>1.6330000000000001E-4</v>
      </c>
      <c r="AA78" s="455">
        <v>1.2410000000000001E-4</v>
      </c>
      <c r="AB78" s="105" t="s">
        <v>236</v>
      </c>
      <c r="AC78" s="454">
        <v>1.6330000000000001E-4</v>
      </c>
      <c r="AD78" s="455">
        <v>1.2410000000000001E-4</v>
      </c>
    </row>
    <row r="79" spans="2:32" x14ac:dyDescent="0.2">
      <c r="B79" s="83" t="s">
        <v>18</v>
      </c>
      <c r="C79" s="40" t="s">
        <v>232</v>
      </c>
      <c r="D79" s="40" t="s">
        <v>286</v>
      </c>
      <c r="E79" s="40">
        <v>2360</v>
      </c>
      <c r="F79" s="40">
        <v>2360</v>
      </c>
      <c r="G79" s="40">
        <v>2360</v>
      </c>
      <c r="H79" s="40">
        <v>1258</v>
      </c>
      <c r="I79" s="99">
        <v>3676</v>
      </c>
      <c r="J79" s="43"/>
      <c r="K79" s="43"/>
      <c r="L79" s="43"/>
      <c r="M79" s="83" t="s">
        <v>238</v>
      </c>
      <c r="N79" s="71" t="s">
        <v>276</v>
      </c>
      <c r="O79" s="408">
        <v>1.95E-4</v>
      </c>
      <c r="P79" s="408">
        <v>0</v>
      </c>
      <c r="Q79" s="408">
        <v>0</v>
      </c>
      <c r="R79" s="408">
        <v>0</v>
      </c>
      <c r="S79" s="413">
        <v>0</v>
      </c>
      <c r="T79" s="413"/>
      <c r="U79" s="413"/>
      <c r="V79" s="105" t="s">
        <v>238</v>
      </c>
      <c r="W79" s="454">
        <v>1.95E-4</v>
      </c>
      <c r="X79" s="455">
        <v>1.2679999999999999E-4</v>
      </c>
      <c r="Y79" s="105" t="s">
        <v>238</v>
      </c>
      <c r="Z79" s="454">
        <v>1.95E-4</v>
      </c>
      <c r="AA79" s="455">
        <v>1.2679999999999999E-4</v>
      </c>
      <c r="AB79" s="105" t="s">
        <v>238</v>
      </c>
      <c r="AC79" s="454">
        <v>1.95E-4</v>
      </c>
      <c r="AD79" s="455">
        <v>1.2679999999999999E-4</v>
      </c>
    </row>
    <row r="80" spans="2:32" x14ac:dyDescent="0.2">
      <c r="B80" s="83" t="s">
        <v>18</v>
      </c>
      <c r="C80" s="40" t="s">
        <v>234</v>
      </c>
      <c r="D80" s="40" t="s">
        <v>287</v>
      </c>
      <c r="E80" s="40" t="s">
        <v>268</v>
      </c>
      <c r="F80" s="40" t="s">
        <v>268</v>
      </c>
      <c r="G80" s="40" t="s">
        <v>268</v>
      </c>
      <c r="H80" s="40" t="s">
        <v>268</v>
      </c>
      <c r="I80" s="99">
        <v>4979</v>
      </c>
      <c r="J80" s="43"/>
      <c r="K80" s="43"/>
      <c r="L80" s="43"/>
      <c r="M80" s="83" t="s">
        <v>239</v>
      </c>
      <c r="N80" s="71" t="s">
        <v>276</v>
      </c>
      <c r="O80" s="408">
        <v>1.95E-4</v>
      </c>
      <c r="P80" s="408">
        <v>0</v>
      </c>
      <c r="Q80" s="408">
        <v>0</v>
      </c>
      <c r="R80" s="408">
        <v>0</v>
      </c>
      <c r="S80" s="413">
        <v>0</v>
      </c>
      <c r="T80" s="413"/>
      <c r="U80" s="413"/>
      <c r="V80" s="105" t="s">
        <v>239</v>
      </c>
      <c r="W80" s="454">
        <v>1.95E-4</v>
      </c>
      <c r="X80" s="455">
        <v>1.2679999999999999E-4</v>
      </c>
      <c r="Y80" s="105" t="s">
        <v>239</v>
      </c>
      <c r="Z80" s="454">
        <v>1.95E-4</v>
      </c>
      <c r="AA80" s="455">
        <v>1.2679999999999999E-4</v>
      </c>
      <c r="AB80" s="105" t="s">
        <v>239</v>
      </c>
      <c r="AC80" s="454">
        <v>1.95E-4</v>
      </c>
      <c r="AD80" s="455">
        <v>1.2679999999999999E-4</v>
      </c>
    </row>
    <row r="81" spans="2:30" x14ac:dyDescent="0.2">
      <c r="B81" s="83" t="s">
        <v>18</v>
      </c>
      <c r="C81" s="40" t="s">
        <v>233</v>
      </c>
      <c r="D81" s="40" t="s">
        <v>288</v>
      </c>
      <c r="E81" s="40">
        <v>7949</v>
      </c>
      <c r="F81" s="40">
        <v>7948</v>
      </c>
      <c r="G81" s="40">
        <v>7540</v>
      </c>
      <c r="H81" s="40">
        <v>6469</v>
      </c>
      <c r="I81" s="99">
        <v>8406</v>
      </c>
      <c r="J81" s="43"/>
      <c r="K81" s="43"/>
      <c r="L81" s="43"/>
      <c r="M81" s="97" t="s">
        <v>219</v>
      </c>
      <c r="N81" s="40" t="s">
        <v>188</v>
      </c>
      <c r="O81" s="40">
        <v>1.4430000000000001E-4</v>
      </c>
      <c r="P81" s="40">
        <v>7.6000000000000001E-6</v>
      </c>
      <c r="Q81" s="40">
        <v>1.33E-5</v>
      </c>
      <c r="R81" s="40">
        <v>2.1029999999999999E-4</v>
      </c>
      <c r="S81" s="412">
        <v>7.6000000000000001E-6</v>
      </c>
      <c r="T81" s="412"/>
      <c r="U81" s="412"/>
      <c r="V81" s="105"/>
      <c r="W81" s="37"/>
      <c r="X81" s="92"/>
      <c r="Y81" s="105"/>
      <c r="Z81" s="37"/>
      <c r="AA81" s="92"/>
      <c r="AB81" s="105"/>
      <c r="AC81" s="37"/>
      <c r="AD81" s="92"/>
    </row>
    <row r="82" spans="2:30" x14ac:dyDescent="0.2">
      <c r="B82" s="83" t="s">
        <v>18</v>
      </c>
      <c r="C82" s="40" t="s">
        <v>111</v>
      </c>
      <c r="D82" s="40" t="s">
        <v>289</v>
      </c>
      <c r="E82" s="40">
        <v>2433</v>
      </c>
      <c r="F82" s="40">
        <v>2433</v>
      </c>
      <c r="G82" s="40">
        <v>2422</v>
      </c>
      <c r="H82" s="40">
        <v>3214</v>
      </c>
      <c r="I82" s="99">
        <v>4026</v>
      </c>
      <c r="J82" s="43"/>
      <c r="K82" s="43"/>
      <c r="L82" s="43"/>
      <c r="M82" s="83" t="s">
        <v>224</v>
      </c>
      <c r="N82" s="40" t="s">
        <v>188</v>
      </c>
      <c r="O82" s="40">
        <v>1.4430000000000001E-4</v>
      </c>
      <c r="P82" s="40">
        <v>7.6000000000000001E-6</v>
      </c>
      <c r="Q82" s="40">
        <v>1.33E-5</v>
      </c>
      <c r="R82" s="40">
        <v>2.1029999999999999E-4</v>
      </c>
      <c r="S82" s="412">
        <v>7.6000000000000001E-6</v>
      </c>
      <c r="T82" s="412"/>
      <c r="U82" s="412"/>
      <c r="V82" s="105"/>
      <c r="W82" s="37"/>
      <c r="X82" s="92"/>
      <c r="Y82" s="105"/>
      <c r="Z82" s="37"/>
      <c r="AA82" s="92"/>
      <c r="AB82" s="105"/>
      <c r="AC82" s="37"/>
      <c r="AD82" s="92"/>
    </row>
    <row r="83" spans="2:30" x14ac:dyDescent="0.2">
      <c r="B83" s="83" t="s">
        <v>18</v>
      </c>
      <c r="C83" s="40" t="s">
        <v>237</v>
      </c>
      <c r="D83" s="40" t="s">
        <v>290</v>
      </c>
      <c r="E83" s="40" t="s">
        <v>268</v>
      </c>
      <c r="F83" s="40" t="s">
        <v>268</v>
      </c>
      <c r="G83" s="40" t="s">
        <v>268</v>
      </c>
      <c r="H83" s="40" t="s">
        <v>268</v>
      </c>
      <c r="I83" s="99">
        <v>6028</v>
      </c>
      <c r="J83" s="43"/>
      <c r="K83" s="43"/>
      <c r="L83" s="43"/>
      <c r="M83" s="83" t="s">
        <v>227</v>
      </c>
      <c r="N83" s="40" t="s">
        <v>188</v>
      </c>
      <c r="O83" s="40">
        <v>1.143E-4</v>
      </c>
      <c r="P83" s="408">
        <v>0</v>
      </c>
      <c r="Q83" s="408">
        <v>0</v>
      </c>
      <c r="R83" s="408">
        <v>0</v>
      </c>
      <c r="S83" s="413">
        <v>0</v>
      </c>
      <c r="T83" s="413"/>
      <c r="U83" s="413"/>
      <c r="V83" s="105"/>
      <c r="W83" s="37"/>
      <c r="X83" s="92"/>
      <c r="Y83" s="105"/>
      <c r="Z83" s="37"/>
      <c r="AA83" s="92"/>
      <c r="AB83" s="105"/>
      <c r="AC83" s="37"/>
      <c r="AD83" s="92"/>
    </row>
    <row r="84" spans="2:30" x14ac:dyDescent="0.2">
      <c r="B84" s="83" t="s">
        <v>18</v>
      </c>
      <c r="C84" s="40" t="s">
        <v>236</v>
      </c>
      <c r="D84" s="40" t="s">
        <v>291</v>
      </c>
      <c r="E84" s="40">
        <v>4022</v>
      </c>
      <c r="F84" s="40">
        <v>4022</v>
      </c>
      <c r="G84" s="40">
        <v>3929</v>
      </c>
      <c r="H84" s="40">
        <v>2676</v>
      </c>
      <c r="I84" s="99">
        <v>4930</v>
      </c>
      <c r="J84" s="43"/>
      <c r="K84" s="43"/>
      <c r="L84" s="43"/>
      <c r="M84" s="83" t="s">
        <v>228</v>
      </c>
      <c r="N84" s="40" t="s">
        <v>188</v>
      </c>
      <c r="O84" s="40">
        <v>1.036E-4</v>
      </c>
      <c r="P84" s="40">
        <v>1.15E-5</v>
      </c>
      <c r="Q84" s="40">
        <v>1.04E-5</v>
      </c>
      <c r="R84" s="408">
        <v>1.3200000000000001E-4</v>
      </c>
      <c r="S84" s="412">
        <v>1.15E-5</v>
      </c>
      <c r="T84" s="412"/>
      <c r="U84" s="412"/>
      <c r="V84" s="105"/>
      <c r="W84" s="37"/>
      <c r="X84" s="92"/>
      <c r="Y84" s="105"/>
      <c r="Z84" s="37"/>
      <c r="AA84" s="92"/>
      <c r="AB84" s="105"/>
      <c r="AC84" s="37"/>
      <c r="AD84" s="92"/>
    </row>
    <row r="85" spans="2:30" x14ac:dyDescent="0.2">
      <c r="B85" s="83" t="s">
        <v>18</v>
      </c>
      <c r="C85" s="40" t="s">
        <v>238</v>
      </c>
      <c r="D85" s="40" t="s">
        <v>292</v>
      </c>
      <c r="E85" s="40" t="s">
        <v>268</v>
      </c>
      <c r="F85" s="40" t="s">
        <v>268</v>
      </c>
      <c r="G85" s="40" t="s">
        <v>268</v>
      </c>
      <c r="H85" s="40" t="s">
        <v>268</v>
      </c>
      <c r="I85" s="99">
        <v>4834</v>
      </c>
      <c r="J85" s="43"/>
      <c r="L85" s="43"/>
      <c r="M85" s="83" t="s">
        <v>230</v>
      </c>
      <c r="N85" s="40" t="s">
        <v>188</v>
      </c>
      <c r="O85" s="40">
        <v>1.2659999999999999E-4</v>
      </c>
      <c r="P85" s="40">
        <v>1.77E-5</v>
      </c>
      <c r="Q85" s="40">
        <v>1.1800000000000001E-5</v>
      </c>
      <c r="R85" s="408">
        <v>1.22E-4</v>
      </c>
      <c r="S85" s="412">
        <v>1.77E-5</v>
      </c>
      <c r="T85" s="412"/>
      <c r="U85" s="412"/>
      <c r="V85" s="105"/>
      <c r="W85" s="37"/>
      <c r="X85" s="92"/>
      <c r="Y85" s="105"/>
      <c r="Z85" s="37"/>
      <c r="AA85" s="92"/>
      <c r="AB85" s="105"/>
      <c r="AC85" s="37"/>
      <c r="AD85" s="92"/>
    </row>
    <row r="86" spans="2:30" x14ac:dyDescent="0.2">
      <c r="B86" s="83" t="s">
        <v>18</v>
      </c>
      <c r="C86" s="40" t="s">
        <v>239</v>
      </c>
      <c r="D86" s="40" t="s">
        <v>293</v>
      </c>
      <c r="E86" s="40" t="s">
        <v>268</v>
      </c>
      <c r="F86" s="40" t="s">
        <v>268</v>
      </c>
      <c r="G86" s="40" t="s">
        <v>268</v>
      </c>
      <c r="H86" s="40" t="s">
        <v>268</v>
      </c>
      <c r="I86" s="99">
        <v>3878</v>
      </c>
      <c r="J86" s="43"/>
      <c r="K86" s="43"/>
      <c r="L86" s="43"/>
      <c r="M86" s="83" t="s">
        <v>232</v>
      </c>
      <c r="N86" s="40" t="s">
        <v>188</v>
      </c>
      <c r="O86" s="40">
        <v>1.2679999999999999E-4</v>
      </c>
      <c r="P86" s="408">
        <v>3.9999999999999998E-6</v>
      </c>
      <c r="Q86" s="40">
        <v>1.9999999999999999E-7</v>
      </c>
      <c r="R86" s="408">
        <v>0</v>
      </c>
      <c r="S86" s="413">
        <v>3.9999999999999998E-6</v>
      </c>
      <c r="T86" s="413"/>
      <c r="U86" s="413"/>
      <c r="V86" s="105"/>
      <c r="W86" s="37"/>
      <c r="X86" s="92"/>
      <c r="Y86" s="105"/>
      <c r="Z86" s="37"/>
      <c r="AA86" s="92"/>
      <c r="AB86" s="105"/>
      <c r="AC86" s="37"/>
      <c r="AD86" s="92"/>
    </row>
    <row r="87" spans="2:30" x14ac:dyDescent="0.2">
      <c r="B87" s="83" t="s">
        <v>20</v>
      </c>
      <c r="C87" s="40" t="s">
        <v>219</v>
      </c>
      <c r="D87" s="40" t="s">
        <v>294</v>
      </c>
      <c r="E87" s="40">
        <v>3402</v>
      </c>
      <c r="F87" s="40">
        <v>3401</v>
      </c>
      <c r="G87" s="40">
        <v>2909</v>
      </c>
      <c r="H87" s="40">
        <v>5271</v>
      </c>
      <c r="I87" s="99">
        <v>6028</v>
      </c>
      <c r="J87" s="43"/>
      <c r="L87" s="43"/>
      <c r="M87" s="83" t="s">
        <v>234</v>
      </c>
      <c r="N87" s="40" t="s">
        <v>188</v>
      </c>
      <c r="O87" s="71">
        <v>1.136E-4</v>
      </c>
      <c r="P87" s="409">
        <v>0</v>
      </c>
      <c r="Q87" s="409">
        <v>0</v>
      </c>
      <c r="R87" s="409">
        <v>0</v>
      </c>
      <c r="S87" s="414">
        <v>0</v>
      </c>
      <c r="T87" s="414"/>
      <c r="U87" s="413"/>
      <c r="V87" s="105"/>
      <c r="W87" s="37"/>
      <c r="X87" s="92"/>
      <c r="Y87" s="105"/>
      <c r="Z87" s="37"/>
      <c r="AA87" s="92"/>
      <c r="AB87" s="105"/>
      <c r="AC87" s="37"/>
      <c r="AD87" s="92"/>
    </row>
    <row r="88" spans="2:30" x14ac:dyDescent="0.2">
      <c r="B88" s="83" t="s">
        <v>20</v>
      </c>
      <c r="C88" s="40" t="s">
        <v>224</v>
      </c>
      <c r="D88" s="40" t="s">
        <v>295</v>
      </c>
      <c r="E88" s="40">
        <v>1831</v>
      </c>
      <c r="F88" s="40">
        <v>1832</v>
      </c>
      <c r="G88" s="40">
        <v>1716</v>
      </c>
      <c r="H88" s="40">
        <v>4251</v>
      </c>
      <c r="I88" s="99">
        <v>4563</v>
      </c>
      <c r="J88" s="43"/>
      <c r="K88" s="43"/>
      <c r="L88" s="43"/>
      <c r="M88" s="83" t="s">
        <v>233</v>
      </c>
      <c r="N88" s="40" t="s">
        <v>188</v>
      </c>
      <c r="O88" s="408">
        <v>1.16E-4</v>
      </c>
      <c r="P88" s="40">
        <v>4.6499999999999999E-5</v>
      </c>
      <c r="Q88" s="40">
        <v>5.2000000000000002E-6</v>
      </c>
      <c r="R88" s="40">
        <v>1.165E-4</v>
      </c>
      <c r="S88" s="412">
        <v>4.6499999999999999E-5</v>
      </c>
      <c r="T88" s="412"/>
      <c r="U88" s="412"/>
      <c r="V88" s="105"/>
      <c r="W88" s="37"/>
      <c r="X88" s="92"/>
      <c r="Y88" s="105"/>
      <c r="Z88" s="37"/>
      <c r="AA88" s="92"/>
      <c r="AB88" s="105"/>
      <c r="AC88" s="37"/>
      <c r="AD88" s="92"/>
    </row>
    <row r="89" spans="2:30" x14ac:dyDescent="0.2">
      <c r="B89" s="83" t="s">
        <v>20</v>
      </c>
      <c r="C89" s="40" t="s">
        <v>227</v>
      </c>
      <c r="D89" s="40" t="s">
        <v>296</v>
      </c>
      <c r="E89" s="40" t="s">
        <v>268</v>
      </c>
      <c r="F89" s="40" t="s">
        <v>268</v>
      </c>
      <c r="G89" s="40" t="s">
        <v>268</v>
      </c>
      <c r="H89" s="40" t="s">
        <v>268</v>
      </c>
      <c r="I89" s="99">
        <v>6735</v>
      </c>
      <c r="J89" s="43"/>
      <c r="K89" s="43"/>
      <c r="L89" s="43"/>
      <c r="M89" s="83" t="s">
        <v>111</v>
      </c>
      <c r="N89" s="40" t="s">
        <v>188</v>
      </c>
      <c r="O89" s="40">
        <v>1.3449999999999999E-4</v>
      </c>
      <c r="P89" s="408">
        <v>5.0000000000000004E-6</v>
      </c>
      <c r="Q89" s="40">
        <v>3.4000000000000001E-6</v>
      </c>
      <c r="R89" s="40">
        <v>1.874E-4</v>
      </c>
      <c r="S89" s="413">
        <v>5.0000000000000004E-6</v>
      </c>
      <c r="T89" s="413"/>
      <c r="U89" s="413"/>
      <c r="V89" s="105"/>
      <c r="W89" s="37"/>
      <c r="X89" s="92"/>
      <c r="Y89" s="105"/>
      <c r="Z89" s="37"/>
      <c r="AA89" s="92"/>
      <c r="AB89" s="105"/>
      <c r="AC89" s="37"/>
      <c r="AD89" s="92"/>
    </row>
    <row r="90" spans="2:30" x14ac:dyDescent="0.2">
      <c r="B90" s="83" t="s">
        <v>20</v>
      </c>
      <c r="C90" s="40" t="s">
        <v>228</v>
      </c>
      <c r="D90" s="40" t="s">
        <v>297</v>
      </c>
      <c r="E90" s="40">
        <v>4753</v>
      </c>
      <c r="F90" s="40">
        <v>4750</v>
      </c>
      <c r="G90" s="40">
        <v>3511</v>
      </c>
      <c r="H90" s="40">
        <v>8760</v>
      </c>
      <c r="I90" s="99">
        <v>8722</v>
      </c>
      <c r="J90" s="43"/>
      <c r="K90" s="43"/>
      <c r="L90" s="43"/>
      <c r="M90" s="83" t="s">
        <v>237</v>
      </c>
      <c r="N90" s="40" t="s">
        <v>188</v>
      </c>
      <c r="O90" s="40">
        <v>1.305E-4</v>
      </c>
      <c r="P90" s="408">
        <v>0</v>
      </c>
      <c r="Q90" s="408">
        <v>0</v>
      </c>
      <c r="R90" s="408">
        <v>0</v>
      </c>
      <c r="S90" s="413">
        <v>0</v>
      </c>
      <c r="T90" s="413"/>
      <c r="U90" s="413"/>
      <c r="V90" s="105"/>
      <c r="W90" s="37"/>
      <c r="X90" s="92"/>
      <c r="Y90" s="105"/>
      <c r="Z90" s="37"/>
      <c r="AA90" s="92"/>
      <c r="AB90" s="105"/>
      <c r="AC90" s="37"/>
      <c r="AD90" s="92"/>
    </row>
    <row r="91" spans="2:30" x14ac:dyDescent="0.2">
      <c r="B91" s="83" t="s">
        <v>20</v>
      </c>
      <c r="C91" s="40" t="s">
        <v>230</v>
      </c>
      <c r="D91" s="40" t="s">
        <v>298</v>
      </c>
      <c r="E91" s="40">
        <v>3062</v>
      </c>
      <c r="F91" s="40">
        <v>3062</v>
      </c>
      <c r="G91" s="40">
        <v>3069</v>
      </c>
      <c r="H91" s="40">
        <v>6627</v>
      </c>
      <c r="I91" s="99">
        <v>8722</v>
      </c>
      <c r="J91" s="43"/>
      <c r="K91" s="43"/>
      <c r="L91" s="43"/>
      <c r="M91" s="83" t="s">
        <v>236</v>
      </c>
      <c r="N91" s="40" t="s">
        <v>188</v>
      </c>
      <c r="O91" s="408">
        <v>1.18E-4</v>
      </c>
      <c r="P91" s="40">
        <v>1.19E-5</v>
      </c>
      <c r="Q91" s="408">
        <v>1.2999999999999999E-5</v>
      </c>
      <c r="R91" s="40">
        <v>9.4500000000000007E-5</v>
      </c>
      <c r="S91" s="412">
        <v>1.19E-5</v>
      </c>
      <c r="T91" s="412"/>
      <c r="U91" s="412"/>
      <c r="V91" s="105"/>
      <c r="W91" s="37"/>
      <c r="X91" s="92"/>
      <c r="Y91" s="105"/>
      <c r="Z91" s="37"/>
      <c r="AA91" s="92"/>
      <c r="AB91" s="105"/>
      <c r="AC91" s="37"/>
      <c r="AD91" s="92"/>
    </row>
    <row r="92" spans="2:30" x14ac:dyDescent="0.2">
      <c r="B92" s="83" t="s">
        <v>20</v>
      </c>
      <c r="C92" s="40" t="s">
        <v>232</v>
      </c>
      <c r="D92" s="40" t="s">
        <v>299</v>
      </c>
      <c r="E92" s="40">
        <v>1293</v>
      </c>
      <c r="F92" s="40">
        <v>1293</v>
      </c>
      <c r="G92" s="40">
        <v>1292</v>
      </c>
      <c r="H92" s="40">
        <v>1684</v>
      </c>
      <c r="I92" s="99">
        <v>3964</v>
      </c>
      <c r="J92" s="43"/>
      <c r="K92" s="43"/>
      <c r="L92" s="43"/>
      <c r="M92" s="83" t="s">
        <v>238</v>
      </c>
      <c r="N92" s="40" t="s">
        <v>188</v>
      </c>
      <c r="O92" s="40">
        <v>1.2679999999999999E-4</v>
      </c>
      <c r="P92" s="408">
        <v>0</v>
      </c>
      <c r="Q92" s="408">
        <v>0</v>
      </c>
      <c r="R92" s="408">
        <v>0</v>
      </c>
      <c r="S92" s="413">
        <v>0</v>
      </c>
      <c r="T92" s="413"/>
      <c r="U92" s="413"/>
      <c r="V92" s="105"/>
      <c r="W92" s="37"/>
      <c r="X92" s="92"/>
      <c r="Y92" s="105"/>
      <c r="Z92" s="37"/>
      <c r="AA92" s="92"/>
      <c r="AB92" s="105"/>
      <c r="AC92" s="37"/>
      <c r="AD92" s="92"/>
    </row>
    <row r="93" spans="2:30" ht="15" thickBot="1" x14ac:dyDescent="0.25">
      <c r="B93" s="83" t="s">
        <v>20</v>
      </c>
      <c r="C93" s="40" t="s">
        <v>234</v>
      </c>
      <c r="D93" s="40" t="s">
        <v>300</v>
      </c>
      <c r="E93" s="40" t="s">
        <v>268</v>
      </c>
      <c r="F93" s="40" t="s">
        <v>268</v>
      </c>
      <c r="G93" s="40" t="s">
        <v>268</v>
      </c>
      <c r="H93" s="40" t="s">
        <v>268</v>
      </c>
      <c r="I93" s="99">
        <v>5201</v>
      </c>
      <c r="J93" s="43"/>
      <c r="K93" s="43"/>
      <c r="L93" s="43"/>
      <c r="M93" s="407" t="s">
        <v>239</v>
      </c>
      <c r="N93" s="93" t="s">
        <v>188</v>
      </c>
      <c r="O93" s="93">
        <v>1.2679999999999999E-4</v>
      </c>
      <c r="P93" s="410">
        <v>0</v>
      </c>
      <c r="Q93" s="410">
        <v>0</v>
      </c>
      <c r="R93" s="410">
        <v>0</v>
      </c>
      <c r="S93" s="415">
        <v>0</v>
      </c>
      <c r="T93" s="415"/>
      <c r="U93" s="415"/>
      <c r="V93" s="106"/>
      <c r="W93" s="94"/>
      <c r="X93" s="95"/>
      <c r="Y93" s="106"/>
      <c r="Z93" s="94"/>
      <c r="AA93" s="95"/>
      <c r="AB93" s="106"/>
      <c r="AC93" s="94"/>
      <c r="AD93" s="95"/>
    </row>
    <row r="94" spans="2:30" x14ac:dyDescent="0.2">
      <c r="B94" s="83" t="s">
        <v>20</v>
      </c>
      <c r="C94" s="40" t="s">
        <v>233</v>
      </c>
      <c r="D94" s="40" t="s">
        <v>301</v>
      </c>
      <c r="E94" s="40">
        <v>4992</v>
      </c>
      <c r="F94" s="40">
        <v>4989</v>
      </c>
      <c r="G94" s="40">
        <v>4545</v>
      </c>
      <c r="H94" s="40">
        <v>7072</v>
      </c>
      <c r="I94" s="99">
        <v>8722</v>
      </c>
      <c r="J94" s="43"/>
      <c r="K94" s="43"/>
      <c r="L94" s="43"/>
    </row>
    <row r="95" spans="2:30" x14ac:dyDescent="0.2">
      <c r="B95" s="83" t="s">
        <v>20</v>
      </c>
      <c r="C95" s="40" t="s">
        <v>111</v>
      </c>
      <c r="D95" s="40" t="s">
        <v>302</v>
      </c>
      <c r="E95" s="40">
        <v>1388</v>
      </c>
      <c r="F95" s="40">
        <v>1388</v>
      </c>
      <c r="G95" s="40">
        <v>1375</v>
      </c>
      <c r="H95" s="40">
        <v>3876</v>
      </c>
      <c r="I95" s="99">
        <v>4454</v>
      </c>
      <c r="J95" s="43"/>
      <c r="K95" s="43"/>
      <c r="L95" s="43"/>
    </row>
    <row r="96" spans="2:30" x14ac:dyDescent="0.2">
      <c r="B96" s="83" t="s">
        <v>20</v>
      </c>
      <c r="C96" s="40" t="s">
        <v>237</v>
      </c>
      <c r="D96" s="40" t="s">
        <v>303</v>
      </c>
      <c r="E96" s="40" t="s">
        <v>268</v>
      </c>
      <c r="F96" s="40" t="s">
        <v>268</v>
      </c>
      <c r="G96" s="40" t="s">
        <v>268</v>
      </c>
      <c r="H96" s="40" t="s">
        <v>268</v>
      </c>
      <c r="I96" s="99">
        <v>2668</v>
      </c>
      <c r="J96" s="43"/>
      <c r="K96" s="43"/>
      <c r="L96" s="43"/>
    </row>
    <row r="97" spans="2:12" x14ac:dyDescent="0.2">
      <c r="B97" s="83" t="s">
        <v>20</v>
      </c>
      <c r="C97" s="40" t="s">
        <v>236</v>
      </c>
      <c r="D97" s="40" t="s">
        <v>304</v>
      </c>
      <c r="E97" s="40">
        <v>2392</v>
      </c>
      <c r="F97" s="40">
        <v>2392</v>
      </c>
      <c r="G97" s="40">
        <v>2357</v>
      </c>
      <c r="H97" s="40">
        <v>3183</v>
      </c>
      <c r="I97" s="99">
        <v>5166</v>
      </c>
      <c r="J97" s="43"/>
      <c r="K97" s="43"/>
      <c r="L97" s="43"/>
    </row>
    <row r="98" spans="2:12" x14ac:dyDescent="0.2">
      <c r="B98" s="83" t="s">
        <v>20</v>
      </c>
      <c r="C98" s="40" t="s">
        <v>238</v>
      </c>
      <c r="D98" s="40" t="s">
        <v>305</v>
      </c>
      <c r="E98" s="40" t="s">
        <v>268</v>
      </c>
      <c r="F98" s="40" t="s">
        <v>268</v>
      </c>
      <c r="G98" s="40" t="s">
        <v>268</v>
      </c>
      <c r="H98" s="40" t="s">
        <v>268</v>
      </c>
      <c r="I98" s="99">
        <v>5167</v>
      </c>
      <c r="J98" s="43"/>
      <c r="K98" s="43"/>
      <c r="L98" s="43"/>
    </row>
    <row r="99" spans="2:12" x14ac:dyDescent="0.2">
      <c r="B99" s="83" t="s">
        <v>20</v>
      </c>
      <c r="C99" s="40" t="s">
        <v>239</v>
      </c>
      <c r="D99" s="40" t="s">
        <v>306</v>
      </c>
      <c r="E99" s="40" t="s">
        <v>268</v>
      </c>
      <c r="F99" s="40" t="s">
        <v>268</v>
      </c>
      <c r="G99" s="40" t="s">
        <v>268</v>
      </c>
      <c r="H99" s="40" t="s">
        <v>268</v>
      </c>
      <c r="I99" s="99">
        <v>4024</v>
      </c>
      <c r="J99" s="43"/>
      <c r="K99" s="43"/>
      <c r="L99" s="43"/>
    </row>
    <row r="100" spans="2:12" x14ac:dyDescent="0.2">
      <c r="B100" s="83" t="s">
        <v>10</v>
      </c>
      <c r="C100" s="40" t="s">
        <v>219</v>
      </c>
      <c r="D100" s="40" t="s">
        <v>307</v>
      </c>
      <c r="E100" s="40">
        <v>4303</v>
      </c>
      <c r="F100" s="40">
        <v>4303</v>
      </c>
      <c r="G100" s="40">
        <v>3428</v>
      </c>
      <c r="H100" s="40">
        <v>5900</v>
      </c>
      <c r="I100" s="99">
        <v>5419</v>
      </c>
      <c r="J100" s="43"/>
      <c r="K100" s="43"/>
      <c r="L100" s="43"/>
    </row>
    <row r="101" spans="2:12" x14ac:dyDescent="0.2">
      <c r="B101" s="83" t="s">
        <v>10</v>
      </c>
      <c r="C101" s="40" t="s">
        <v>224</v>
      </c>
      <c r="D101" s="40" t="s">
        <v>308</v>
      </c>
      <c r="E101" s="40">
        <v>2267</v>
      </c>
      <c r="F101" s="40">
        <v>2271</v>
      </c>
      <c r="G101" s="40">
        <v>2125</v>
      </c>
      <c r="H101" s="40">
        <v>4722</v>
      </c>
      <c r="I101" s="99">
        <v>4174</v>
      </c>
      <c r="J101" s="43"/>
      <c r="K101" s="43"/>
      <c r="L101" s="43"/>
    </row>
    <row r="102" spans="2:12" x14ac:dyDescent="0.2">
      <c r="B102" s="83" t="s">
        <v>10</v>
      </c>
      <c r="C102" s="40" t="s">
        <v>227</v>
      </c>
      <c r="D102" s="40" t="s">
        <v>309</v>
      </c>
      <c r="E102" s="40" t="s">
        <v>268</v>
      </c>
      <c r="F102" s="40" t="s">
        <v>268</v>
      </c>
      <c r="G102" s="40" t="s">
        <v>268</v>
      </c>
      <c r="H102" s="40" t="s">
        <v>268</v>
      </c>
      <c r="I102" s="99">
        <v>6024</v>
      </c>
      <c r="J102" s="43"/>
      <c r="K102" s="43"/>
      <c r="L102" s="43"/>
    </row>
    <row r="103" spans="2:12" x14ac:dyDescent="0.2">
      <c r="B103" s="83" t="s">
        <v>10</v>
      </c>
      <c r="C103" s="40" t="s">
        <v>228</v>
      </c>
      <c r="D103" s="40" t="s">
        <v>310</v>
      </c>
      <c r="E103" s="40">
        <v>5792</v>
      </c>
      <c r="F103" s="40">
        <v>5789</v>
      </c>
      <c r="G103" s="40">
        <v>4577</v>
      </c>
      <c r="H103" s="40">
        <v>8760</v>
      </c>
      <c r="I103" s="99">
        <v>7749</v>
      </c>
      <c r="J103" s="43"/>
      <c r="K103" s="43"/>
      <c r="L103" s="43"/>
    </row>
    <row r="104" spans="2:12" x14ac:dyDescent="0.2">
      <c r="B104" s="83" t="s">
        <v>10</v>
      </c>
      <c r="C104" s="40" t="s">
        <v>230</v>
      </c>
      <c r="D104" s="40" t="s">
        <v>311</v>
      </c>
      <c r="E104" s="40">
        <v>3603</v>
      </c>
      <c r="F104" s="40">
        <v>3604</v>
      </c>
      <c r="G104" s="40">
        <v>3593</v>
      </c>
      <c r="H104" s="40">
        <v>7170</v>
      </c>
      <c r="I104" s="99">
        <v>7749</v>
      </c>
      <c r="J104" s="43"/>
      <c r="K104" s="43"/>
      <c r="L104" s="43"/>
    </row>
    <row r="105" spans="2:12" x14ac:dyDescent="0.2">
      <c r="B105" s="83" t="s">
        <v>10</v>
      </c>
      <c r="C105" s="40" t="s">
        <v>232</v>
      </c>
      <c r="D105" s="40" t="s">
        <v>312</v>
      </c>
      <c r="E105" s="40">
        <v>1510</v>
      </c>
      <c r="F105" s="40">
        <v>1510</v>
      </c>
      <c r="G105" s="40">
        <v>1507</v>
      </c>
      <c r="H105" s="40">
        <v>1944</v>
      </c>
      <c r="I105" s="99">
        <v>3609</v>
      </c>
      <c r="J105" s="43"/>
      <c r="K105" s="43"/>
      <c r="L105" s="43"/>
    </row>
    <row r="106" spans="2:12" x14ac:dyDescent="0.2">
      <c r="B106" s="83" t="s">
        <v>10</v>
      </c>
      <c r="C106" s="40" t="s">
        <v>234</v>
      </c>
      <c r="D106" s="40" t="s">
        <v>313</v>
      </c>
      <c r="E106" s="40" t="s">
        <v>268</v>
      </c>
      <c r="F106" s="40" t="s">
        <v>268</v>
      </c>
      <c r="G106" s="40" t="s">
        <v>268</v>
      </c>
      <c r="H106" s="40" t="s">
        <v>268</v>
      </c>
      <c r="I106" s="99">
        <v>4643</v>
      </c>
      <c r="J106" s="43"/>
      <c r="K106" s="43"/>
      <c r="L106" s="43"/>
    </row>
    <row r="107" spans="2:12" x14ac:dyDescent="0.2">
      <c r="B107" s="83" t="s">
        <v>10</v>
      </c>
      <c r="C107" s="40" t="s">
        <v>233</v>
      </c>
      <c r="D107" s="40" t="s">
        <v>314</v>
      </c>
      <c r="E107" s="40">
        <v>6177</v>
      </c>
      <c r="F107" s="40">
        <v>6174</v>
      </c>
      <c r="G107" s="40">
        <v>5475</v>
      </c>
      <c r="H107" s="40">
        <v>7587</v>
      </c>
      <c r="I107" s="99">
        <v>7749</v>
      </c>
      <c r="J107" s="43"/>
      <c r="K107" s="43"/>
      <c r="L107" s="43"/>
    </row>
    <row r="108" spans="2:12" x14ac:dyDescent="0.2">
      <c r="B108" s="83" t="s">
        <v>10</v>
      </c>
      <c r="C108" s="40" t="s">
        <v>111</v>
      </c>
      <c r="D108" s="40" t="s">
        <v>315</v>
      </c>
      <c r="E108" s="40">
        <v>1653</v>
      </c>
      <c r="F108" s="40">
        <v>1653</v>
      </c>
      <c r="G108" s="40">
        <v>1636</v>
      </c>
      <c r="H108" s="40">
        <v>4446</v>
      </c>
      <c r="I108" s="99">
        <v>4157</v>
      </c>
      <c r="J108" s="43"/>
      <c r="K108" s="43"/>
      <c r="L108" s="43"/>
    </row>
    <row r="109" spans="2:12" x14ac:dyDescent="0.2">
      <c r="B109" s="83" t="s">
        <v>10</v>
      </c>
      <c r="C109" s="40" t="s">
        <v>237</v>
      </c>
      <c r="D109" s="40" t="s">
        <v>316</v>
      </c>
      <c r="E109" s="40" t="s">
        <v>268</v>
      </c>
      <c r="F109" s="40" t="s">
        <v>268</v>
      </c>
      <c r="G109" s="40" t="s">
        <v>268</v>
      </c>
      <c r="H109" s="40" t="s">
        <v>268</v>
      </c>
      <c r="I109" s="99">
        <v>5739</v>
      </c>
      <c r="J109" s="43"/>
      <c r="K109" s="43"/>
      <c r="L109" s="43"/>
    </row>
    <row r="110" spans="2:12" x14ac:dyDescent="0.2">
      <c r="B110" s="83" t="s">
        <v>10</v>
      </c>
      <c r="C110" s="40" t="s">
        <v>236</v>
      </c>
      <c r="D110" s="40" t="s">
        <v>317</v>
      </c>
      <c r="E110" s="40">
        <v>2797</v>
      </c>
      <c r="F110" s="40">
        <v>2797</v>
      </c>
      <c r="G110" s="40">
        <v>2761</v>
      </c>
      <c r="H110" s="40">
        <v>3568</v>
      </c>
      <c r="I110" s="99">
        <v>4630</v>
      </c>
      <c r="J110" s="43"/>
      <c r="K110" s="43"/>
      <c r="L110" s="43"/>
    </row>
    <row r="111" spans="2:12" x14ac:dyDescent="0.2">
      <c r="B111" s="83" t="s">
        <v>10</v>
      </c>
      <c r="C111" s="40" t="s">
        <v>238</v>
      </c>
      <c r="D111" s="40" t="s">
        <v>318</v>
      </c>
      <c r="E111" s="40" t="s">
        <v>268</v>
      </c>
      <c r="F111" s="40" t="s">
        <v>268</v>
      </c>
      <c r="G111" s="40" t="s">
        <v>268</v>
      </c>
      <c r="H111" s="40" t="s">
        <v>268</v>
      </c>
      <c r="I111" s="99">
        <v>4652</v>
      </c>
      <c r="J111" s="43"/>
      <c r="K111" s="43"/>
      <c r="L111" s="43"/>
    </row>
    <row r="112" spans="2:12" x14ac:dyDescent="0.2">
      <c r="B112" s="83" t="s">
        <v>10</v>
      </c>
      <c r="C112" s="40" t="s">
        <v>239</v>
      </c>
      <c r="D112" s="40" t="s">
        <v>319</v>
      </c>
      <c r="E112" s="40" t="s">
        <v>268</v>
      </c>
      <c r="F112" s="40" t="s">
        <v>268</v>
      </c>
      <c r="G112" s="40" t="s">
        <v>268</v>
      </c>
      <c r="H112" s="40" t="s">
        <v>268</v>
      </c>
      <c r="I112" s="99">
        <v>3575</v>
      </c>
      <c r="J112" s="43"/>
      <c r="K112" s="43"/>
      <c r="L112" s="43"/>
    </row>
    <row r="113" spans="2:12" x14ac:dyDescent="0.2">
      <c r="B113" s="83" t="s">
        <v>8</v>
      </c>
      <c r="C113" s="40" t="s">
        <v>219</v>
      </c>
      <c r="D113" s="40" t="s">
        <v>320</v>
      </c>
      <c r="E113" s="40">
        <v>5061</v>
      </c>
      <c r="F113" s="40">
        <v>5061</v>
      </c>
      <c r="G113" s="40">
        <v>4258</v>
      </c>
      <c r="H113" s="40">
        <v>5036</v>
      </c>
      <c r="I113" s="99">
        <v>5720</v>
      </c>
      <c r="J113" s="43"/>
      <c r="K113" s="43"/>
      <c r="L113" s="43"/>
    </row>
    <row r="114" spans="2:12" x14ac:dyDescent="0.2">
      <c r="B114" s="83" t="s">
        <v>8</v>
      </c>
      <c r="C114" s="40" t="s">
        <v>224</v>
      </c>
      <c r="D114" s="40" t="s">
        <v>321</v>
      </c>
      <c r="E114" s="40">
        <v>3023</v>
      </c>
      <c r="F114" s="40">
        <v>3027</v>
      </c>
      <c r="G114" s="40">
        <v>2834</v>
      </c>
      <c r="H114" s="40">
        <v>4080</v>
      </c>
      <c r="I114" s="99">
        <v>4260</v>
      </c>
      <c r="J114" s="43"/>
      <c r="K114" s="43"/>
      <c r="L114" s="43"/>
    </row>
    <row r="115" spans="2:12" x14ac:dyDescent="0.2">
      <c r="B115" s="83" t="s">
        <v>8</v>
      </c>
      <c r="C115" s="40" t="s">
        <v>227</v>
      </c>
      <c r="D115" s="40" t="s">
        <v>322</v>
      </c>
      <c r="E115" s="40" t="s">
        <v>268</v>
      </c>
      <c r="F115" s="40" t="s">
        <v>268</v>
      </c>
      <c r="G115" s="40" t="s">
        <v>268</v>
      </c>
      <c r="H115" s="40" t="s">
        <v>268</v>
      </c>
      <c r="I115" s="99">
        <v>6278</v>
      </c>
      <c r="J115" s="43"/>
      <c r="K115" s="43"/>
      <c r="L115" s="43"/>
    </row>
    <row r="116" spans="2:12" x14ac:dyDescent="0.2">
      <c r="B116" s="83" t="s">
        <v>8</v>
      </c>
      <c r="C116" s="40" t="s">
        <v>228</v>
      </c>
      <c r="D116" s="40" t="s">
        <v>323</v>
      </c>
      <c r="E116" s="40">
        <v>7102</v>
      </c>
      <c r="F116" s="40">
        <v>7099</v>
      </c>
      <c r="G116" s="40">
        <v>5140</v>
      </c>
      <c r="H116" s="40">
        <v>8760</v>
      </c>
      <c r="I116" s="99">
        <v>8162</v>
      </c>
      <c r="J116" s="43"/>
      <c r="K116" s="43"/>
      <c r="L116" s="43"/>
    </row>
    <row r="117" spans="2:12" x14ac:dyDescent="0.2">
      <c r="B117" s="83" t="s">
        <v>8</v>
      </c>
      <c r="C117" s="40" t="s">
        <v>230</v>
      </c>
      <c r="D117" s="40" t="s">
        <v>324</v>
      </c>
      <c r="E117" s="40">
        <v>4804</v>
      </c>
      <c r="F117" s="40">
        <v>4805</v>
      </c>
      <c r="G117" s="40">
        <v>4718</v>
      </c>
      <c r="H117" s="40">
        <v>6280</v>
      </c>
      <c r="I117" s="99">
        <v>8162</v>
      </c>
      <c r="J117" s="43"/>
      <c r="K117" s="43"/>
      <c r="L117" s="43"/>
    </row>
    <row r="118" spans="2:12" x14ac:dyDescent="0.2">
      <c r="B118" s="83" t="s">
        <v>8</v>
      </c>
      <c r="C118" s="40" t="s">
        <v>232</v>
      </c>
      <c r="D118" s="40" t="s">
        <v>325</v>
      </c>
      <c r="E118" s="40">
        <v>2013</v>
      </c>
      <c r="F118" s="40">
        <v>2013</v>
      </c>
      <c r="G118" s="40">
        <v>2009</v>
      </c>
      <c r="H118" s="40">
        <v>1555</v>
      </c>
      <c r="I118" s="99">
        <v>3705</v>
      </c>
      <c r="J118" s="43"/>
      <c r="K118" s="43"/>
      <c r="L118" s="43"/>
    </row>
    <row r="119" spans="2:12" x14ac:dyDescent="0.2">
      <c r="B119" s="83" t="s">
        <v>8</v>
      </c>
      <c r="C119" s="40" t="s">
        <v>234</v>
      </c>
      <c r="D119" s="40" t="s">
        <v>326</v>
      </c>
      <c r="E119" s="40" t="s">
        <v>268</v>
      </c>
      <c r="F119" s="40" t="s">
        <v>268</v>
      </c>
      <c r="G119" s="40" t="s">
        <v>268</v>
      </c>
      <c r="H119" s="40" t="s">
        <v>268</v>
      </c>
      <c r="I119" s="99">
        <v>4861</v>
      </c>
      <c r="J119" s="43"/>
      <c r="K119" s="43"/>
      <c r="L119" s="43"/>
    </row>
    <row r="120" spans="2:12" x14ac:dyDescent="0.2">
      <c r="B120" s="83" t="s">
        <v>8</v>
      </c>
      <c r="C120" s="40" t="s">
        <v>233</v>
      </c>
      <c r="D120" s="40" t="s">
        <v>327</v>
      </c>
      <c r="E120" s="40">
        <v>7225</v>
      </c>
      <c r="F120" s="40">
        <v>7224</v>
      </c>
      <c r="G120" s="40">
        <v>6625</v>
      </c>
      <c r="H120" s="40">
        <v>6829</v>
      </c>
      <c r="I120" s="99">
        <v>8162</v>
      </c>
      <c r="J120" s="43"/>
      <c r="K120" s="43"/>
      <c r="L120" s="43"/>
    </row>
    <row r="121" spans="2:12" x14ac:dyDescent="0.2">
      <c r="B121" s="83" t="s">
        <v>8</v>
      </c>
      <c r="C121" s="40" t="s">
        <v>111</v>
      </c>
      <c r="D121" s="40" t="s">
        <v>328</v>
      </c>
      <c r="E121" s="40">
        <v>2203</v>
      </c>
      <c r="F121" s="40">
        <v>2203</v>
      </c>
      <c r="G121" s="40">
        <v>2181</v>
      </c>
      <c r="H121" s="40">
        <v>3611</v>
      </c>
      <c r="I121" s="99">
        <v>4138</v>
      </c>
      <c r="J121" s="43"/>
      <c r="K121" s="43"/>
      <c r="L121" s="43"/>
    </row>
    <row r="122" spans="2:12" x14ac:dyDescent="0.2">
      <c r="B122" s="83" t="s">
        <v>8</v>
      </c>
      <c r="C122" s="40" t="s">
        <v>237</v>
      </c>
      <c r="D122" s="40" t="s">
        <v>329</v>
      </c>
      <c r="E122" s="40" t="s">
        <v>268</v>
      </c>
      <c r="F122" s="40" t="s">
        <v>268</v>
      </c>
      <c r="G122" s="40" t="s">
        <v>268</v>
      </c>
      <c r="H122" s="40" t="s">
        <v>268</v>
      </c>
      <c r="I122" s="99">
        <v>5930</v>
      </c>
      <c r="J122" s="43"/>
      <c r="K122" s="43"/>
      <c r="L122" s="43"/>
    </row>
    <row r="123" spans="2:12" x14ac:dyDescent="0.2">
      <c r="B123" s="83" t="s">
        <v>8</v>
      </c>
      <c r="C123" s="40" t="s">
        <v>236</v>
      </c>
      <c r="D123" s="40" t="s">
        <v>330</v>
      </c>
      <c r="E123" s="40">
        <v>3688</v>
      </c>
      <c r="F123" s="40">
        <v>3688</v>
      </c>
      <c r="G123" s="40">
        <v>3636</v>
      </c>
      <c r="H123" s="40">
        <v>2960</v>
      </c>
      <c r="I123" s="99">
        <v>4806</v>
      </c>
      <c r="J123" s="43"/>
      <c r="K123" s="43"/>
      <c r="L123" s="43"/>
    </row>
    <row r="124" spans="2:12" x14ac:dyDescent="0.2">
      <c r="B124" s="83" t="s">
        <v>8</v>
      </c>
      <c r="C124" s="40" t="s">
        <v>238</v>
      </c>
      <c r="D124" s="40" t="s">
        <v>331</v>
      </c>
      <c r="E124" s="40" t="s">
        <v>268</v>
      </c>
      <c r="F124" s="40" t="s">
        <v>268</v>
      </c>
      <c r="G124" s="40" t="s">
        <v>268</v>
      </c>
      <c r="H124" s="40" t="s">
        <v>268</v>
      </c>
      <c r="I124" s="99">
        <v>4865</v>
      </c>
      <c r="J124" s="43"/>
      <c r="K124" s="43"/>
      <c r="L124" s="43"/>
    </row>
    <row r="125" spans="2:12" x14ac:dyDescent="0.2">
      <c r="B125" s="83" t="s">
        <v>8</v>
      </c>
      <c r="C125" s="40" t="s">
        <v>239</v>
      </c>
      <c r="D125" s="40" t="s">
        <v>332</v>
      </c>
      <c r="E125" s="40" t="s">
        <v>268</v>
      </c>
      <c r="F125" s="40" t="s">
        <v>268</v>
      </c>
      <c r="G125" s="40" t="s">
        <v>268</v>
      </c>
      <c r="H125" s="40" t="s">
        <v>268</v>
      </c>
      <c r="I125" s="99">
        <v>3765</v>
      </c>
      <c r="J125" s="43"/>
      <c r="K125" s="43"/>
      <c r="L125" s="43"/>
    </row>
    <row r="126" spans="2:12" x14ac:dyDescent="0.2">
      <c r="B126" s="83" t="s">
        <v>6</v>
      </c>
      <c r="C126" s="40" t="s">
        <v>219</v>
      </c>
      <c r="D126" s="40" t="s">
        <v>333</v>
      </c>
      <c r="E126" s="40">
        <v>4503</v>
      </c>
      <c r="F126" s="40">
        <v>4503</v>
      </c>
      <c r="G126" s="40">
        <v>3998</v>
      </c>
      <c r="H126" s="40">
        <v>4250</v>
      </c>
      <c r="I126" s="99">
        <v>4955</v>
      </c>
      <c r="J126" s="43"/>
      <c r="K126" s="43"/>
      <c r="L126" s="43"/>
    </row>
    <row r="127" spans="2:12" x14ac:dyDescent="0.2">
      <c r="B127" s="83" t="s">
        <v>6</v>
      </c>
      <c r="C127" s="40" t="s">
        <v>224</v>
      </c>
      <c r="D127" s="40" t="s">
        <v>334</v>
      </c>
      <c r="E127" s="40">
        <v>3030</v>
      </c>
      <c r="F127" s="40">
        <v>3046</v>
      </c>
      <c r="G127" s="40">
        <v>2818</v>
      </c>
      <c r="H127" s="40">
        <v>3492</v>
      </c>
      <c r="I127" s="99">
        <v>3647</v>
      </c>
      <c r="J127" s="43"/>
      <c r="K127" s="43"/>
      <c r="L127" s="43"/>
    </row>
    <row r="128" spans="2:12" x14ac:dyDescent="0.2">
      <c r="B128" s="83" t="s">
        <v>6</v>
      </c>
      <c r="C128" s="40" t="s">
        <v>227</v>
      </c>
      <c r="D128" s="40" t="s">
        <v>335</v>
      </c>
      <c r="E128" s="40" t="s">
        <v>268</v>
      </c>
      <c r="F128" s="40" t="s">
        <v>268</v>
      </c>
      <c r="G128" s="40" t="s">
        <v>268</v>
      </c>
      <c r="H128" s="40" t="s">
        <v>268</v>
      </c>
      <c r="I128" s="99">
        <v>5659</v>
      </c>
      <c r="J128" s="43"/>
      <c r="K128" s="43"/>
      <c r="L128" s="43"/>
    </row>
    <row r="129" spans="2:12" x14ac:dyDescent="0.2">
      <c r="B129" s="83" t="s">
        <v>6</v>
      </c>
      <c r="C129" s="40" t="s">
        <v>228</v>
      </c>
      <c r="D129" s="40" t="s">
        <v>336</v>
      </c>
      <c r="E129" s="40">
        <v>6346</v>
      </c>
      <c r="F129" s="40">
        <v>6343</v>
      </c>
      <c r="G129" s="40">
        <v>4093</v>
      </c>
      <c r="H129" s="40">
        <v>8760</v>
      </c>
      <c r="I129" s="99">
        <v>7407</v>
      </c>
      <c r="J129" s="43"/>
      <c r="K129" s="43"/>
      <c r="L129" s="43"/>
    </row>
    <row r="130" spans="2:12" x14ac:dyDescent="0.2">
      <c r="B130" s="83" t="s">
        <v>6</v>
      </c>
      <c r="C130" s="40" t="s">
        <v>230</v>
      </c>
      <c r="D130" s="40" t="s">
        <v>337</v>
      </c>
      <c r="E130" s="40">
        <v>4555</v>
      </c>
      <c r="F130" s="40">
        <v>4558</v>
      </c>
      <c r="G130" s="40">
        <v>4135</v>
      </c>
      <c r="H130" s="40">
        <v>5823</v>
      </c>
      <c r="I130" s="99">
        <v>7407</v>
      </c>
      <c r="J130" s="43"/>
      <c r="K130" s="43"/>
      <c r="L130" s="43"/>
    </row>
    <row r="131" spans="2:12" x14ac:dyDescent="0.2">
      <c r="B131" s="83" t="s">
        <v>6</v>
      </c>
      <c r="C131" s="40" t="s">
        <v>232</v>
      </c>
      <c r="D131" s="40" t="s">
        <v>338</v>
      </c>
      <c r="E131" s="40">
        <v>1934</v>
      </c>
      <c r="F131" s="40">
        <v>1934</v>
      </c>
      <c r="G131" s="40">
        <v>1928</v>
      </c>
      <c r="H131" s="40">
        <v>1184</v>
      </c>
      <c r="I131" s="99">
        <v>3187</v>
      </c>
      <c r="J131" s="43"/>
      <c r="K131" s="43"/>
      <c r="L131" s="43"/>
    </row>
    <row r="132" spans="2:12" x14ac:dyDescent="0.2">
      <c r="B132" s="83" t="s">
        <v>6</v>
      </c>
      <c r="C132" s="40" t="s">
        <v>234</v>
      </c>
      <c r="D132" s="40" t="s">
        <v>339</v>
      </c>
      <c r="E132" s="40" t="s">
        <v>268</v>
      </c>
      <c r="F132" s="40" t="s">
        <v>268</v>
      </c>
      <c r="G132" s="40" t="s">
        <v>268</v>
      </c>
      <c r="H132" s="40" t="s">
        <v>268</v>
      </c>
      <c r="I132" s="99">
        <v>4373</v>
      </c>
      <c r="J132" s="43"/>
      <c r="K132" s="43"/>
      <c r="L132" s="43"/>
    </row>
    <row r="133" spans="2:12" x14ac:dyDescent="0.2">
      <c r="B133" s="83" t="s">
        <v>6</v>
      </c>
      <c r="C133" s="40" t="s">
        <v>233</v>
      </c>
      <c r="D133" s="40" t="s">
        <v>340</v>
      </c>
      <c r="E133" s="40">
        <v>6710</v>
      </c>
      <c r="F133" s="40">
        <v>6708</v>
      </c>
      <c r="G133" s="40">
        <v>6182</v>
      </c>
      <c r="H133" s="40">
        <v>6155</v>
      </c>
      <c r="I133" s="99">
        <v>7407</v>
      </c>
      <c r="J133" s="43"/>
      <c r="K133" s="43"/>
      <c r="L133" s="43"/>
    </row>
    <row r="134" spans="2:12" x14ac:dyDescent="0.2">
      <c r="B134" s="83" t="s">
        <v>6</v>
      </c>
      <c r="C134" s="40" t="s">
        <v>111</v>
      </c>
      <c r="D134" s="40" t="s">
        <v>341</v>
      </c>
      <c r="E134" s="40">
        <v>2002</v>
      </c>
      <c r="F134" s="40">
        <v>2002</v>
      </c>
      <c r="G134" s="40">
        <v>1989</v>
      </c>
      <c r="H134" s="40">
        <v>3014</v>
      </c>
      <c r="I134" s="99">
        <v>3456</v>
      </c>
      <c r="J134" s="43"/>
      <c r="K134" s="43"/>
      <c r="L134" s="43"/>
    </row>
    <row r="135" spans="2:12" x14ac:dyDescent="0.2">
      <c r="B135" s="83" t="s">
        <v>6</v>
      </c>
      <c r="C135" s="40" t="s">
        <v>237</v>
      </c>
      <c r="D135" s="40" t="s">
        <v>342</v>
      </c>
      <c r="E135" s="40" t="s">
        <v>268</v>
      </c>
      <c r="F135" s="40" t="s">
        <v>268</v>
      </c>
      <c r="G135" s="40" t="s">
        <v>268</v>
      </c>
      <c r="H135" s="40" t="s">
        <v>268</v>
      </c>
      <c r="I135" s="99">
        <v>5287</v>
      </c>
      <c r="J135" s="43"/>
      <c r="K135" s="43"/>
      <c r="L135" s="43"/>
    </row>
    <row r="136" spans="2:12" x14ac:dyDescent="0.2">
      <c r="B136" s="83" t="s">
        <v>6</v>
      </c>
      <c r="C136" s="40" t="s">
        <v>236</v>
      </c>
      <c r="D136" s="40" t="s">
        <v>343</v>
      </c>
      <c r="E136" s="40">
        <v>3424</v>
      </c>
      <c r="F136" s="40">
        <v>3424</v>
      </c>
      <c r="G136" s="40">
        <v>3358</v>
      </c>
      <c r="H136" s="40">
        <v>2561</v>
      </c>
      <c r="I136" s="99">
        <v>4319</v>
      </c>
      <c r="J136" s="43"/>
      <c r="K136" s="43"/>
      <c r="L136" s="43"/>
    </row>
    <row r="137" spans="2:12" x14ac:dyDescent="0.2">
      <c r="B137" s="83" t="s">
        <v>6</v>
      </c>
      <c r="C137" s="40" t="s">
        <v>238</v>
      </c>
      <c r="D137" s="40" t="s">
        <v>344</v>
      </c>
      <c r="E137" s="40" t="s">
        <v>268</v>
      </c>
      <c r="F137" s="40" t="s">
        <v>268</v>
      </c>
      <c r="G137" s="40" t="s">
        <v>268</v>
      </c>
      <c r="H137" s="40" t="s">
        <v>268</v>
      </c>
      <c r="I137" s="99">
        <v>4211</v>
      </c>
      <c r="J137" s="43"/>
      <c r="K137" s="43"/>
      <c r="L137" s="43"/>
    </row>
    <row r="138" spans="2:12" x14ac:dyDescent="0.2">
      <c r="B138" s="83" t="s">
        <v>6</v>
      </c>
      <c r="C138" s="40" t="s">
        <v>239</v>
      </c>
      <c r="D138" s="40" t="s">
        <v>345</v>
      </c>
      <c r="E138" s="40" t="s">
        <v>268</v>
      </c>
      <c r="F138" s="40" t="s">
        <v>268</v>
      </c>
      <c r="G138" s="40" t="s">
        <v>268</v>
      </c>
      <c r="H138" s="40" t="s">
        <v>268</v>
      </c>
      <c r="I138" s="99">
        <v>3417</v>
      </c>
      <c r="J138" s="43"/>
      <c r="K138" s="43"/>
      <c r="L138" s="43"/>
    </row>
    <row r="139" spans="2:12" x14ac:dyDescent="0.2">
      <c r="B139" s="83" t="s">
        <v>16</v>
      </c>
      <c r="C139" s="40" t="s">
        <v>219</v>
      </c>
      <c r="D139" s="40" t="s">
        <v>346</v>
      </c>
      <c r="E139" s="40">
        <v>5259</v>
      </c>
      <c r="F139" s="40">
        <v>5257</v>
      </c>
      <c r="G139" s="40">
        <v>4917</v>
      </c>
      <c r="H139" s="40">
        <v>4014</v>
      </c>
      <c r="I139" s="99">
        <v>5756</v>
      </c>
      <c r="J139" s="43"/>
      <c r="K139" s="43"/>
      <c r="L139" s="43"/>
    </row>
    <row r="140" spans="2:12" x14ac:dyDescent="0.2">
      <c r="B140" s="83" t="s">
        <v>16</v>
      </c>
      <c r="C140" s="40" t="s">
        <v>224</v>
      </c>
      <c r="D140" s="40" t="s">
        <v>347</v>
      </c>
      <c r="E140" s="40">
        <v>4276</v>
      </c>
      <c r="F140" s="40">
        <v>4291</v>
      </c>
      <c r="G140" s="40">
        <v>4082</v>
      </c>
      <c r="H140" s="40">
        <v>3341</v>
      </c>
      <c r="I140" s="99">
        <v>4230</v>
      </c>
      <c r="J140" s="43"/>
      <c r="K140" s="43"/>
      <c r="L140" s="43"/>
    </row>
    <row r="141" spans="2:12" x14ac:dyDescent="0.2">
      <c r="B141" s="83" t="s">
        <v>16</v>
      </c>
      <c r="C141" s="40" t="s">
        <v>227</v>
      </c>
      <c r="D141" s="40" t="s">
        <v>348</v>
      </c>
      <c r="E141" s="40" t="s">
        <v>268</v>
      </c>
      <c r="F141" s="40" t="s">
        <v>268</v>
      </c>
      <c r="G141" s="40" t="s">
        <v>268</v>
      </c>
      <c r="H141" s="40" t="s">
        <v>268</v>
      </c>
      <c r="I141" s="99">
        <v>6435</v>
      </c>
      <c r="J141" s="43"/>
      <c r="K141" s="43"/>
      <c r="L141" s="43"/>
    </row>
    <row r="142" spans="2:12" x14ac:dyDescent="0.2">
      <c r="B142" s="83" t="s">
        <v>16</v>
      </c>
      <c r="C142" s="40" t="s">
        <v>228</v>
      </c>
      <c r="D142" s="40" t="s">
        <v>349</v>
      </c>
      <c r="E142" s="40">
        <v>7425</v>
      </c>
      <c r="F142" s="40">
        <v>7422</v>
      </c>
      <c r="G142" s="40">
        <v>5085</v>
      </c>
      <c r="H142" s="40">
        <v>8760</v>
      </c>
      <c r="I142" s="99">
        <v>8452</v>
      </c>
      <c r="J142" s="43"/>
      <c r="K142" s="43"/>
      <c r="L142" s="43"/>
    </row>
    <row r="143" spans="2:12" x14ac:dyDescent="0.2">
      <c r="B143" s="83" t="s">
        <v>16</v>
      </c>
      <c r="C143" s="40" t="s">
        <v>230</v>
      </c>
      <c r="D143" s="40" t="s">
        <v>350</v>
      </c>
      <c r="E143" s="40">
        <v>5533</v>
      </c>
      <c r="F143" s="40">
        <v>5535</v>
      </c>
      <c r="G143" s="40">
        <v>5251</v>
      </c>
      <c r="H143" s="40">
        <v>5477</v>
      </c>
      <c r="I143" s="99">
        <v>8452</v>
      </c>
      <c r="J143" s="43"/>
      <c r="K143" s="43"/>
      <c r="L143" s="43"/>
    </row>
    <row r="144" spans="2:12" x14ac:dyDescent="0.2">
      <c r="B144" s="83" t="s">
        <v>16</v>
      </c>
      <c r="C144" s="40" t="s">
        <v>232</v>
      </c>
      <c r="D144" s="40" t="s">
        <v>351</v>
      </c>
      <c r="E144" s="40">
        <v>2307</v>
      </c>
      <c r="F144" s="40">
        <v>2307</v>
      </c>
      <c r="G144" s="40">
        <v>2305</v>
      </c>
      <c r="H144" s="40">
        <v>1028</v>
      </c>
      <c r="I144" s="99">
        <v>3703</v>
      </c>
      <c r="J144" s="43"/>
      <c r="K144" s="43"/>
      <c r="L144" s="43"/>
    </row>
    <row r="145" spans="2:12" x14ac:dyDescent="0.2">
      <c r="B145" s="83" t="s">
        <v>16</v>
      </c>
      <c r="C145" s="40" t="s">
        <v>234</v>
      </c>
      <c r="D145" s="40" t="s">
        <v>352</v>
      </c>
      <c r="E145" s="40" t="s">
        <v>268</v>
      </c>
      <c r="F145" s="40" t="s">
        <v>268</v>
      </c>
      <c r="G145" s="40" t="s">
        <v>268</v>
      </c>
      <c r="H145" s="40" t="s">
        <v>268</v>
      </c>
      <c r="I145" s="99">
        <v>5004</v>
      </c>
      <c r="J145" s="43"/>
      <c r="K145" s="43"/>
      <c r="L145" s="43"/>
    </row>
    <row r="146" spans="2:12" x14ac:dyDescent="0.2">
      <c r="B146" s="83" t="s">
        <v>16</v>
      </c>
      <c r="C146" s="40" t="s">
        <v>233</v>
      </c>
      <c r="D146" s="40" t="s">
        <v>353</v>
      </c>
      <c r="E146" s="40">
        <v>7516</v>
      </c>
      <c r="F146" s="40">
        <v>7514</v>
      </c>
      <c r="G146" s="40">
        <v>7181</v>
      </c>
      <c r="H146" s="40">
        <v>6077</v>
      </c>
      <c r="I146" s="99">
        <v>8452</v>
      </c>
      <c r="J146" s="43"/>
      <c r="K146" s="43"/>
      <c r="L146" s="43"/>
    </row>
    <row r="147" spans="2:12" x14ac:dyDescent="0.2">
      <c r="B147" s="83" t="s">
        <v>16</v>
      </c>
      <c r="C147" s="40" t="s">
        <v>111</v>
      </c>
      <c r="D147" s="40" t="s">
        <v>354</v>
      </c>
      <c r="E147" s="40">
        <v>2484</v>
      </c>
      <c r="F147" s="40">
        <v>2484</v>
      </c>
      <c r="G147" s="40">
        <v>2473</v>
      </c>
      <c r="H147" s="40">
        <v>2690</v>
      </c>
      <c r="I147" s="99">
        <v>3920</v>
      </c>
      <c r="J147" s="43"/>
      <c r="K147" s="43"/>
      <c r="L147" s="43"/>
    </row>
    <row r="148" spans="2:12" x14ac:dyDescent="0.2">
      <c r="B148" s="83" t="s">
        <v>16</v>
      </c>
      <c r="C148" s="40" t="s">
        <v>237</v>
      </c>
      <c r="D148" s="40" t="s">
        <v>355</v>
      </c>
      <c r="E148" s="40" t="s">
        <v>268</v>
      </c>
      <c r="F148" s="40" t="s">
        <v>268</v>
      </c>
      <c r="G148" s="40" t="s">
        <v>268</v>
      </c>
      <c r="H148" s="40" t="s">
        <v>268</v>
      </c>
      <c r="I148" s="99">
        <v>6007</v>
      </c>
      <c r="J148" s="43"/>
      <c r="K148" s="43"/>
      <c r="L148" s="43"/>
    </row>
    <row r="149" spans="2:12" x14ac:dyDescent="0.2">
      <c r="B149" s="83" t="s">
        <v>16</v>
      </c>
      <c r="C149" s="40" t="s">
        <v>236</v>
      </c>
      <c r="D149" s="40" t="s">
        <v>356</v>
      </c>
      <c r="E149" s="40">
        <v>3935</v>
      </c>
      <c r="F149" s="40">
        <v>3936</v>
      </c>
      <c r="G149" s="40">
        <v>3886</v>
      </c>
      <c r="H149" s="40">
        <v>2398</v>
      </c>
      <c r="I149" s="99">
        <v>4913</v>
      </c>
      <c r="J149" s="43"/>
      <c r="K149" s="43"/>
      <c r="L149" s="43"/>
    </row>
    <row r="150" spans="2:12" x14ac:dyDescent="0.2">
      <c r="B150" s="83" t="s">
        <v>16</v>
      </c>
      <c r="C150" s="40" t="s">
        <v>238</v>
      </c>
      <c r="D150" s="40" t="s">
        <v>357</v>
      </c>
      <c r="E150" s="40" t="s">
        <v>268</v>
      </c>
      <c r="F150" s="40" t="s">
        <v>268</v>
      </c>
      <c r="G150" s="40" t="s">
        <v>268</v>
      </c>
      <c r="H150" s="40" t="s">
        <v>268</v>
      </c>
      <c r="I150" s="99">
        <v>4987</v>
      </c>
      <c r="J150" s="43"/>
      <c r="K150" s="43"/>
      <c r="L150" s="43"/>
    </row>
    <row r="151" spans="2:12" x14ac:dyDescent="0.2">
      <c r="B151" s="83" t="s">
        <v>16</v>
      </c>
      <c r="C151" s="40" t="s">
        <v>239</v>
      </c>
      <c r="D151" s="40" t="s">
        <v>358</v>
      </c>
      <c r="E151" s="40" t="s">
        <v>268</v>
      </c>
      <c r="F151" s="40" t="s">
        <v>268</v>
      </c>
      <c r="G151" s="40" t="s">
        <v>268</v>
      </c>
      <c r="H151" s="40" t="s">
        <v>268</v>
      </c>
      <c r="I151" s="99">
        <v>3899</v>
      </c>
      <c r="J151" s="43"/>
      <c r="K151" s="43"/>
      <c r="L151" s="43"/>
    </row>
    <row r="152" spans="2:12" x14ac:dyDescent="0.2">
      <c r="B152" s="83" t="s">
        <v>4</v>
      </c>
      <c r="C152" s="40" t="s">
        <v>219</v>
      </c>
      <c r="D152" s="40" t="s">
        <v>359</v>
      </c>
      <c r="E152" s="40">
        <v>4621</v>
      </c>
      <c r="F152" s="40">
        <v>4619</v>
      </c>
      <c r="G152" s="40">
        <v>4424</v>
      </c>
      <c r="H152" s="40">
        <v>4572</v>
      </c>
      <c r="I152" s="99">
        <v>5646</v>
      </c>
      <c r="J152" s="43"/>
      <c r="K152" s="43"/>
      <c r="L152" s="43"/>
    </row>
    <row r="153" spans="2:12" x14ac:dyDescent="0.2">
      <c r="B153" s="83" t="s">
        <v>4</v>
      </c>
      <c r="C153" s="40" t="s">
        <v>224</v>
      </c>
      <c r="D153" s="40" t="s">
        <v>360</v>
      </c>
      <c r="E153" s="40">
        <v>3158</v>
      </c>
      <c r="F153" s="40">
        <v>3168</v>
      </c>
      <c r="G153" s="40">
        <v>2843</v>
      </c>
      <c r="H153" s="40">
        <v>3705</v>
      </c>
      <c r="I153" s="99">
        <v>4167</v>
      </c>
      <c r="J153" s="43"/>
      <c r="K153" s="43"/>
      <c r="L153" s="43"/>
    </row>
    <row r="154" spans="2:12" x14ac:dyDescent="0.2">
      <c r="B154" s="83" t="s">
        <v>4</v>
      </c>
      <c r="C154" s="40" t="s">
        <v>227</v>
      </c>
      <c r="D154" s="40" t="s">
        <v>361</v>
      </c>
      <c r="E154" s="40" t="s">
        <v>268</v>
      </c>
      <c r="F154" s="40" t="s">
        <v>268</v>
      </c>
      <c r="G154" s="40" t="s">
        <v>268</v>
      </c>
      <c r="H154" s="40" t="s">
        <v>268</v>
      </c>
      <c r="I154" s="99">
        <v>6340</v>
      </c>
      <c r="J154" s="43"/>
      <c r="K154" s="43"/>
      <c r="L154" s="43"/>
    </row>
    <row r="155" spans="2:12" x14ac:dyDescent="0.2">
      <c r="B155" s="83" t="s">
        <v>4</v>
      </c>
      <c r="C155" s="40" t="s">
        <v>228</v>
      </c>
      <c r="D155" s="40" t="s">
        <v>362</v>
      </c>
      <c r="E155" s="40">
        <v>6600</v>
      </c>
      <c r="F155" s="40">
        <v>6597</v>
      </c>
      <c r="G155" s="40">
        <v>4830</v>
      </c>
      <c r="H155" s="40">
        <v>8760</v>
      </c>
      <c r="I155" s="99">
        <v>8268</v>
      </c>
      <c r="J155" s="43"/>
      <c r="K155" s="43"/>
      <c r="L155" s="43"/>
    </row>
    <row r="156" spans="2:12" x14ac:dyDescent="0.2">
      <c r="B156" s="83" t="s">
        <v>4</v>
      </c>
      <c r="C156" s="40" t="s">
        <v>230</v>
      </c>
      <c r="D156" s="40" t="s">
        <v>363</v>
      </c>
      <c r="E156" s="40">
        <v>4602</v>
      </c>
      <c r="F156" s="40">
        <v>4604</v>
      </c>
      <c r="G156" s="40">
        <v>4214</v>
      </c>
      <c r="H156" s="40">
        <v>5991</v>
      </c>
      <c r="I156" s="99">
        <v>8268</v>
      </c>
      <c r="J156" s="43"/>
      <c r="K156" s="43"/>
      <c r="L156" s="43"/>
    </row>
    <row r="157" spans="2:12" x14ac:dyDescent="0.2">
      <c r="B157" s="83" t="s">
        <v>4</v>
      </c>
      <c r="C157" s="40" t="s">
        <v>232</v>
      </c>
      <c r="D157" s="40" t="s">
        <v>364</v>
      </c>
      <c r="E157" s="40">
        <v>1895</v>
      </c>
      <c r="F157" s="40">
        <v>1895</v>
      </c>
      <c r="G157" s="40">
        <v>1890</v>
      </c>
      <c r="H157" s="40">
        <v>1287</v>
      </c>
      <c r="I157" s="99">
        <v>3652</v>
      </c>
      <c r="J157" s="43"/>
      <c r="K157" s="43"/>
      <c r="L157" s="43"/>
    </row>
    <row r="158" spans="2:12" x14ac:dyDescent="0.2">
      <c r="B158" s="83" t="s">
        <v>4</v>
      </c>
      <c r="C158" s="40" t="s">
        <v>234</v>
      </c>
      <c r="D158" s="40" t="s">
        <v>365</v>
      </c>
      <c r="E158" s="40" t="s">
        <v>268</v>
      </c>
      <c r="F158" s="40" t="s">
        <v>268</v>
      </c>
      <c r="G158" s="40" t="s">
        <v>268</v>
      </c>
      <c r="H158" s="40" t="s">
        <v>268</v>
      </c>
      <c r="I158" s="99">
        <v>4909</v>
      </c>
      <c r="J158" s="43"/>
      <c r="K158" s="43"/>
      <c r="L158" s="43"/>
    </row>
    <row r="159" spans="2:12" x14ac:dyDescent="0.2">
      <c r="B159" s="83" t="s">
        <v>4</v>
      </c>
      <c r="C159" s="40" t="s">
        <v>233</v>
      </c>
      <c r="D159" s="40" t="s">
        <v>366</v>
      </c>
      <c r="E159" s="40">
        <v>6709</v>
      </c>
      <c r="F159" s="40">
        <v>6706</v>
      </c>
      <c r="G159" s="40">
        <v>6182</v>
      </c>
      <c r="H159" s="40">
        <v>6574</v>
      </c>
      <c r="I159" s="99">
        <v>8268</v>
      </c>
      <c r="J159" s="43"/>
      <c r="K159" s="43"/>
      <c r="L159" s="43"/>
    </row>
    <row r="160" spans="2:12" x14ac:dyDescent="0.2">
      <c r="B160" s="83" t="s">
        <v>4</v>
      </c>
      <c r="C160" s="40" t="s">
        <v>111</v>
      </c>
      <c r="D160" s="40" t="s">
        <v>367</v>
      </c>
      <c r="E160" s="40">
        <v>2052</v>
      </c>
      <c r="F160" s="40">
        <v>2052</v>
      </c>
      <c r="G160" s="40">
        <v>2041</v>
      </c>
      <c r="H160" s="40">
        <v>3246</v>
      </c>
      <c r="I160" s="99">
        <v>4002</v>
      </c>
      <c r="J160" s="43"/>
      <c r="K160" s="43"/>
      <c r="L160" s="43"/>
    </row>
    <row r="161" spans="2:12" x14ac:dyDescent="0.2">
      <c r="B161" s="83" t="s">
        <v>4</v>
      </c>
      <c r="C161" s="40" t="s">
        <v>237</v>
      </c>
      <c r="D161" s="40" t="s">
        <v>368</v>
      </c>
      <c r="E161" s="40" t="s">
        <v>268</v>
      </c>
      <c r="F161" s="40" t="s">
        <v>268</v>
      </c>
      <c r="G161" s="40" t="s">
        <v>268</v>
      </c>
      <c r="H161" s="40" t="s">
        <v>268</v>
      </c>
      <c r="I161" s="99">
        <v>5946</v>
      </c>
      <c r="J161" s="43"/>
      <c r="K161" s="43"/>
      <c r="L161" s="43"/>
    </row>
    <row r="162" spans="2:12" x14ac:dyDescent="0.2">
      <c r="B162" s="83" t="s">
        <v>4</v>
      </c>
      <c r="C162" s="40" t="s">
        <v>236</v>
      </c>
      <c r="D162" s="40" t="s">
        <v>369</v>
      </c>
      <c r="E162" s="40">
        <v>3298</v>
      </c>
      <c r="F162" s="40">
        <v>3298</v>
      </c>
      <c r="G162" s="40">
        <v>3253</v>
      </c>
      <c r="H162" s="40">
        <v>2908</v>
      </c>
      <c r="I162" s="99">
        <v>4857</v>
      </c>
      <c r="J162" s="43"/>
      <c r="K162" s="43"/>
      <c r="L162" s="43"/>
    </row>
    <row r="163" spans="2:12" x14ac:dyDescent="0.2">
      <c r="B163" s="83" t="s">
        <v>4</v>
      </c>
      <c r="C163" s="40" t="s">
        <v>238</v>
      </c>
      <c r="D163" s="40" t="s">
        <v>370</v>
      </c>
      <c r="E163" s="40" t="s">
        <v>268</v>
      </c>
      <c r="F163" s="40" t="s">
        <v>268</v>
      </c>
      <c r="G163" s="40" t="s">
        <v>268</v>
      </c>
      <c r="H163" s="40" t="s">
        <v>268</v>
      </c>
      <c r="I163" s="99">
        <v>4823</v>
      </c>
      <c r="J163" s="43"/>
      <c r="K163" s="43"/>
      <c r="L163" s="43"/>
    </row>
    <row r="164" spans="2:12" x14ac:dyDescent="0.2">
      <c r="B164" s="83" t="s">
        <v>4</v>
      </c>
      <c r="C164" s="40" t="s">
        <v>239</v>
      </c>
      <c r="D164" s="40" t="s">
        <v>371</v>
      </c>
      <c r="E164" s="40" t="s">
        <v>268</v>
      </c>
      <c r="F164" s="40" t="s">
        <v>268</v>
      </c>
      <c r="G164" s="40" t="s">
        <v>268</v>
      </c>
      <c r="H164" s="40" t="s">
        <v>268</v>
      </c>
      <c r="I164" s="99">
        <v>3814</v>
      </c>
      <c r="J164" s="43"/>
      <c r="K164" s="43"/>
      <c r="L164" s="43"/>
    </row>
    <row r="165" spans="2:12" x14ac:dyDescent="0.2">
      <c r="B165" s="83" t="s">
        <v>14</v>
      </c>
      <c r="C165" s="40" t="s">
        <v>219</v>
      </c>
      <c r="D165" s="40" t="s">
        <v>372</v>
      </c>
      <c r="E165" s="40">
        <v>5321</v>
      </c>
      <c r="F165" s="40">
        <v>5320</v>
      </c>
      <c r="G165" s="40">
        <v>4865</v>
      </c>
      <c r="H165" s="40">
        <v>4638</v>
      </c>
      <c r="I165" s="99">
        <v>5513</v>
      </c>
      <c r="J165" s="43"/>
      <c r="K165" s="43"/>
      <c r="L165" s="43"/>
    </row>
    <row r="166" spans="2:12" x14ac:dyDescent="0.2">
      <c r="B166" s="83" t="s">
        <v>14</v>
      </c>
      <c r="C166" s="40" t="s">
        <v>224</v>
      </c>
      <c r="D166" s="40" t="s">
        <v>373</v>
      </c>
      <c r="E166" s="40">
        <v>3211</v>
      </c>
      <c r="F166" s="40">
        <v>3215</v>
      </c>
      <c r="G166" s="40">
        <v>3008</v>
      </c>
      <c r="H166" s="40">
        <v>3830</v>
      </c>
      <c r="I166" s="99">
        <v>4212</v>
      </c>
      <c r="J166" s="43"/>
      <c r="K166" s="43"/>
      <c r="L166" s="43"/>
    </row>
    <row r="167" spans="2:12" x14ac:dyDescent="0.2">
      <c r="B167" s="83" t="s">
        <v>14</v>
      </c>
      <c r="C167" s="40" t="s">
        <v>227</v>
      </c>
      <c r="D167" s="40" t="s">
        <v>374</v>
      </c>
      <c r="E167" s="40" t="s">
        <v>268</v>
      </c>
      <c r="F167" s="40" t="s">
        <v>268</v>
      </c>
      <c r="G167" s="40" t="s">
        <v>268</v>
      </c>
      <c r="H167" s="40" t="s">
        <v>268</v>
      </c>
      <c r="I167" s="99">
        <v>6309</v>
      </c>
      <c r="J167" s="43"/>
      <c r="K167" s="43"/>
      <c r="L167" s="43"/>
    </row>
    <row r="168" spans="2:12" x14ac:dyDescent="0.2">
      <c r="B168" s="83" t="s">
        <v>14</v>
      </c>
      <c r="C168" s="40" t="s">
        <v>228</v>
      </c>
      <c r="D168" s="40" t="s">
        <v>375</v>
      </c>
      <c r="E168" s="40">
        <v>7320</v>
      </c>
      <c r="F168" s="40">
        <v>7316</v>
      </c>
      <c r="G168" s="40">
        <v>5161</v>
      </c>
      <c r="H168" s="40">
        <v>8760</v>
      </c>
      <c r="I168" s="99">
        <v>8219</v>
      </c>
      <c r="J168" s="43"/>
      <c r="K168" s="43"/>
      <c r="L168" s="43"/>
    </row>
    <row r="169" spans="2:12" x14ac:dyDescent="0.2">
      <c r="B169" s="83" t="s">
        <v>14</v>
      </c>
      <c r="C169" s="40" t="s">
        <v>230</v>
      </c>
      <c r="D169" s="40" t="s">
        <v>376</v>
      </c>
      <c r="E169" s="40">
        <v>5157</v>
      </c>
      <c r="F169" s="40">
        <v>5158</v>
      </c>
      <c r="G169" s="40">
        <v>5125</v>
      </c>
      <c r="H169" s="40">
        <v>6223</v>
      </c>
      <c r="I169" s="99">
        <v>8219</v>
      </c>
      <c r="J169" s="43"/>
      <c r="K169" s="43"/>
      <c r="L169" s="43"/>
    </row>
    <row r="170" spans="2:12" x14ac:dyDescent="0.2">
      <c r="B170" s="83" t="s">
        <v>14</v>
      </c>
      <c r="C170" s="40" t="s">
        <v>232</v>
      </c>
      <c r="D170" s="40" t="s">
        <v>377</v>
      </c>
      <c r="E170" s="40">
        <v>2166</v>
      </c>
      <c r="F170" s="40">
        <v>2166</v>
      </c>
      <c r="G170" s="40">
        <v>2166</v>
      </c>
      <c r="H170" s="40">
        <v>1393</v>
      </c>
      <c r="I170" s="99">
        <v>3661</v>
      </c>
      <c r="J170" s="43"/>
      <c r="K170" s="43"/>
      <c r="L170" s="43"/>
    </row>
    <row r="171" spans="2:12" x14ac:dyDescent="0.2">
      <c r="B171" s="83" t="s">
        <v>14</v>
      </c>
      <c r="C171" s="40" t="s">
        <v>234</v>
      </c>
      <c r="D171" s="40" t="s">
        <v>378</v>
      </c>
      <c r="E171" s="40" t="s">
        <v>268</v>
      </c>
      <c r="F171" s="40" t="s">
        <v>268</v>
      </c>
      <c r="G171" s="40" t="s">
        <v>268</v>
      </c>
      <c r="H171" s="40" t="s">
        <v>268</v>
      </c>
      <c r="I171" s="99">
        <v>4885</v>
      </c>
      <c r="J171" s="43"/>
      <c r="K171" s="43"/>
      <c r="L171" s="43"/>
    </row>
    <row r="172" spans="2:12" x14ac:dyDescent="0.2">
      <c r="B172" s="83" t="s">
        <v>14</v>
      </c>
      <c r="C172" s="40" t="s">
        <v>233</v>
      </c>
      <c r="D172" s="40" t="s">
        <v>379</v>
      </c>
      <c r="E172" s="40">
        <v>7860</v>
      </c>
      <c r="F172" s="40">
        <v>7856</v>
      </c>
      <c r="G172" s="40">
        <v>7441</v>
      </c>
      <c r="H172" s="40">
        <v>6628</v>
      </c>
      <c r="I172" s="99">
        <v>8219</v>
      </c>
      <c r="J172" s="43"/>
      <c r="K172" s="43"/>
      <c r="L172" s="43"/>
    </row>
    <row r="173" spans="2:12" x14ac:dyDescent="0.2">
      <c r="B173" s="83" t="s">
        <v>14</v>
      </c>
      <c r="C173" s="40" t="s">
        <v>111</v>
      </c>
      <c r="D173" s="40" t="s">
        <v>380</v>
      </c>
      <c r="E173" s="40">
        <v>2277</v>
      </c>
      <c r="F173" s="40">
        <v>2277</v>
      </c>
      <c r="G173" s="40">
        <v>2267</v>
      </c>
      <c r="H173" s="40">
        <v>3336</v>
      </c>
      <c r="I173" s="99">
        <v>3967</v>
      </c>
      <c r="J173" s="43"/>
      <c r="K173" s="43"/>
      <c r="L173" s="43"/>
    </row>
    <row r="174" spans="2:12" x14ac:dyDescent="0.2">
      <c r="B174" s="83" t="s">
        <v>14</v>
      </c>
      <c r="C174" s="40" t="s">
        <v>237</v>
      </c>
      <c r="D174" s="40" t="s">
        <v>381</v>
      </c>
      <c r="E174" s="40" t="s">
        <v>268</v>
      </c>
      <c r="F174" s="40" t="s">
        <v>268</v>
      </c>
      <c r="G174" s="40" t="s">
        <v>268</v>
      </c>
      <c r="H174" s="40" t="s">
        <v>268</v>
      </c>
      <c r="I174" s="99">
        <v>5925</v>
      </c>
      <c r="J174" s="43"/>
      <c r="K174" s="43"/>
      <c r="L174" s="43"/>
    </row>
    <row r="175" spans="2:12" x14ac:dyDescent="0.2">
      <c r="B175" s="83" t="s">
        <v>14</v>
      </c>
      <c r="C175" s="40" t="s">
        <v>236</v>
      </c>
      <c r="D175" s="40" t="s">
        <v>382</v>
      </c>
      <c r="E175" s="40">
        <v>3802</v>
      </c>
      <c r="F175" s="40">
        <v>3803</v>
      </c>
      <c r="G175" s="40">
        <v>3756</v>
      </c>
      <c r="H175" s="40">
        <v>2841</v>
      </c>
      <c r="I175" s="99">
        <v>4831</v>
      </c>
      <c r="J175" s="43"/>
      <c r="K175" s="43"/>
      <c r="L175" s="43"/>
    </row>
    <row r="176" spans="2:12" x14ac:dyDescent="0.2">
      <c r="B176" s="83" t="s">
        <v>14</v>
      </c>
      <c r="C176" s="40" t="s">
        <v>238</v>
      </c>
      <c r="D176" s="40" t="s">
        <v>383</v>
      </c>
      <c r="E176" s="40" t="s">
        <v>268</v>
      </c>
      <c r="F176" s="40" t="s">
        <v>268</v>
      </c>
      <c r="G176" s="40" t="s">
        <v>268</v>
      </c>
      <c r="H176" s="40" t="s">
        <v>268</v>
      </c>
      <c r="I176" s="99">
        <v>4867</v>
      </c>
      <c r="J176" s="43"/>
      <c r="K176" s="43"/>
      <c r="L176" s="43"/>
    </row>
    <row r="177" spans="2:12" x14ac:dyDescent="0.2">
      <c r="B177" s="83" t="s">
        <v>14</v>
      </c>
      <c r="C177" s="40" t="s">
        <v>239</v>
      </c>
      <c r="D177" s="40" t="s">
        <v>384</v>
      </c>
      <c r="E177" s="40" t="s">
        <v>268</v>
      </c>
      <c r="F177" s="40" t="s">
        <v>268</v>
      </c>
      <c r="G177" s="40" t="s">
        <v>268</v>
      </c>
      <c r="H177" s="40" t="s">
        <v>268</v>
      </c>
      <c r="I177" s="99">
        <v>3791</v>
      </c>
      <c r="J177" s="43"/>
      <c r="K177" s="43"/>
      <c r="L177" s="43"/>
    </row>
    <row r="178" spans="2:12" x14ac:dyDescent="0.2">
      <c r="B178" s="83" t="s">
        <v>12</v>
      </c>
      <c r="C178" s="40" t="s">
        <v>219</v>
      </c>
      <c r="D178" s="40" t="s">
        <v>385</v>
      </c>
      <c r="E178" s="40">
        <v>4414</v>
      </c>
      <c r="F178" s="40">
        <v>4413</v>
      </c>
      <c r="G178" s="40">
        <v>3977</v>
      </c>
      <c r="H178" s="40">
        <v>4487</v>
      </c>
      <c r="I178" s="99">
        <v>5818</v>
      </c>
      <c r="J178" s="43"/>
      <c r="K178" s="43"/>
      <c r="L178" s="43"/>
    </row>
    <row r="179" spans="2:12" x14ac:dyDescent="0.2">
      <c r="B179" s="83" t="s">
        <v>12</v>
      </c>
      <c r="C179" s="40" t="s">
        <v>224</v>
      </c>
      <c r="D179" s="40" t="s">
        <v>386</v>
      </c>
      <c r="E179" s="40">
        <v>2933</v>
      </c>
      <c r="F179" s="40">
        <v>2969</v>
      </c>
      <c r="G179" s="40">
        <v>2762</v>
      </c>
      <c r="H179" s="40">
        <v>3658</v>
      </c>
      <c r="I179" s="99">
        <v>4313</v>
      </c>
      <c r="J179" s="43"/>
      <c r="K179" s="43"/>
      <c r="L179" s="43"/>
    </row>
    <row r="180" spans="2:12" x14ac:dyDescent="0.2">
      <c r="B180" s="83" t="s">
        <v>12</v>
      </c>
      <c r="C180" s="40" t="s">
        <v>227</v>
      </c>
      <c r="D180" s="40" t="s">
        <v>387</v>
      </c>
      <c r="E180" s="40" t="s">
        <v>268</v>
      </c>
      <c r="F180" s="40" t="s">
        <v>268</v>
      </c>
      <c r="G180" s="40" t="s">
        <v>268</v>
      </c>
      <c r="H180" s="40" t="s">
        <v>268</v>
      </c>
      <c r="I180" s="99">
        <v>6612</v>
      </c>
      <c r="J180" s="43"/>
      <c r="K180" s="43"/>
      <c r="L180" s="43"/>
    </row>
    <row r="181" spans="2:12" x14ac:dyDescent="0.2">
      <c r="B181" s="83" t="s">
        <v>12</v>
      </c>
      <c r="C181" s="40" t="s">
        <v>228</v>
      </c>
      <c r="D181" s="40" t="s">
        <v>388</v>
      </c>
      <c r="E181" s="40">
        <v>6416</v>
      </c>
      <c r="F181" s="40">
        <v>6414</v>
      </c>
      <c r="G181" s="40">
        <v>4184</v>
      </c>
      <c r="H181" s="40">
        <v>8760</v>
      </c>
      <c r="I181" s="99">
        <v>8631</v>
      </c>
      <c r="J181" s="43"/>
      <c r="K181" s="43"/>
      <c r="L181" s="43"/>
    </row>
    <row r="182" spans="2:12" x14ac:dyDescent="0.2">
      <c r="B182" s="83" t="s">
        <v>12</v>
      </c>
      <c r="C182" s="40" t="s">
        <v>230</v>
      </c>
      <c r="D182" s="40" t="s">
        <v>389</v>
      </c>
      <c r="E182" s="40">
        <v>4353</v>
      </c>
      <c r="F182" s="40">
        <v>4354</v>
      </c>
      <c r="G182" s="40">
        <v>4243</v>
      </c>
      <c r="H182" s="40">
        <v>6045</v>
      </c>
      <c r="I182" s="99">
        <v>8631</v>
      </c>
      <c r="J182" s="43"/>
      <c r="K182" s="43"/>
      <c r="L182" s="43"/>
    </row>
    <row r="183" spans="2:12" x14ac:dyDescent="0.2">
      <c r="B183" s="83" t="s">
        <v>12</v>
      </c>
      <c r="C183" s="40" t="s">
        <v>232</v>
      </c>
      <c r="D183" s="40" t="s">
        <v>390</v>
      </c>
      <c r="E183" s="40">
        <v>1862</v>
      </c>
      <c r="F183" s="40">
        <v>1862</v>
      </c>
      <c r="G183" s="40">
        <v>1860</v>
      </c>
      <c r="H183" s="40">
        <v>1277</v>
      </c>
      <c r="I183" s="99">
        <v>3773</v>
      </c>
      <c r="J183" s="43"/>
      <c r="K183" s="43"/>
      <c r="L183" s="43"/>
    </row>
    <row r="184" spans="2:12" x14ac:dyDescent="0.2">
      <c r="B184" s="83" t="s">
        <v>12</v>
      </c>
      <c r="C184" s="40" t="s">
        <v>234</v>
      </c>
      <c r="D184" s="40" t="s">
        <v>391</v>
      </c>
      <c r="E184" s="40" t="s">
        <v>268</v>
      </c>
      <c r="F184" s="40" t="s">
        <v>268</v>
      </c>
      <c r="G184" s="40" t="s">
        <v>268</v>
      </c>
      <c r="H184" s="40" t="s">
        <v>268</v>
      </c>
      <c r="I184" s="99">
        <v>5108</v>
      </c>
      <c r="J184" s="43"/>
      <c r="K184" s="43"/>
      <c r="L184" s="43"/>
    </row>
    <row r="185" spans="2:12" x14ac:dyDescent="0.2">
      <c r="B185" s="83" t="s">
        <v>12</v>
      </c>
      <c r="C185" s="40" t="s">
        <v>233</v>
      </c>
      <c r="D185" s="40" t="s">
        <v>392</v>
      </c>
      <c r="E185" s="40">
        <v>6585</v>
      </c>
      <c r="F185" s="40">
        <v>6581</v>
      </c>
      <c r="G185" s="40">
        <v>6074</v>
      </c>
      <c r="H185" s="40">
        <v>6387</v>
      </c>
      <c r="I185" s="99">
        <v>8631</v>
      </c>
      <c r="J185" s="43"/>
      <c r="K185" s="43"/>
      <c r="L185" s="43"/>
    </row>
    <row r="186" spans="2:12" x14ac:dyDescent="0.2">
      <c r="B186" s="83" t="s">
        <v>12</v>
      </c>
      <c r="C186" s="40" t="s">
        <v>111</v>
      </c>
      <c r="D186" s="40" t="s">
        <v>393</v>
      </c>
      <c r="E186" s="40">
        <v>1951</v>
      </c>
      <c r="F186" s="40">
        <v>1951</v>
      </c>
      <c r="G186" s="40">
        <v>1940</v>
      </c>
      <c r="H186" s="40">
        <v>3169</v>
      </c>
      <c r="I186" s="99">
        <v>4078</v>
      </c>
      <c r="J186" s="43"/>
      <c r="K186" s="43"/>
      <c r="L186" s="43"/>
    </row>
    <row r="187" spans="2:12" x14ac:dyDescent="0.2">
      <c r="B187" s="83" t="s">
        <v>12</v>
      </c>
      <c r="C187" s="40" t="s">
        <v>237</v>
      </c>
      <c r="D187" s="40" t="s">
        <v>394</v>
      </c>
      <c r="E187" s="40" t="s">
        <v>268</v>
      </c>
      <c r="F187" s="40" t="s">
        <v>268</v>
      </c>
      <c r="G187" s="40" t="s">
        <v>268</v>
      </c>
      <c r="H187" s="40" t="s">
        <v>268</v>
      </c>
      <c r="I187" s="99">
        <v>6194</v>
      </c>
      <c r="J187" s="43"/>
      <c r="K187" s="43"/>
      <c r="L187" s="43"/>
    </row>
    <row r="188" spans="2:12" x14ac:dyDescent="0.2">
      <c r="B188" s="83" t="s">
        <v>12</v>
      </c>
      <c r="C188" s="40" t="s">
        <v>236</v>
      </c>
      <c r="D188" s="40" t="s">
        <v>395</v>
      </c>
      <c r="E188" s="40">
        <v>3304</v>
      </c>
      <c r="F188" s="40">
        <v>3304</v>
      </c>
      <c r="G188" s="40">
        <v>3246</v>
      </c>
      <c r="H188" s="40">
        <v>2660</v>
      </c>
      <c r="I188" s="99">
        <v>5059</v>
      </c>
      <c r="J188" s="43"/>
      <c r="K188" s="43"/>
      <c r="L188" s="43"/>
    </row>
    <row r="189" spans="2:12" x14ac:dyDescent="0.2">
      <c r="B189" s="83" t="s">
        <v>12</v>
      </c>
      <c r="C189" s="40" t="s">
        <v>238</v>
      </c>
      <c r="D189" s="40" t="s">
        <v>396</v>
      </c>
      <c r="E189" s="40" t="s">
        <v>268</v>
      </c>
      <c r="F189" s="40" t="s">
        <v>268</v>
      </c>
      <c r="G189" s="40" t="s">
        <v>268</v>
      </c>
      <c r="H189" s="40" t="s">
        <v>268</v>
      </c>
      <c r="I189" s="99">
        <v>4954</v>
      </c>
      <c r="J189" s="43"/>
      <c r="K189" s="43"/>
      <c r="L189" s="43"/>
    </row>
    <row r="190" spans="2:12" x14ac:dyDescent="0.2">
      <c r="B190" s="83" t="s">
        <v>12</v>
      </c>
      <c r="C190" s="40" t="s">
        <v>239</v>
      </c>
      <c r="D190" s="40" t="s">
        <v>397</v>
      </c>
      <c r="E190" s="40" t="s">
        <v>268</v>
      </c>
      <c r="F190" s="40" t="s">
        <v>268</v>
      </c>
      <c r="G190" s="40" t="s">
        <v>268</v>
      </c>
      <c r="H190" s="40" t="s">
        <v>268</v>
      </c>
      <c r="I190" s="99">
        <v>3982</v>
      </c>
      <c r="J190" s="43"/>
      <c r="K190" s="43"/>
      <c r="L190" s="43"/>
    </row>
    <row r="191" spans="2:12" x14ac:dyDescent="0.2">
      <c r="B191" s="97"/>
      <c r="C191" s="71"/>
      <c r="D191" s="71"/>
      <c r="E191" s="71"/>
      <c r="F191" s="71"/>
      <c r="G191" s="71"/>
      <c r="H191" s="71"/>
      <c r="I191" s="98"/>
      <c r="J191" s="43"/>
      <c r="K191" s="43"/>
      <c r="L191" s="43"/>
    </row>
    <row r="192" spans="2:12" x14ac:dyDescent="0.2">
      <c r="B192" s="83"/>
      <c r="C192" s="40"/>
      <c r="D192" s="40"/>
      <c r="E192" s="40"/>
      <c r="F192" s="40"/>
      <c r="G192" s="40"/>
      <c r="H192" s="40"/>
      <c r="I192" s="99"/>
      <c r="J192" s="43"/>
      <c r="K192" s="43"/>
      <c r="L192" s="43"/>
    </row>
    <row r="193" spans="2:12" x14ac:dyDescent="0.2">
      <c r="B193" s="83"/>
      <c r="C193" s="40"/>
      <c r="D193" s="40"/>
      <c r="E193" s="40"/>
      <c r="F193" s="40"/>
      <c r="G193" s="40"/>
      <c r="H193" s="40"/>
      <c r="I193" s="99"/>
      <c r="J193" s="43"/>
      <c r="K193" s="43"/>
      <c r="L193" s="43"/>
    </row>
    <row r="194" spans="2:12" x14ac:dyDescent="0.2">
      <c r="B194" s="83"/>
      <c r="C194" s="40"/>
      <c r="D194" s="40"/>
      <c r="E194" s="40"/>
      <c r="F194" s="40"/>
      <c r="G194" s="40"/>
      <c r="H194" s="40"/>
      <c r="I194" s="99"/>
      <c r="J194" s="43"/>
      <c r="K194" s="43"/>
      <c r="L194" s="43"/>
    </row>
    <row r="195" spans="2:12" x14ac:dyDescent="0.2">
      <c r="B195" s="83"/>
      <c r="C195" s="40"/>
      <c r="D195" s="40"/>
      <c r="E195" s="40"/>
      <c r="F195" s="40"/>
      <c r="G195" s="40"/>
      <c r="H195" s="40"/>
      <c r="I195" s="99"/>
      <c r="J195" s="43"/>
      <c r="K195" s="43"/>
      <c r="L195" s="43"/>
    </row>
    <row r="196" spans="2:12" x14ac:dyDescent="0.2">
      <c r="B196" s="83"/>
      <c r="C196" s="40"/>
      <c r="D196" s="40"/>
      <c r="E196" s="40"/>
      <c r="F196" s="40"/>
      <c r="G196" s="40"/>
      <c r="H196" s="40"/>
      <c r="I196" s="99"/>
      <c r="J196" s="43"/>
      <c r="K196" s="43"/>
      <c r="L196" s="43"/>
    </row>
    <row r="197" spans="2:12" x14ac:dyDescent="0.2">
      <c r="B197" s="83"/>
      <c r="C197" s="40"/>
      <c r="D197" s="40"/>
      <c r="E197" s="40"/>
      <c r="F197" s="40"/>
      <c r="G197" s="40"/>
      <c r="H197" s="40"/>
      <c r="I197" s="99"/>
      <c r="J197" s="43"/>
      <c r="K197" s="43"/>
      <c r="L197" s="43"/>
    </row>
    <row r="198" spans="2:12" x14ac:dyDescent="0.2">
      <c r="B198" s="83"/>
      <c r="C198" s="40"/>
      <c r="D198" s="40"/>
      <c r="E198" s="40"/>
      <c r="F198" s="40"/>
      <c r="G198" s="40"/>
      <c r="H198" s="40"/>
      <c r="I198" s="99"/>
      <c r="J198" s="43"/>
      <c r="K198" s="43"/>
      <c r="L198" s="43"/>
    </row>
    <row r="199" spans="2:12" x14ac:dyDescent="0.2">
      <c r="B199" s="83"/>
      <c r="C199" s="40"/>
      <c r="D199" s="40"/>
      <c r="E199" s="40"/>
      <c r="F199" s="40"/>
      <c r="G199" s="40"/>
      <c r="H199" s="40"/>
      <c r="I199" s="99"/>
      <c r="J199" s="43"/>
      <c r="K199" s="43"/>
      <c r="L199" s="43"/>
    </row>
    <row r="200" spans="2:12" x14ac:dyDescent="0.2">
      <c r="B200" s="83"/>
      <c r="C200" s="40"/>
      <c r="D200" s="40"/>
      <c r="E200" s="40"/>
      <c r="F200" s="40"/>
      <c r="G200" s="40"/>
      <c r="H200" s="40"/>
      <c r="I200" s="99"/>
      <c r="J200" s="43"/>
      <c r="K200" s="43"/>
      <c r="L200" s="43"/>
    </row>
    <row r="201" spans="2:12" x14ac:dyDescent="0.2">
      <c r="B201" s="83"/>
      <c r="C201" s="40"/>
      <c r="D201" s="40"/>
      <c r="E201" s="40"/>
      <c r="F201" s="40"/>
      <c r="G201" s="40"/>
      <c r="H201" s="40"/>
      <c r="I201" s="99"/>
      <c r="J201" s="43"/>
      <c r="K201" s="43"/>
      <c r="L201" s="43"/>
    </row>
    <row r="202" spans="2:12" x14ac:dyDescent="0.2">
      <c r="B202" s="83"/>
      <c r="C202" s="40"/>
      <c r="D202" s="40"/>
      <c r="E202" s="40"/>
      <c r="F202" s="40"/>
      <c r="G202" s="40"/>
      <c r="H202" s="40"/>
      <c r="I202" s="99"/>
      <c r="J202" s="43"/>
      <c r="K202" s="43"/>
      <c r="L202" s="43"/>
    </row>
    <row r="203" spans="2:12" x14ac:dyDescent="0.2">
      <c r="B203" s="83"/>
      <c r="C203" s="40"/>
      <c r="D203" s="40"/>
      <c r="E203" s="40"/>
      <c r="F203" s="40"/>
      <c r="G203" s="40"/>
      <c r="H203" s="40"/>
      <c r="I203" s="99"/>
      <c r="J203" s="43"/>
      <c r="K203" s="43"/>
      <c r="L203" s="43"/>
    </row>
    <row r="204" spans="2:12" x14ac:dyDescent="0.2">
      <c r="B204" s="83"/>
      <c r="C204" s="40"/>
      <c r="D204" s="40"/>
      <c r="E204" s="40"/>
      <c r="F204" s="40"/>
      <c r="G204" s="40"/>
      <c r="H204" s="40"/>
      <c r="I204" s="99"/>
      <c r="J204" s="43"/>
      <c r="K204" s="43"/>
      <c r="L204" s="43"/>
    </row>
    <row r="205" spans="2:12" x14ac:dyDescent="0.2">
      <c r="B205" s="83"/>
      <c r="C205" s="40"/>
      <c r="D205" s="40"/>
      <c r="E205" s="40"/>
      <c r="F205" s="40"/>
      <c r="G205" s="40"/>
      <c r="H205" s="40"/>
      <c r="I205" s="99"/>
      <c r="J205" s="43"/>
      <c r="K205" s="43"/>
      <c r="L205" s="43"/>
    </row>
    <row r="206" spans="2:12" x14ac:dyDescent="0.2">
      <c r="B206" s="83"/>
      <c r="C206" s="40"/>
      <c r="D206" s="40"/>
      <c r="E206" s="40"/>
      <c r="F206" s="40"/>
      <c r="G206" s="40"/>
      <c r="H206" s="40"/>
      <c r="I206" s="99"/>
      <c r="J206" s="43"/>
      <c r="K206" s="43"/>
      <c r="L206" s="43"/>
    </row>
    <row r="207" spans="2:12" x14ac:dyDescent="0.2">
      <c r="B207" s="83"/>
      <c r="C207" s="40"/>
      <c r="D207" s="40"/>
      <c r="E207" s="40"/>
      <c r="F207" s="40"/>
      <c r="G207" s="40"/>
      <c r="H207" s="40"/>
      <c r="I207" s="99"/>
      <c r="J207" s="43"/>
      <c r="K207" s="43"/>
      <c r="L207" s="43"/>
    </row>
    <row r="208" spans="2:12" x14ac:dyDescent="0.2">
      <c r="B208" s="83"/>
      <c r="C208" s="40"/>
      <c r="D208" s="40"/>
      <c r="E208" s="40"/>
      <c r="F208" s="40"/>
      <c r="G208" s="40"/>
      <c r="H208" s="40"/>
      <c r="I208" s="99"/>
      <c r="J208" s="43"/>
      <c r="K208" s="43"/>
      <c r="L208" s="43"/>
    </row>
    <row r="209" spans="2:24" x14ac:dyDescent="0.2">
      <c r="B209" s="83"/>
      <c r="C209" s="40"/>
      <c r="D209" s="40"/>
      <c r="E209" s="40"/>
      <c r="F209" s="40"/>
      <c r="G209" s="40"/>
      <c r="H209" s="40"/>
      <c r="I209" s="99"/>
      <c r="J209" s="43"/>
      <c r="K209" s="43"/>
      <c r="L209" s="43"/>
      <c r="V209" s="3"/>
      <c r="W209" s="3"/>
      <c r="X209" s="3"/>
    </row>
    <row r="210" spans="2:24" x14ac:dyDescent="0.2">
      <c r="B210" s="83"/>
      <c r="C210" s="40"/>
      <c r="D210" s="40"/>
      <c r="E210" s="40"/>
      <c r="F210" s="40"/>
      <c r="G210" s="40"/>
      <c r="H210" s="40"/>
      <c r="I210" s="99"/>
      <c r="J210" s="43"/>
      <c r="K210" s="43"/>
      <c r="L210" s="43"/>
      <c r="V210" s="3"/>
      <c r="W210" s="3"/>
      <c r="X210" s="3"/>
    </row>
    <row r="211" spans="2:24" x14ac:dyDescent="0.2">
      <c r="B211" s="83"/>
      <c r="C211" s="40"/>
      <c r="D211" s="40"/>
      <c r="E211" s="40"/>
      <c r="F211" s="40"/>
      <c r="G211" s="40"/>
      <c r="H211" s="40"/>
      <c r="I211" s="99"/>
      <c r="J211" s="43"/>
      <c r="K211" s="43"/>
      <c r="L211" s="43"/>
      <c r="V211" s="3"/>
      <c r="W211" s="3"/>
      <c r="X211" s="3"/>
    </row>
    <row r="212" spans="2:24" x14ac:dyDescent="0.2">
      <c r="B212" s="83"/>
      <c r="C212" s="40"/>
      <c r="D212" s="40"/>
      <c r="E212" s="40"/>
      <c r="F212" s="40"/>
      <c r="G212" s="40"/>
      <c r="H212" s="40"/>
      <c r="I212" s="99"/>
      <c r="J212" s="43"/>
      <c r="K212" s="43"/>
      <c r="L212" s="43"/>
      <c r="V212" s="3"/>
      <c r="W212" s="3"/>
      <c r="X212" s="3"/>
    </row>
    <row r="213" spans="2:24" x14ac:dyDescent="0.2">
      <c r="B213" s="83"/>
      <c r="C213" s="40"/>
      <c r="D213" s="40"/>
      <c r="E213" s="40"/>
      <c r="F213" s="40"/>
      <c r="G213" s="40"/>
      <c r="H213" s="40"/>
      <c r="I213" s="99"/>
      <c r="J213" s="43"/>
      <c r="K213" s="43"/>
      <c r="L213" s="43"/>
      <c r="V213" s="3"/>
      <c r="W213" s="3"/>
      <c r="X213" s="3"/>
    </row>
    <row r="214" spans="2:24" x14ac:dyDescent="0.2">
      <c r="B214" s="83"/>
      <c r="C214" s="40"/>
      <c r="D214" s="40"/>
      <c r="E214" s="40"/>
      <c r="F214" s="40"/>
      <c r="G214" s="40"/>
      <c r="H214" s="40"/>
      <c r="I214" s="99"/>
      <c r="J214" s="43"/>
      <c r="K214" s="43"/>
      <c r="L214" s="43"/>
      <c r="V214" s="3"/>
      <c r="W214" s="3"/>
      <c r="X214" s="3"/>
    </row>
    <row r="215" spans="2:24" x14ac:dyDescent="0.2">
      <c r="B215" s="83"/>
      <c r="C215" s="40"/>
      <c r="D215" s="40"/>
      <c r="E215" s="40"/>
      <c r="F215" s="40"/>
      <c r="G215" s="40"/>
      <c r="H215" s="40"/>
      <c r="I215" s="99"/>
      <c r="J215" s="43"/>
      <c r="K215" s="43"/>
      <c r="L215" s="43"/>
      <c r="V215" s="3"/>
      <c r="W215" s="3"/>
      <c r="X215" s="3"/>
    </row>
    <row r="216" spans="2:24" x14ac:dyDescent="0.2">
      <c r="B216" s="83"/>
      <c r="C216" s="40"/>
      <c r="D216" s="40"/>
      <c r="E216" s="40"/>
      <c r="F216" s="40"/>
      <c r="G216" s="40"/>
      <c r="H216" s="40"/>
      <c r="I216" s="99"/>
      <c r="J216" s="43"/>
      <c r="K216" s="43"/>
      <c r="L216" s="43"/>
      <c r="V216" s="3"/>
      <c r="W216" s="3"/>
      <c r="X216" s="3"/>
    </row>
    <row r="217" spans="2:24" x14ac:dyDescent="0.2">
      <c r="B217" s="83"/>
      <c r="C217" s="40"/>
      <c r="D217" s="40"/>
      <c r="E217" s="40"/>
      <c r="F217" s="40"/>
      <c r="G217" s="40"/>
      <c r="H217" s="40"/>
      <c r="I217" s="99"/>
      <c r="J217" s="43"/>
      <c r="K217" s="43"/>
      <c r="L217" s="43"/>
      <c r="V217" s="3"/>
      <c r="W217" s="3"/>
      <c r="X217" s="3"/>
    </row>
    <row r="218" spans="2:24" x14ac:dyDescent="0.2">
      <c r="B218" s="83"/>
      <c r="C218" s="40"/>
      <c r="D218" s="40"/>
      <c r="E218" s="40"/>
      <c r="F218" s="40"/>
      <c r="G218" s="40"/>
      <c r="H218" s="40"/>
      <c r="I218" s="99"/>
      <c r="J218" s="43"/>
      <c r="K218" s="43"/>
      <c r="L218" s="43"/>
      <c r="V218" s="3"/>
      <c r="W218" s="3"/>
      <c r="X218" s="3"/>
    </row>
    <row r="219" spans="2:24" x14ac:dyDescent="0.2">
      <c r="B219" s="83"/>
      <c r="C219" s="40"/>
      <c r="D219" s="40"/>
      <c r="E219" s="40"/>
      <c r="F219" s="40"/>
      <c r="G219" s="40"/>
      <c r="H219" s="40"/>
      <c r="I219" s="99"/>
      <c r="J219" s="43"/>
      <c r="K219" s="43"/>
      <c r="L219" s="43"/>
      <c r="V219" s="3"/>
      <c r="W219" s="3"/>
      <c r="X219" s="3"/>
    </row>
    <row r="220" spans="2:24" ht="15" thickBot="1" x14ac:dyDescent="0.25">
      <c r="B220" s="85"/>
      <c r="C220" s="93"/>
      <c r="D220" s="93"/>
      <c r="E220" s="93"/>
      <c r="F220" s="93"/>
      <c r="G220" s="93"/>
      <c r="H220" s="93"/>
      <c r="I220" s="100"/>
      <c r="J220" s="43"/>
      <c r="K220" s="43"/>
      <c r="L220" s="43"/>
      <c r="V220" s="3"/>
      <c r="W220" s="3"/>
      <c r="X220" s="3"/>
    </row>
    <row r="221" spans="2:24" ht="15" thickBot="1" x14ac:dyDescent="0.25"/>
    <row r="222" spans="2:24" ht="18.75" thickBot="1" x14ac:dyDescent="0.3">
      <c r="L222" s="701" t="s">
        <v>398</v>
      </c>
      <c r="M222" s="702"/>
      <c r="N222" s="702"/>
      <c r="O222" s="702"/>
      <c r="P222" s="702"/>
      <c r="Q222" s="702"/>
      <c r="R222" s="702"/>
      <c r="S222" s="702"/>
      <c r="T222" s="702"/>
      <c r="U222" s="702"/>
      <c r="V222" s="702"/>
      <c r="W222" s="703"/>
    </row>
    <row r="223" spans="2:24" x14ac:dyDescent="0.2">
      <c r="L223" s="105" t="s">
        <v>145</v>
      </c>
      <c r="M223" s="37" t="s">
        <v>399</v>
      </c>
      <c r="N223" s="37"/>
      <c r="O223" s="37"/>
      <c r="P223" s="37"/>
      <c r="Q223" s="37"/>
      <c r="R223" s="37"/>
      <c r="S223" s="37"/>
      <c r="T223" s="37"/>
      <c r="U223" s="37"/>
      <c r="V223" s="37"/>
      <c r="W223" s="92"/>
    </row>
    <row r="224" spans="2:24" x14ac:dyDescent="0.2">
      <c r="L224" s="105"/>
      <c r="M224" s="37">
        <v>0</v>
      </c>
      <c r="N224" s="37">
        <v>10</v>
      </c>
      <c r="O224" s="37">
        <v>20</v>
      </c>
      <c r="P224" s="37">
        <v>30</v>
      </c>
      <c r="Q224" s="37">
        <v>40</v>
      </c>
      <c r="R224" s="37">
        <v>50</v>
      </c>
      <c r="S224" s="37">
        <v>60</v>
      </c>
      <c r="T224" s="37">
        <v>70</v>
      </c>
      <c r="U224" s="37">
        <v>80</v>
      </c>
      <c r="V224" s="37">
        <v>90</v>
      </c>
      <c r="W224" s="92">
        <v>100</v>
      </c>
    </row>
    <row r="225" spans="2:24" x14ac:dyDescent="0.2">
      <c r="L225" s="105" t="s">
        <v>152</v>
      </c>
      <c r="M225" s="149">
        <v>0</v>
      </c>
      <c r="N225" s="149">
        <v>0</v>
      </c>
      <c r="O225" s="149">
        <v>0.01</v>
      </c>
      <c r="P225" s="149">
        <v>0.05</v>
      </c>
      <c r="Q225" s="149">
        <v>0.16</v>
      </c>
      <c r="R225" s="149">
        <v>0.22</v>
      </c>
      <c r="S225" s="149">
        <v>0.25</v>
      </c>
      <c r="T225" s="149">
        <v>0.19</v>
      </c>
      <c r="U225" s="149">
        <v>0.09</v>
      </c>
      <c r="V225" s="149">
        <v>0.03</v>
      </c>
      <c r="W225" s="150">
        <v>0</v>
      </c>
    </row>
    <row r="226" spans="2:24" ht="15" thickBot="1" x14ac:dyDescent="0.25">
      <c r="L226" s="106" t="s">
        <v>149</v>
      </c>
      <c r="M226" s="151">
        <v>0</v>
      </c>
      <c r="N226" s="151">
        <v>0</v>
      </c>
      <c r="O226" s="151">
        <v>0</v>
      </c>
      <c r="P226" s="151">
        <v>0.05</v>
      </c>
      <c r="Q226" s="151">
        <v>0.1</v>
      </c>
      <c r="R226" s="151">
        <v>0.2</v>
      </c>
      <c r="S226" s="151">
        <v>0.3</v>
      </c>
      <c r="T226" s="151">
        <v>0.2</v>
      </c>
      <c r="U226" s="151">
        <v>0.1</v>
      </c>
      <c r="V226" s="151">
        <v>0.05</v>
      </c>
      <c r="W226" s="152">
        <v>0</v>
      </c>
    </row>
    <row r="227" spans="2:24" ht="18.75" thickBot="1" x14ac:dyDescent="0.3">
      <c r="L227" s="701" t="s">
        <v>400</v>
      </c>
      <c r="M227" s="702"/>
      <c r="N227" s="702"/>
      <c r="O227" s="702"/>
      <c r="P227" s="702"/>
      <c r="Q227" s="702"/>
      <c r="R227" s="702"/>
      <c r="S227" s="702"/>
      <c r="T227" s="702"/>
      <c r="U227" s="702"/>
      <c r="V227" s="702"/>
      <c r="W227" s="703"/>
    </row>
    <row r="228" spans="2:24" x14ac:dyDescent="0.2">
      <c r="L228" s="105" t="s">
        <v>401</v>
      </c>
      <c r="M228" s="37" t="s">
        <v>399</v>
      </c>
      <c r="N228" s="37"/>
      <c r="O228" s="37"/>
      <c r="P228" s="37"/>
      <c r="Q228" s="37"/>
      <c r="R228" s="37"/>
      <c r="S228" s="37"/>
      <c r="T228" s="37"/>
      <c r="U228" s="37"/>
      <c r="V228" s="37"/>
      <c r="W228" s="92"/>
    </row>
    <row r="229" spans="2:24" x14ac:dyDescent="0.2">
      <c r="L229" s="105" t="s">
        <v>402</v>
      </c>
      <c r="M229" s="37">
        <v>1</v>
      </c>
      <c r="N229" s="37">
        <v>1</v>
      </c>
      <c r="O229" s="37">
        <v>1</v>
      </c>
      <c r="P229" s="37">
        <v>1</v>
      </c>
      <c r="Q229" s="37">
        <v>1</v>
      </c>
      <c r="R229" s="37">
        <v>1</v>
      </c>
      <c r="S229" s="37">
        <v>1</v>
      </c>
      <c r="T229" s="37">
        <v>1</v>
      </c>
      <c r="U229" s="37">
        <v>1</v>
      </c>
      <c r="V229" s="37">
        <v>1</v>
      </c>
      <c r="W229" s="92">
        <v>1</v>
      </c>
      <c r="X229" s="1">
        <f>SUMPRODUCT(M$225:W$225,M229:W229)</f>
        <v>0.99999999999999989</v>
      </c>
    </row>
    <row r="230" spans="2:24" x14ac:dyDescent="0.2">
      <c r="L230" s="105" t="s">
        <v>403</v>
      </c>
      <c r="M230" s="37">
        <v>0.5</v>
      </c>
      <c r="N230" s="37">
        <v>0.5</v>
      </c>
      <c r="O230" s="37">
        <v>0.5</v>
      </c>
      <c r="P230" s="37">
        <v>0.5</v>
      </c>
      <c r="Q230" s="37">
        <v>0.5</v>
      </c>
      <c r="R230" s="37">
        <v>0.5</v>
      </c>
      <c r="S230" s="37">
        <v>1</v>
      </c>
      <c r="T230" s="37">
        <v>1</v>
      </c>
      <c r="U230" s="37">
        <v>1</v>
      </c>
      <c r="V230" s="37">
        <v>1</v>
      </c>
      <c r="W230" s="92">
        <v>1</v>
      </c>
      <c r="X230" s="1">
        <f>SUMPRODUCT($M$225:$W$225,M230:W230)</f>
        <v>0.77999999999999992</v>
      </c>
    </row>
    <row r="231" spans="2:24" x14ac:dyDescent="0.2">
      <c r="L231" s="105" t="s">
        <v>154</v>
      </c>
      <c r="M231" s="37">
        <v>0.53</v>
      </c>
      <c r="N231" s="37">
        <v>0.53</v>
      </c>
      <c r="O231" s="37">
        <v>0.53</v>
      </c>
      <c r="P231" s="37">
        <v>0.56999999999999995</v>
      </c>
      <c r="Q231" s="37">
        <v>0.64</v>
      </c>
      <c r="R231" s="37">
        <v>0.72</v>
      </c>
      <c r="S231" s="37">
        <v>0.8</v>
      </c>
      <c r="T231" s="37">
        <v>0.89</v>
      </c>
      <c r="U231" s="37">
        <v>0.96</v>
      </c>
      <c r="V231" s="37">
        <v>1.02</v>
      </c>
      <c r="W231" s="92">
        <v>1.05</v>
      </c>
      <c r="X231" s="1">
        <f>SUMPRODUCT($M$225:$W$225,M231:W231)</f>
        <v>0.78069999999999995</v>
      </c>
    </row>
    <row r="232" spans="2:24" x14ac:dyDescent="0.2">
      <c r="L232" s="105" t="s">
        <v>404</v>
      </c>
      <c r="M232" s="37">
        <v>0.47</v>
      </c>
      <c r="N232" s="37">
        <v>0.53</v>
      </c>
      <c r="O232" s="37">
        <v>0.56000000000000005</v>
      </c>
      <c r="P232" s="37">
        <v>0.56999999999999995</v>
      </c>
      <c r="Q232" s="37">
        <v>0.59</v>
      </c>
      <c r="R232" s="37">
        <v>0.6</v>
      </c>
      <c r="S232" s="37">
        <v>0.62</v>
      </c>
      <c r="T232" s="37">
        <v>0.67</v>
      </c>
      <c r="U232" s="37">
        <v>0.74</v>
      </c>
      <c r="V232" s="37">
        <v>0.85</v>
      </c>
      <c r="W232" s="92">
        <v>1</v>
      </c>
      <c r="X232" s="1">
        <f>SUMPRODUCT($M$225:$W$225,M232:W232)</f>
        <v>0.63489999999999991</v>
      </c>
    </row>
    <row r="233" spans="2:24" x14ac:dyDescent="0.2">
      <c r="L233" s="105" t="s">
        <v>405</v>
      </c>
      <c r="M233" s="37">
        <v>0.2</v>
      </c>
      <c r="N233" s="37">
        <v>0.22</v>
      </c>
      <c r="O233" s="37">
        <v>0.26</v>
      </c>
      <c r="P233" s="37">
        <v>0.3</v>
      </c>
      <c r="Q233" s="37">
        <v>0.37</v>
      </c>
      <c r="R233" s="37">
        <v>0.45</v>
      </c>
      <c r="S233" s="37">
        <v>0.54</v>
      </c>
      <c r="T233" s="37">
        <v>0.65</v>
      </c>
      <c r="U233" s="37">
        <v>0.77</v>
      </c>
      <c r="V233" s="37">
        <v>0.91</v>
      </c>
      <c r="W233" s="92">
        <v>1.06</v>
      </c>
      <c r="X233" s="1">
        <f t="shared" ref="X233" si="14">SUMPRODUCT($M$225:$W$225,M233:W233)</f>
        <v>0.53090000000000004</v>
      </c>
    </row>
    <row r="234" spans="2:24" ht="15" thickBot="1" x14ac:dyDescent="0.25">
      <c r="L234" s="105" t="s">
        <v>406</v>
      </c>
      <c r="M234" s="37">
        <v>0.2</v>
      </c>
      <c r="N234" s="37">
        <v>0.21</v>
      </c>
      <c r="O234" s="37">
        <v>0.22</v>
      </c>
      <c r="P234" s="37">
        <v>0.23</v>
      </c>
      <c r="Q234" s="37">
        <v>0.26</v>
      </c>
      <c r="R234" s="37">
        <v>0.31</v>
      </c>
      <c r="S234" s="37">
        <v>0.39</v>
      </c>
      <c r="T234" s="37">
        <v>0.49</v>
      </c>
      <c r="U234" s="37">
        <v>0.63</v>
      </c>
      <c r="V234" s="37">
        <v>0.81</v>
      </c>
      <c r="W234" s="92">
        <v>1.04</v>
      </c>
      <c r="X234" s="1">
        <f>SUMPRODUCT($M$225:$W$225,M234:W234)</f>
        <v>0.39510000000000001</v>
      </c>
    </row>
    <row r="235" spans="2:24" ht="18.75" thickBot="1" x14ac:dyDescent="0.3">
      <c r="B235" s="704" t="s">
        <v>407</v>
      </c>
      <c r="C235" s="705"/>
      <c r="E235" s="695" t="s">
        <v>408</v>
      </c>
      <c r="F235" s="696"/>
      <c r="G235" s="695" t="s">
        <v>409</v>
      </c>
      <c r="H235" s="697"/>
      <c r="L235" s="106" t="s">
        <v>410</v>
      </c>
      <c r="M235" s="94">
        <v>0.05</v>
      </c>
      <c r="N235" s="94">
        <v>0.05</v>
      </c>
      <c r="O235" s="94">
        <v>0.05</v>
      </c>
      <c r="P235" s="94">
        <v>0.08</v>
      </c>
      <c r="Q235" s="94">
        <v>0.13</v>
      </c>
      <c r="R235" s="94">
        <v>0.2</v>
      </c>
      <c r="S235" s="94">
        <v>0.3</v>
      </c>
      <c r="T235" s="94">
        <v>0.43</v>
      </c>
      <c r="U235" s="94">
        <v>0.6</v>
      </c>
      <c r="V235" s="94">
        <v>0.8</v>
      </c>
      <c r="W235" s="95">
        <v>1.03</v>
      </c>
      <c r="X235" s="1">
        <f>SUMPRODUCT($M$225:$W$225,M235:W235)</f>
        <v>0.30399999999999999</v>
      </c>
    </row>
    <row r="236" spans="2:24" ht="15" thickBot="1" x14ac:dyDescent="0.25">
      <c r="B236" s="116" t="s">
        <v>273</v>
      </c>
      <c r="C236" s="117" t="s">
        <v>411</v>
      </c>
      <c r="E236" s="110" t="s">
        <v>152</v>
      </c>
      <c r="F236" s="110" t="s">
        <v>149</v>
      </c>
      <c r="G236" s="110" t="s">
        <v>412</v>
      </c>
      <c r="H236" s="332" t="s">
        <v>413</v>
      </c>
    </row>
    <row r="237" spans="2:24" ht="18.75" thickBot="1" x14ac:dyDescent="0.3">
      <c r="B237" s="115" t="s">
        <v>137</v>
      </c>
      <c r="C237" s="109">
        <v>2</v>
      </c>
      <c r="E237" s="37" t="s">
        <v>402</v>
      </c>
      <c r="F237" s="330" t="s">
        <v>402</v>
      </c>
      <c r="G237" s="331" t="s">
        <v>226</v>
      </c>
      <c r="H237" s="331" t="s">
        <v>137</v>
      </c>
      <c r="L237" s="701" t="s">
        <v>414</v>
      </c>
      <c r="M237" s="702"/>
      <c r="N237" s="702"/>
      <c r="O237" s="702"/>
      <c r="P237" s="702"/>
      <c r="Q237" s="702"/>
      <c r="R237" s="702"/>
      <c r="S237" s="702"/>
      <c r="T237" s="702"/>
      <c r="U237" s="702"/>
      <c r="V237" s="702"/>
      <c r="W237" s="703"/>
    </row>
    <row r="238" spans="2:24" x14ac:dyDescent="0.2">
      <c r="B238" s="113" t="s">
        <v>226</v>
      </c>
      <c r="C238" s="92">
        <v>3</v>
      </c>
      <c r="E238" s="37" t="s">
        <v>403</v>
      </c>
      <c r="F238" s="330" t="s">
        <v>151</v>
      </c>
      <c r="G238" s="320" t="s">
        <v>153</v>
      </c>
      <c r="H238" s="320" t="s">
        <v>150</v>
      </c>
      <c r="L238" s="105" t="s">
        <v>401</v>
      </c>
      <c r="M238" s="37" t="s">
        <v>399</v>
      </c>
      <c r="N238" s="37"/>
      <c r="O238" s="37"/>
      <c r="P238" s="37"/>
      <c r="Q238" s="37"/>
      <c r="R238" s="37"/>
      <c r="S238" s="37"/>
      <c r="T238" s="37"/>
      <c r="U238" s="37"/>
      <c r="V238" s="37"/>
      <c r="W238" s="92"/>
    </row>
    <row r="239" spans="2:24" ht="28.5" x14ac:dyDescent="0.2">
      <c r="B239" s="113" t="s">
        <v>150</v>
      </c>
      <c r="C239" s="92">
        <v>4</v>
      </c>
      <c r="E239" s="37" t="s">
        <v>154</v>
      </c>
      <c r="F239" s="319" t="s">
        <v>410</v>
      </c>
      <c r="G239" s="321"/>
      <c r="H239" s="320" t="s">
        <v>231</v>
      </c>
      <c r="L239" s="105" t="s">
        <v>402</v>
      </c>
      <c r="M239" s="37">
        <v>1</v>
      </c>
      <c r="N239" s="37">
        <v>1</v>
      </c>
      <c r="O239" s="37">
        <v>1</v>
      </c>
      <c r="P239" s="37">
        <v>1</v>
      </c>
      <c r="Q239" s="37">
        <v>1</v>
      </c>
      <c r="R239" s="37">
        <v>1</v>
      </c>
      <c r="S239" s="37">
        <v>1</v>
      </c>
      <c r="T239" s="37">
        <v>1</v>
      </c>
      <c r="U239" s="37">
        <v>1</v>
      </c>
      <c r="V239" s="37">
        <v>1</v>
      </c>
      <c r="W239" s="92">
        <v>1</v>
      </c>
      <c r="X239" s="1">
        <f>SUMPRODUCT($M$226:$W$226,M239:W239)</f>
        <v>1</v>
      </c>
    </row>
    <row r="240" spans="2:24" ht="28.5" x14ac:dyDescent="0.2">
      <c r="B240" s="113" t="s">
        <v>231</v>
      </c>
      <c r="C240" s="92">
        <v>5</v>
      </c>
      <c r="E240" s="37" t="s">
        <v>404</v>
      </c>
      <c r="L240" s="105" t="s">
        <v>151</v>
      </c>
      <c r="M240" s="37">
        <v>0.55000000000000004</v>
      </c>
      <c r="N240" s="37">
        <v>0.61</v>
      </c>
      <c r="O240" s="37">
        <v>0.67</v>
      </c>
      <c r="P240" s="37">
        <v>0.73</v>
      </c>
      <c r="Q240" s="37">
        <v>0.78</v>
      </c>
      <c r="R240" s="37">
        <v>0.82</v>
      </c>
      <c r="S240" s="37">
        <v>0.87</v>
      </c>
      <c r="T240" s="37">
        <v>0.9</v>
      </c>
      <c r="U240" s="37">
        <v>0.94</v>
      </c>
      <c r="V240" s="37">
        <v>0.97</v>
      </c>
      <c r="W240" s="92">
        <v>1</v>
      </c>
      <c r="X240" s="1">
        <f>SUMPRODUCT($M$226:$W$226,M240:W240)</f>
        <v>0.8620000000000001</v>
      </c>
    </row>
    <row r="241" spans="2:24" ht="15" thickBot="1" x14ac:dyDescent="0.25">
      <c r="B241" s="114" t="s">
        <v>153</v>
      </c>
      <c r="C241" s="95">
        <v>6</v>
      </c>
      <c r="E241" s="37" t="s">
        <v>405</v>
      </c>
      <c r="L241" s="106" t="s">
        <v>410</v>
      </c>
      <c r="M241" s="94">
        <v>0.27</v>
      </c>
      <c r="N241" s="94">
        <v>0.19</v>
      </c>
      <c r="O241" s="94">
        <v>0.14000000000000001</v>
      </c>
      <c r="P241" s="94">
        <v>0.13</v>
      </c>
      <c r="Q241" s="94">
        <v>0.15</v>
      </c>
      <c r="R241" s="94">
        <v>0.21</v>
      </c>
      <c r="S241" s="94">
        <v>0.3</v>
      </c>
      <c r="T241" s="94">
        <v>0.43</v>
      </c>
      <c r="U241" s="94">
        <v>0.6</v>
      </c>
      <c r="V241" s="94">
        <v>0.79</v>
      </c>
      <c r="W241" s="95">
        <v>1.03</v>
      </c>
      <c r="X241" s="1">
        <f t="shared" ref="X241" si="15">SUMPRODUCT($M$226:$W$226,M241:W241)</f>
        <v>0.33899999999999997</v>
      </c>
    </row>
    <row r="242" spans="2:24" ht="15" thickBot="1" x14ac:dyDescent="0.25">
      <c r="E242" s="37" t="s">
        <v>406</v>
      </c>
    </row>
    <row r="243" spans="2:24" ht="21" thickBot="1" x14ac:dyDescent="0.35">
      <c r="E243" s="1" t="s">
        <v>410</v>
      </c>
      <c r="L243" s="363" t="s">
        <v>415</v>
      </c>
    </row>
    <row r="244" spans="2:24" ht="15" x14ac:dyDescent="0.25">
      <c r="L244" s="362" t="s">
        <v>109</v>
      </c>
    </row>
    <row r="245" spans="2:24" ht="15.75" thickBot="1" x14ac:dyDescent="0.3">
      <c r="L245" s="361" t="s">
        <v>416</v>
      </c>
    </row>
    <row r="257" spans="2:25" ht="15" thickBot="1" x14ac:dyDescent="0.25"/>
    <row r="258" spans="2:25" ht="18.75" thickBot="1" x14ac:dyDescent="0.3">
      <c r="B258" s="692" t="s">
        <v>417</v>
      </c>
      <c r="C258" s="693"/>
      <c r="D258" s="693"/>
      <c r="E258" s="693"/>
      <c r="F258" s="693"/>
      <c r="G258" s="693"/>
      <c r="H258" s="693"/>
      <c r="I258" s="693"/>
      <c r="J258" s="693"/>
      <c r="K258" s="694"/>
      <c r="M258" s="701" t="s">
        <v>418</v>
      </c>
      <c r="N258" s="702"/>
      <c r="O258" s="702"/>
      <c r="P258" s="702"/>
      <c r="Q258" s="702"/>
      <c r="R258" s="702"/>
      <c r="S258" s="702"/>
      <c r="T258" s="702"/>
      <c r="U258" s="702"/>
      <c r="V258" s="710"/>
      <c r="Y258" s="1"/>
    </row>
    <row r="259" spans="2:25" ht="15" thickBot="1" x14ac:dyDescent="0.25">
      <c r="B259" s="118" t="s">
        <v>419</v>
      </c>
      <c r="C259" s="62" t="s">
        <v>18</v>
      </c>
      <c r="D259" s="62" t="s">
        <v>20</v>
      </c>
      <c r="E259" s="62" t="s">
        <v>10</v>
      </c>
      <c r="F259" s="62" t="s">
        <v>8</v>
      </c>
      <c r="G259" s="62" t="s">
        <v>6</v>
      </c>
      <c r="H259" s="62" t="s">
        <v>16</v>
      </c>
      <c r="I259" s="62" t="s">
        <v>4</v>
      </c>
      <c r="J259" s="62" t="s">
        <v>14</v>
      </c>
      <c r="K259" s="64" t="s">
        <v>12</v>
      </c>
      <c r="M259" s="110" t="s">
        <v>419</v>
      </c>
      <c r="N259" s="111" t="s">
        <v>18</v>
      </c>
      <c r="O259" s="111" t="s">
        <v>20</v>
      </c>
      <c r="P259" s="111" t="s">
        <v>10</v>
      </c>
      <c r="Q259" s="111" t="s">
        <v>8</v>
      </c>
      <c r="R259" s="111" t="s">
        <v>6</v>
      </c>
      <c r="S259" s="111" t="s">
        <v>16</v>
      </c>
      <c r="T259" s="111" t="s">
        <v>4</v>
      </c>
      <c r="U259" s="111" t="s">
        <v>14</v>
      </c>
      <c r="V259" s="112" t="s">
        <v>12</v>
      </c>
      <c r="Y259" s="1"/>
    </row>
    <row r="260" spans="2:25" x14ac:dyDescent="0.2">
      <c r="B260" s="107" t="s">
        <v>219</v>
      </c>
      <c r="C260" s="108">
        <v>654</v>
      </c>
      <c r="D260" s="108">
        <v>984</v>
      </c>
      <c r="E260" s="156">
        <v>938</v>
      </c>
      <c r="F260" s="108">
        <v>763</v>
      </c>
      <c r="G260" s="108">
        <v>442</v>
      </c>
      <c r="H260" s="108">
        <v>418</v>
      </c>
      <c r="I260" s="108">
        <v>592</v>
      </c>
      <c r="J260" s="108">
        <v>733</v>
      </c>
      <c r="K260" s="109">
        <v>629</v>
      </c>
      <c r="M260" s="107" t="s">
        <v>219</v>
      </c>
      <c r="N260" s="108">
        <v>870</v>
      </c>
      <c r="O260" s="108">
        <v>436</v>
      </c>
      <c r="P260" s="108">
        <v>513</v>
      </c>
      <c r="Q260" s="108">
        <v>664</v>
      </c>
      <c r="R260" s="108">
        <v>729</v>
      </c>
      <c r="S260" s="108">
        <v>895</v>
      </c>
      <c r="T260" s="108">
        <v>701</v>
      </c>
      <c r="U260" s="108">
        <v>741</v>
      </c>
      <c r="V260" s="109">
        <v>678</v>
      </c>
      <c r="Y260" s="1"/>
    </row>
    <row r="261" spans="2:25" x14ac:dyDescent="0.2">
      <c r="B261" s="105" t="s">
        <v>224</v>
      </c>
      <c r="C261" s="37">
        <v>579</v>
      </c>
      <c r="D261" s="37">
        <v>910</v>
      </c>
      <c r="E261" s="157">
        <v>886</v>
      </c>
      <c r="F261" s="37">
        <v>593</v>
      </c>
      <c r="G261" s="37">
        <v>593</v>
      </c>
      <c r="H261" s="37">
        <v>581</v>
      </c>
      <c r="I261" s="37">
        <v>804</v>
      </c>
      <c r="J261" s="37">
        <v>823</v>
      </c>
      <c r="K261" s="92">
        <v>629</v>
      </c>
      <c r="M261" s="105" t="s">
        <v>224</v>
      </c>
      <c r="N261" s="37">
        <v>363</v>
      </c>
      <c r="O261" s="37">
        <v>161</v>
      </c>
      <c r="P261" s="37">
        <v>193</v>
      </c>
      <c r="Q261" s="37">
        <v>257</v>
      </c>
      <c r="R261" s="37">
        <v>344</v>
      </c>
      <c r="S261" s="37">
        <v>421</v>
      </c>
      <c r="T261" s="37">
        <v>322</v>
      </c>
      <c r="U261" s="37">
        <v>302</v>
      </c>
      <c r="V261" s="92">
        <v>272</v>
      </c>
      <c r="Y261" s="1"/>
    </row>
    <row r="262" spans="2:25" x14ac:dyDescent="0.2">
      <c r="B262" s="105" t="s">
        <v>227</v>
      </c>
      <c r="C262" s="37">
        <v>667</v>
      </c>
      <c r="D262" s="157">
        <v>1068</v>
      </c>
      <c r="E262" s="157">
        <v>929</v>
      </c>
      <c r="F262" s="37">
        <v>475</v>
      </c>
      <c r="G262" s="157">
        <v>1015</v>
      </c>
      <c r="H262" s="157">
        <v>1095</v>
      </c>
      <c r="I262" s="157">
        <v>513</v>
      </c>
      <c r="J262" s="157">
        <v>1546</v>
      </c>
      <c r="K262" s="447">
        <v>1362</v>
      </c>
      <c r="M262" s="105" t="s">
        <v>227</v>
      </c>
      <c r="N262" s="37">
        <v>889</v>
      </c>
      <c r="O262" s="37">
        <v>537</v>
      </c>
      <c r="P262" s="37">
        <v>753</v>
      </c>
      <c r="Q262" s="37">
        <v>884</v>
      </c>
      <c r="R262" s="37">
        <v>503</v>
      </c>
      <c r="S262" s="37">
        <v>654</v>
      </c>
      <c r="T262" s="37">
        <v>753</v>
      </c>
      <c r="U262" s="37">
        <v>603</v>
      </c>
      <c r="V262" s="92">
        <v>504</v>
      </c>
      <c r="Y262" s="1"/>
    </row>
    <row r="263" spans="2:25" x14ac:dyDescent="0.2">
      <c r="B263" s="105" t="s">
        <v>228</v>
      </c>
      <c r="C263" s="37">
        <v>134</v>
      </c>
      <c r="D263" s="37">
        <v>81</v>
      </c>
      <c r="E263" s="37">
        <v>62</v>
      </c>
      <c r="F263" s="37">
        <v>85</v>
      </c>
      <c r="G263" s="37">
        <v>289</v>
      </c>
      <c r="H263" s="37">
        <v>311</v>
      </c>
      <c r="I263" s="37">
        <v>380</v>
      </c>
      <c r="J263" s="37">
        <v>94</v>
      </c>
      <c r="K263" s="92">
        <v>148</v>
      </c>
      <c r="M263" s="105" t="s">
        <v>228</v>
      </c>
      <c r="N263" s="157">
        <v>1401</v>
      </c>
      <c r="O263" s="37">
        <v>967</v>
      </c>
      <c r="P263" s="37">
        <v>1358</v>
      </c>
      <c r="Q263" s="157">
        <v>1443</v>
      </c>
      <c r="R263" s="37">
        <v>990</v>
      </c>
      <c r="S263" s="157">
        <v>1292</v>
      </c>
      <c r="T263" s="157">
        <v>930</v>
      </c>
      <c r="U263" s="157">
        <v>1421</v>
      </c>
      <c r="V263" s="447">
        <v>1155</v>
      </c>
      <c r="Y263" s="1"/>
    </row>
    <row r="264" spans="2:25" x14ac:dyDescent="0.2">
      <c r="B264" s="105" t="s">
        <v>230</v>
      </c>
      <c r="C264" s="37">
        <v>859</v>
      </c>
      <c r="D264" s="157">
        <v>1432</v>
      </c>
      <c r="E264" s="157">
        <v>1418</v>
      </c>
      <c r="F264" s="157">
        <v>1161</v>
      </c>
      <c r="G264" s="37">
        <v>683</v>
      </c>
      <c r="H264" s="37">
        <v>725</v>
      </c>
      <c r="I264" s="157">
        <v>931</v>
      </c>
      <c r="J264" s="157">
        <v>1062</v>
      </c>
      <c r="K264" s="447">
        <v>920</v>
      </c>
      <c r="M264" s="105" t="s">
        <v>230</v>
      </c>
      <c r="N264" s="37">
        <v>649</v>
      </c>
      <c r="O264" s="37">
        <v>393</v>
      </c>
      <c r="P264" s="37">
        <v>487</v>
      </c>
      <c r="Q264" s="37">
        <v>669</v>
      </c>
      <c r="R264" s="37">
        <v>599</v>
      </c>
      <c r="S264" s="37">
        <v>834</v>
      </c>
      <c r="T264" s="37">
        <v>603</v>
      </c>
      <c r="U264" s="37">
        <v>649</v>
      </c>
      <c r="V264" s="92">
        <v>543</v>
      </c>
      <c r="Y264" s="1"/>
    </row>
    <row r="265" spans="2:25" x14ac:dyDescent="0.2">
      <c r="B265" s="105" t="s">
        <v>232</v>
      </c>
      <c r="C265" s="37">
        <v>369</v>
      </c>
      <c r="D265" s="37">
        <v>500</v>
      </c>
      <c r="E265" s="37">
        <v>494</v>
      </c>
      <c r="F265" s="37">
        <v>421</v>
      </c>
      <c r="G265" s="37">
        <v>299</v>
      </c>
      <c r="H265" s="37">
        <v>305</v>
      </c>
      <c r="I265" s="37">
        <v>364</v>
      </c>
      <c r="J265" s="37">
        <v>392</v>
      </c>
      <c r="K265" s="92">
        <v>332</v>
      </c>
      <c r="M265" s="105" t="s">
        <v>232</v>
      </c>
      <c r="N265" s="37">
        <v>775</v>
      </c>
      <c r="O265" s="37">
        <v>357</v>
      </c>
      <c r="P265" s="37">
        <v>430</v>
      </c>
      <c r="Q265" s="37">
        <v>571</v>
      </c>
      <c r="R265" s="37">
        <v>684</v>
      </c>
      <c r="S265" s="37">
        <v>832</v>
      </c>
      <c r="T265" s="37">
        <v>625</v>
      </c>
      <c r="U265" s="37">
        <v>619</v>
      </c>
      <c r="V265" s="92">
        <v>545</v>
      </c>
      <c r="Y265" s="1"/>
    </row>
    <row r="266" spans="2:25" x14ac:dyDescent="0.2">
      <c r="B266" s="105" t="s">
        <v>234</v>
      </c>
      <c r="C266" s="157">
        <v>1072</v>
      </c>
      <c r="D266" s="157">
        <v>1489</v>
      </c>
      <c r="E266" s="157">
        <v>1496</v>
      </c>
      <c r="F266" s="157">
        <v>1279</v>
      </c>
      <c r="G266" s="157">
        <v>878</v>
      </c>
      <c r="H266" s="157">
        <v>1009</v>
      </c>
      <c r="I266" s="157">
        <v>1058</v>
      </c>
      <c r="J266" s="157">
        <v>1247</v>
      </c>
      <c r="K266" s="447">
        <v>1023</v>
      </c>
      <c r="M266" s="105" t="s">
        <v>234</v>
      </c>
      <c r="N266" s="37">
        <v>1024</v>
      </c>
      <c r="O266" s="37">
        <v>511</v>
      </c>
      <c r="P266" s="37">
        <v>632</v>
      </c>
      <c r="Q266" s="37">
        <v>844</v>
      </c>
      <c r="R266" s="37">
        <v>910</v>
      </c>
      <c r="S266" s="157">
        <v>1326</v>
      </c>
      <c r="T266" s="157">
        <v>833</v>
      </c>
      <c r="U266" s="157">
        <v>874</v>
      </c>
      <c r="V266" s="447">
        <v>781</v>
      </c>
      <c r="Y266" s="1"/>
    </row>
    <row r="267" spans="2:25" x14ac:dyDescent="0.2">
      <c r="B267" s="105" t="s">
        <v>233</v>
      </c>
      <c r="C267" s="157">
        <v>2158</v>
      </c>
      <c r="D267" s="157">
        <v>3219</v>
      </c>
      <c r="E267" s="157">
        <v>3346</v>
      </c>
      <c r="F267" s="157">
        <v>2739</v>
      </c>
      <c r="G267" s="157">
        <v>1727</v>
      </c>
      <c r="H267" s="157">
        <v>1815</v>
      </c>
      <c r="I267" s="157">
        <v>2194</v>
      </c>
      <c r="J267" s="157">
        <v>2306</v>
      </c>
      <c r="K267" s="447">
        <v>2307</v>
      </c>
      <c r="M267" s="105" t="s">
        <v>233</v>
      </c>
      <c r="N267" s="157">
        <v>1885</v>
      </c>
      <c r="O267" s="157">
        <v>1193</v>
      </c>
      <c r="P267" s="157">
        <v>1507</v>
      </c>
      <c r="Q267" s="157">
        <v>1935</v>
      </c>
      <c r="R267" s="157">
        <v>1691</v>
      </c>
      <c r="S267" s="157">
        <v>2113</v>
      </c>
      <c r="T267" s="157">
        <v>1744</v>
      </c>
      <c r="U267" s="157">
        <v>1874</v>
      </c>
      <c r="V267" s="447">
        <v>1578</v>
      </c>
      <c r="Y267" s="1"/>
    </row>
    <row r="268" spans="2:25" x14ac:dyDescent="0.2">
      <c r="B268" s="105" t="s">
        <v>235</v>
      </c>
      <c r="C268" s="37">
        <v>252</v>
      </c>
      <c r="D268" s="37">
        <v>320</v>
      </c>
      <c r="E268" s="37">
        <v>308</v>
      </c>
      <c r="F268" s="37">
        <v>287</v>
      </c>
      <c r="G268" s="37">
        <v>210</v>
      </c>
      <c r="H268" s="37">
        <v>233</v>
      </c>
      <c r="I268" s="37">
        <v>240</v>
      </c>
      <c r="J268" s="37">
        <v>250</v>
      </c>
      <c r="K268" s="92">
        <v>267</v>
      </c>
      <c r="M268" s="105" t="s">
        <v>235</v>
      </c>
      <c r="N268" s="157">
        <v>1897</v>
      </c>
      <c r="O268" s="37">
        <v>647</v>
      </c>
      <c r="P268" s="37">
        <v>802</v>
      </c>
      <c r="Q268" s="37">
        <v>1069</v>
      </c>
      <c r="R268" s="157">
        <v>1645</v>
      </c>
      <c r="S268" s="157">
        <v>2009</v>
      </c>
      <c r="T268" s="157">
        <v>1388</v>
      </c>
      <c r="U268" s="157">
        <v>1377</v>
      </c>
      <c r="V268" s="447">
        <v>1199</v>
      </c>
      <c r="Y268" s="1"/>
    </row>
    <row r="269" spans="2:25" x14ac:dyDescent="0.2">
      <c r="B269" s="105" t="s">
        <v>111</v>
      </c>
      <c r="C269" s="37">
        <v>292</v>
      </c>
      <c r="D269" s="37">
        <v>159</v>
      </c>
      <c r="E269" s="37">
        <v>458</v>
      </c>
      <c r="F269" s="37">
        <v>376</v>
      </c>
      <c r="G269" s="37">
        <v>264</v>
      </c>
      <c r="H269" s="37">
        <v>253</v>
      </c>
      <c r="I269" s="37">
        <v>313</v>
      </c>
      <c r="J269" s="37">
        <v>293</v>
      </c>
      <c r="K269" s="92">
        <v>326</v>
      </c>
      <c r="M269" s="105" t="s">
        <v>111</v>
      </c>
      <c r="N269" s="37">
        <v>623</v>
      </c>
      <c r="O269" s="37">
        <v>211</v>
      </c>
      <c r="P269" s="37">
        <v>449</v>
      </c>
      <c r="Q269" s="37">
        <v>573</v>
      </c>
      <c r="R269" s="37">
        <v>627</v>
      </c>
      <c r="S269" s="37">
        <v>859</v>
      </c>
      <c r="T269" s="37">
        <v>851</v>
      </c>
      <c r="U269" s="37">
        <v>695</v>
      </c>
      <c r="V269" s="92">
        <v>531</v>
      </c>
      <c r="Y269" s="1"/>
    </row>
    <row r="270" spans="2:25" x14ac:dyDescent="0.2">
      <c r="B270" s="105" t="s">
        <v>237</v>
      </c>
      <c r="C270" s="157">
        <v>1047</v>
      </c>
      <c r="D270" s="157">
        <v>1865</v>
      </c>
      <c r="E270" s="157">
        <v>1835</v>
      </c>
      <c r="F270" s="157">
        <v>1501</v>
      </c>
      <c r="G270" s="157">
        <v>832</v>
      </c>
      <c r="H270" s="37">
        <v>894</v>
      </c>
      <c r="I270" s="157">
        <v>1219</v>
      </c>
      <c r="J270" s="157">
        <v>1336</v>
      </c>
      <c r="K270" s="447">
        <v>1191</v>
      </c>
      <c r="M270" s="105" t="s">
        <v>237</v>
      </c>
      <c r="N270" s="37">
        <v>748</v>
      </c>
      <c r="O270" s="37">
        <v>425</v>
      </c>
      <c r="P270" s="37">
        <v>520</v>
      </c>
      <c r="Q270" s="37">
        <v>713</v>
      </c>
      <c r="R270" s="37">
        <v>655</v>
      </c>
      <c r="S270" s="37">
        <v>965</v>
      </c>
      <c r="T270" s="37">
        <v>746</v>
      </c>
      <c r="U270" s="37">
        <v>726</v>
      </c>
      <c r="V270" s="92">
        <v>677</v>
      </c>
      <c r="Y270" s="1"/>
    </row>
    <row r="271" spans="2:25" x14ac:dyDescent="0.2">
      <c r="B271" s="105" t="s">
        <v>236</v>
      </c>
      <c r="C271" s="37">
        <v>736</v>
      </c>
      <c r="D271" s="157">
        <v>1085</v>
      </c>
      <c r="E271" s="157">
        <v>1062</v>
      </c>
      <c r="F271" s="37">
        <v>872</v>
      </c>
      <c r="G271" s="37">
        <v>518</v>
      </c>
      <c r="H271" s="37">
        <v>569</v>
      </c>
      <c r="I271" s="157">
        <v>711</v>
      </c>
      <c r="J271" s="157">
        <v>761</v>
      </c>
      <c r="K271" s="447">
        <v>648</v>
      </c>
      <c r="M271" s="105" t="s">
        <v>236</v>
      </c>
      <c r="N271" s="37">
        <v>1000</v>
      </c>
      <c r="O271" s="37">
        <v>530</v>
      </c>
      <c r="P271" s="37">
        <v>645</v>
      </c>
      <c r="Q271" s="37">
        <v>862</v>
      </c>
      <c r="R271" s="37">
        <v>824</v>
      </c>
      <c r="S271" s="37">
        <v>1111</v>
      </c>
      <c r="T271" s="37">
        <v>963</v>
      </c>
      <c r="U271" s="37">
        <v>838</v>
      </c>
      <c r="V271" s="92">
        <v>739</v>
      </c>
      <c r="Y271" s="1"/>
    </row>
    <row r="272" spans="2:25" x14ac:dyDescent="0.2">
      <c r="B272" s="105" t="s">
        <v>238</v>
      </c>
      <c r="C272" s="37">
        <v>771</v>
      </c>
      <c r="D272" s="157">
        <v>1108</v>
      </c>
      <c r="E272" s="157">
        <v>1094</v>
      </c>
      <c r="F272" s="157">
        <v>991</v>
      </c>
      <c r="G272" s="37">
        <v>674</v>
      </c>
      <c r="H272" s="37">
        <v>810</v>
      </c>
      <c r="I272" s="157">
        <v>890</v>
      </c>
      <c r="J272" s="157">
        <v>897</v>
      </c>
      <c r="K272" s="447">
        <v>768</v>
      </c>
      <c r="M272" s="105" t="s">
        <v>238</v>
      </c>
      <c r="N272" s="37">
        <v>237</v>
      </c>
      <c r="O272" s="37">
        <v>96</v>
      </c>
      <c r="P272" s="37">
        <v>120</v>
      </c>
      <c r="Q272" s="37">
        <v>158</v>
      </c>
      <c r="R272" s="37">
        <v>261</v>
      </c>
      <c r="S272" s="37">
        <v>422</v>
      </c>
      <c r="T272" s="37">
        <v>227</v>
      </c>
      <c r="U272" s="37">
        <v>181</v>
      </c>
      <c r="V272" s="92">
        <v>203</v>
      </c>
      <c r="Y272" s="1"/>
    </row>
    <row r="273" spans="2:25" ht="15" thickBot="1" x14ac:dyDescent="0.25">
      <c r="B273" s="106" t="s">
        <v>239</v>
      </c>
      <c r="C273" s="94">
        <v>330</v>
      </c>
      <c r="D273" s="94">
        <v>613</v>
      </c>
      <c r="E273" s="94">
        <v>581</v>
      </c>
      <c r="F273" s="94">
        <v>475</v>
      </c>
      <c r="G273" s="94">
        <v>246</v>
      </c>
      <c r="H273" s="94">
        <v>200</v>
      </c>
      <c r="I273" s="94">
        <v>372</v>
      </c>
      <c r="J273" s="94">
        <v>391</v>
      </c>
      <c r="K273" s="95">
        <v>315</v>
      </c>
      <c r="M273" s="106" t="s">
        <v>239</v>
      </c>
      <c r="N273" s="448">
        <v>4257</v>
      </c>
      <c r="O273" s="448">
        <v>3018</v>
      </c>
      <c r="P273" s="448">
        <v>4184</v>
      </c>
      <c r="Q273" s="448">
        <v>4281</v>
      </c>
      <c r="R273" s="448">
        <v>3511</v>
      </c>
      <c r="S273" s="448">
        <v>3904</v>
      </c>
      <c r="T273" s="448">
        <v>3677</v>
      </c>
      <c r="U273" s="448">
        <v>4301</v>
      </c>
      <c r="V273" s="449">
        <v>3574</v>
      </c>
      <c r="Y273" s="1"/>
    </row>
    <row r="274" spans="2:25" ht="15" thickBot="1" x14ac:dyDescent="0.25">
      <c r="L274" s="3"/>
      <c r="M274" s="3"/>
      <c r="N274" s="3"/>
      <c r="O274" s="3"/>
      <c r="P274" s="3"/>
      <c r="Q274" s="3"/>
      <c r="R274" s="3"/>
      <c r="S274" s="3"/>
    </row>
    <row r="275" spans="2:25" ht="18.75" thickBot="1" x14ac:dyDescent="0.3">
      <c r="N275" s="32" t="s">
        <v>420</v>
      </c>
      <c r="P275" s="154" t="s">
        <v>421</v>
      </c>
      <c r="Q275" s="155" t="s">
        <v>422</v>
      </c>
      <c r="R275" s="711"/>
      <c r="S275" s="711"/>
      <c r="Y275" s="1"/>
    </row>
    <row r="276" spans="2:25" ht="15" thickBot="1" x14ac:dyDescent="0.25">
      <c r="N276" s="39" t="s">
        <v>423</v>
      </c>
      <c r="P276" s="148" t="s">
        <v>179</v>
      </c>
      <c r="Q276" s="141">
        <v>0.4</v>
      </c>
      <c r="R276"/>
      <c r="S276"/>
      <c r="Y276" s="1"/>
    </row>
    <row r="277" spans="2:25" ht="15" thickBot="1" x14ac:dyDescent="0.25">
      <c r="N277" s="31" t="s">
        <v>424</v>
      </c>
      <c r="P277" s="148" t="s">
        <v>425</v>
      </c>
      <c r="Q277" s="141">
        <v>0.5</v>
      </c>
      <c r="R277"/>
      <c r="S277"/>
      <c r="Y277" s="1"/>
    </row>
    <row r="278" spans="2:25" ht="15" thickBot="1" x14ac:dyDescent="0.25">
      <c r="N278" s="31" t="s">
        <v>177</v>
      </c>
      <c r="P278" s="148" t="s">
        <v>178</v>
      </c>
      <c r="Q278" s="141">
        <v>0.7</v>
      </c>
      <c r="R278"/>
      <c r="S278"/>
      <c r="Y278" s="1"/>
    </row>
    <row r="279" spans="2:25" x14ac:dyDescent="0.2">
      <c r="N279" s="31" t="s">
        <v>180</v>
      </c>
      <c r="P279"/>
      <c r="Q279"/>
      <c r="R279"/>
      <c r="S279"/>
      <c r="Y279" s="1"/>
    </row>
    <row r="280" spans="2:25" x14ac:dyDescent="0.2">
      <c r="N280" s="31" t="s">
        <v>426</v>
      </c>
      <c r="P280"/>
      <c r="Q280"/>
      <c r="R280"/>
      <c r="S280"/>
      <c r="Y280" s="1"/>
    </row>
    <row r="281" spans="2:25" x14ac:dyDescent="0.2">
      <c r="N281" s="31" t="s">
        <v>427</v>
      </c>
      <c r="P281"/>
      <c r="Q281"/>
      <c r="R281"/>
      <c r="S281"/>
      <c r="Y281" s="1"/>
    </row>
    <row r="282" spans="2:25" ht="15" thickBot="1" x14ac:dyDescent="0.25">
      <c r="N282" s="38" t="s">
        <v>428</v>
      </c>
      <c r="P282"/>
      <c r="Q282"/>
      <c r="R282"/>
      <c r="S282"/>
      <c r="Y282" s="1"/>
    </row>
    <row r="283" spans="2:25" x14ac:dyDescent="0.2">
      <c r="Y283" s="1"/>
    </row>
    <row r="284" spans="2:25" x14ac:dyDescent="0.2">
      <c r="N284"/>
      <c r="O284"/>
      <c r="P284"/>
      <c r="Q284"/>
      <c r="Y284" s="1"/>
    </row>
    <row r="285" spans="2:25" x14ac:dyDescent="0.2">
      <c r="N285"/>
      <c r="O285"/>
      <c r="P285"/>
      <c r="Q285"/>
      <c r="Y285" s="1"/>
    </row>
    <row r="286" spans="2:25" ht="18" x14ac:dyDescent="0.25">
      <c r="N286" s="711"/>
      <c r="O286" s="711"/>
      <c r="P286" s="711"/>
      <c r="Q286" s="711"/>
      <c r="Y286" s="1"/>
    </row>
    <row r="287" spans="2:25" x14ac:dyDescent="0.2">
      <c r="N287" s="153"/>
      <c r="O287" s="153"/>
      <c r="P287" s="153"/>
      <c r="Q287" s="153"/>
      <c r="Y287" s="1"/>
    </row>
    <row r="288" spans="2:25" x14ac:dyDescent="0.2">
      <c r="N288"/>
      <c r="O288"/>
      <c r="P288"/>
      <c r="Q288"/>
      <c r="Y288" s="1"/>
    </row>
    <row r="289" spans="2:25" x14ac:dyDescent="0.2">
      <c r="N289"/>
      <c r="O289"/>
      <c r="P289"/>
      <c r="Q289"/>
      <c r="Y289" s="1"/>
    </row>
    <row r="290" spans="2:25" x14ac:dyDescent="0.2">
      <c r="N290"/>
      <c r="O290"/>
      <c r="P290"/>
      <c r="Q290"/>
      <c r="Y290" s="1"/>
    </row>
    <row r="291" spans="2:25" ht="15" thickBot="1" x14ac:dyDescent="0.25">
      <c r="L291"/>
      <c r="M291"/>
      <c r="N291"/>
      <c r="O291"/>
    </row>
    <row r="292" spans="2:25" ht="18.75" thickBot="1" x14ac:dyDescent="0.3">
      <c r="B292" s="32" t="s">
        <v>429</v>
      </c>
    </row>
    <row r="293" spans="2:25" x14ac:dyDescent="0.2">
      <c r="B293" s="39" t="s">
        <v>430</v>
      </c>
    </row>
    <row r="294" spans="2:25" x14ac:dyDescent="0.2">
      <c r="B294" s="31" t="s">
        <v>193</v>
      </c>
    </row>
    <row r="296" spans="2:25" ht="15" thickBot="1" x14ac:dyDescent="0.25"/>
    <row r="297" spans="2:25" ht="15" thickBot="1" x14ac:dyDescent="0.25">
      <c r="L297" s="706" t="s">
        <v>196</v>
      </c>
      <c r="M297" s="708" t="s">
        <v>431</v>
      </c>
      <c r="N297" s="709"/>
    </row>
    <row r="298" spans="2:25" ht="15" thickBot="1" x14ac:dyDescent="0.25">
      <c r="L298" s="707"/>
      <c r="M298" s="147" t="s">
        <v>432</v>
      </c>
      <c r="N298" s="147" t="s">
        <v>203</v>
      </c>
    </row>
    <row r="299" spans="2:25" ht="15" thickBot="1" x14ac:dyDescent="0.25">
      <c r="L299" s="148" t="s">
        <v>433</v>
      </c>
      <c r="M299" s="141">
        <v>1</v>
      </c>
      <c r="N299" s="141">
        <v>0.49</v>
      </c>
    </row>
    <row r="300" spans="2:25" ht="15" thickBot="1" x14ac:dyDescent="0.25">
      <c r="L300" s="148" t="s">
        <v>434</v>
      </c>
      <c r="M300" s="141">
        <v>0.96</v>
      </c>
      <c r="N300" s="141">
        <v>0.51</v>
      </c>
    </row>
    <row r="301" spans="2:25" ht="15" thickBot="1" x14ac:dyDescent="0.25">
      <c r="L301" s="148" t="s">
        <v>435</v>
      </c>
      <c r="M301" s="141">
        <v>0.98</v>
      </c>
      <c r="N301" s="141">
        <v>0.49</v>
      </c>
    </row>
    <row r="302" spans="2:25" ht="15" thickBot="1" x14ac:dyDescent="0.25">
      <c r="L302" s="148" t="s">
        <v>436</v>
      </c>
      <c r="M302" s="141">
        <v>0.99</v>
      </c>
      <c r="N302" s="141">
        <v>0.51</v>
      </c>
    </row>
    <row r="303" spans="2:25" ht="15" thickBot="1" x14ac:dyDescent="0.25">
      <c r="L303" s="148" t="s">
        <v>437</v>
      </c>
      <c r="M303" s="141">
        <v>0.99</v>
      </c>
      <c r="N303" s="141">
        <v>0.5</v>
      </c>
    </row>
    <row r="304" spans="2:25" ht="15" thickBot="1" x14ac:dyDescent="0.25">
      <c r="L304" s="148" t="s">
        <v>438</v>
      </c>
      <c r="M304" s="141">
        <v>0.98</v>
      </c>
      <c r="N304" s="141">
        <v>0.5</v>
      </c>
    </row>
    <row r="305" spans="12:14" ht="15" thickBot="1" x14ac:dyDescent="0.25">
      <c r="L305" s="148" t="s">
        <v>439</v>
      </c>
      <c r="M305" s="141">
        <v>0.96</v>
      </c>
      <c r="N305" s="141">
        <v>0.6</v>
      </c>
    </row>
  </sheetData>
  <autoFilter ref="B73:I190" xr:uid="{216E417C-DD69-43CD-BE6D-466E9040E1AC}"/>
  <mergeCells count="20">
    <mergeCell ref="B258:K258"/>
    <mergeCell ref="L297:L298"/>
    <mergeCell ref="M297:N297"/>
    <mergeCell ref="L237:W237"/>
    <mergeCell ref="M258:V258"/>
    <mergeCell ref="N286:Q286"/>
    <mergeCell ref="R275:S275"/>
    <mergeCell ref="AB66:AD66"/>
    <mergeCell ref="Y66:AA66"/>
    <mergeCell ref="E235:F235"/>
    <mergeCell ref="G235:H235"/>
    <mergeCell ref="B30:V30"/>
    <mergeCell ref="B43:K43"/>
    <mergeCell ref="M43:S43"/>
    <mergeCell ref="L222:W222"/>
    <mergeCell ref="L227:W227"/>
    <mergeCell ref="B235:C235"/>
    <mergeCell ref="B72:I72"/>
    <mergeCell ref="M66:S66"/>
    <mergeCell ref="V66:X66"/>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03E0D-6B00-466E-BD6C-BCB82828FF83}">
  <sheetPr codeName="Sheet11"/>
  <dimension ref="A1:AI62"/>
  <sheetViews>
    <sheetView zoomScale="80" zoomScaleNormal="80" workbookViewId="0">
      <pane xSplit="2" ySplit="2" topLeftCell="C3" activePane="bottomRight" state="frozen"/>
      <selection pane="topRight" activeCell="C1" sqref="C1"/>
      <selection pane="bottomLeft" activeCell="A3" sqref="A3"/>
      <selection pane="bottomRight" activeCell="L30" sqref="L30"/>
    </sheetView>
  </sheetViews>
  <sheetFormatPr defaultRowHeight="14.25" x14ac:dyDescent="0.2"/>
  <cols>
    <col min="1" max="1" width="13.125" bestFit="1" customWidth="1"/>
    <col min="2" max="2" width="18.875" bestFit="1" customWidth="1"/>
    <col min="3" max="11" width="10" customWidth="1"/>
    <col min="12" max="12" width="22.625" bestFit="1" customWidth="1"/>
    <col min="13" max="16" width="10" customWidth="1"/>
    <col min="17" max="18" width="11.75" customWidth="1"/>
    <col min="19" max="24" width="10" customWidth="1"/>
    <col min="25" max="26" width="11.375" customWidth="1"/>
    <col min="27" max="27" width="10" customWidth="1"/>
    <col min="29" max="30" width="12.5" bestFit="1" customWidth="1"/>
  </cols>
  <sheetData>
    <row r="1" spans="1:35" s="499" customFormat="1" ht="78" customHeight="1" x14ac:dyDescent="0.2">
      <c r="B1" s="504" t="s">
        <v>529</v>
      </c>
      <c r="C1" s="505" t="s">
        <v>530</v>
      </c>
      <c r="D1" s="504" t="s">
        <v>545</v>
      </c>
      <c r="E1" s="504"/>
      <c r="F1" s="505" t="s">
        <v>531</v>
      </c>
      <c r="G1" s="505" t="s">
        <v>532</v>
      </c>
      <c r="H1" s="505" t="s">
        <v>533</v>
      </c>
      <c r="I1" s="504"/>
      <c r="J1" s="505" t="s">
        <v>534</v>
      </c>
      <c r="K1" s="505" t="s">
        <v>535</v>
      </c>
      <c r="L1" s="505" t="s">
        <v>536</v>
      </c>
      <c r="M1" s="505" t="s">
        <v>537</v>
      </c>
      <c r="N1" s="505" t="s">
        <v>538</v>
      </c>
      <c r="O1" s="504"/>
      <c r="P1" s="505" t="s">
        <v>539</v>
      </c>
      <c r="Q1" s="504" t="s">
        <v>549</v>
      </c>
      <c r="R1" s="505" t="s">
        <v>541</v>
      </c>
      <c r="S1" s="504"/>
      <c r="T1" s="504"/>
      <c r="U1" s="505" t="s">
        <v>542</v>
      </c>
      <c r="V1" s="504"/>
      <c r="W1" s="505" t="s">
        <v>543</v>
      </c>
      <c r="X1" s="505" t="s">
        <v>544</v>
      </c>
      <c r="Y1" s="505" t="s">
        <v>540</v>
      </c>
      <c r="Z1" s="504" t="s">
        <v>548</v>
      </c>
      <c r="AA1" s="504" t="s">
        <v>547</v>
      </c>
      <c r="AB1" s="504" t="s">
        <v>550</v>
      </c>
      <c r="AC1" s="504" t="s">
        <v>551</v>
      </c>
      <c r="AD1" s="504" t="s">
        <v>552</v>
      </c>
      <c r="AE1" s="504" t="s">
        <v>555</v>
      </c>
      <c r="AF1" s="504" t="s">
        <v>557</v>
      </c>
      <c r="AG1" s="504" t="s">
        <v>558</v>
      </c>
      <c r="AH1" s="504" t="s">
        <v>560</v>
      </c>
      <c r="AI1" s="504" t="s">
        <v>559</v>
      </c>
    </row>
    <row r="2" spans="1:35" s="499" customFormat="1" ht="68.25" customHeight="1" x14ac:dyDescent="0.2">
      <c r="A2" s="503" t="s">
        <v>440</v>
      </c>
      <c r="B2" s="507" t="s">
        <v>441</v>
      </c>
      <c r="C2" s="511" t="s">
        <v>442</v>
      </c>
      <c r="D2" s="506" t="s">
        <v>443</v>
      </c>
      <c r="E2" s="506" t="s">
        <v>444</v>
      </c>
      <c r="F2" s="506" t="s">
        <v>445</v>
      </c>
      <c r="G2" s="511" t="s">
        <v>126</v>
      </c>
      <c r="H2" s="511" t="s">
        <v>446</v>
      </c>
      <c r="I2" s="506" t="s">
        <v>447</v>
      </c>
      <c r="J2" s="506" t="s">
        <v>448</v>
      </c>
      <c r="K2" s="511" t="s">
        <v>449</v>
      </c>
      <c r="L2" s="511" t="s">
        <v>421</v>
      </c>
      <c r="M2" s="511" t="s">
        <v>450</v>
      </c>
      <c r="N2" s="511" t="s">
        <v>451</v>
      </c>
      <c r="O2" s="506" t="s">
        <v>452</v>
      </c>
      <c r="P2" s="504" t="s">
        <v>453</v>
      </c>
      <c r="Q2" s="511" t="s">
        <v>454</v>
      </c>
      <c r="R2" s="511" t="s">
        <v>455</v>
      </c>
      <c r="S2" s="506" t="s">
        <v>456</v>
      </c>
      <c r="T2" s="506" t="s">
        <v>457</v>
      </c>
      <c r="U2" s="506" t="s">
        <v>458</v>
      </c>
      <c r="V2" s="504" t="s">
        <v>196</v>
      </c>
      <c r="W2" s="506" t="s">
        <v>459</v>
      </c>
      <c r="X2" s="506" t="s">
        <v>460</v>
      </c>
      <c r="Y2" s="511" t="s">
        <v>527</v>
      </c>
      <c r="Z2" s="511" t="s">
        <v>526</v>
      </c>
      <c r="AA2" s="511" t="s">
        <v>546</v>
      </c>
      <c r="AB2" s="511" t="s">
        <v>443</v>
      </c>
      <c r="AC2" s="511" t="s">
        <v>553</v>
      </c>
      <c r="AD2" s="511" t="s">
        <v>554</v>
      </c>
      <c r="AE2" s="511" t="s">
        <v>556</v>
      </c>
      <c r="AF2" s="511" t="s">
        <v>128</v>
      </c>
      <c r="AG2" s="511" t="s">
        <v>273</v>
      </c>
      <c r="AH2" s="511" t="s">
        <v>561</v>
      </c>
      <c r="AI2" s="511" t="s">
        <v>145</v>
      </c>
    </row>
    <row r="3" spans="1:35" x14ac:dyDescent="0.2">
      <c r="A3" s="508" t="str">
        <f>IF(OR('Premium Eff Motor'!V10=0,'Premium Eff Motor'!V10=""),"","Prescriptive")</f>
        <v/>
      </c>
      <c r="B3" s="508" t="str">
        <f>IF(A3="","","PremiumEffMotor")</f>
        <v/>
      </c>
      <c r="C3" s="500" t="str">
        <f>IF(A3="","",'Premium Eff Motor'!G10)</f>
        <v/>
      </c>
      <c r="D3" s="519" t="str">
        <f>IF(A3="","",ROUND(F3/R3,2))</f>
        <v/>
      </c>
      <c r="F3" s="519" t="str">
        <f>IF(A3="","",'Premium Eff Motor'!AA10)</f>
        <v/>
      </c>
      <c r="G3" s="500" t="str">
        <f>IF(A3="","",'Premium Eff Motor'!D10)</f>
        <v/>
      </c>
      <c r="H3" s="500" t="str">
        <f>IF(A3="","",'Premium Eff Motor'!E10)</f>
        <v/>
      </c>
      <c r="K3" s="533" t="str">
        <f>IF(A3="","",'Premium Eff Motor'!M10)</f>
        <v/>
      </c>
      <c r="L3" s="538" t="str">
        <f>IF(A3="","",'Premium Eff Motor'!F10)</f>
        <v/>
      </c>
      <c r="M3" s="533" t="str">
        <f>IF(A3="","",'Premium Eff Motor'!S10)</f>
        <v/>
      </c>
      <c r="N3" s="533" t="str">
        <f>IF(A3="","",'Premium Eff Motor'!O10)</f>
        <v/>
      </c>
      <c r="Q3" s="515" t="str">
        <f>IF(A3="","",'Premium Eff Motor'!Y10)</f>
        <v/>
      </c>
      <c r="R3" s="517" t="str">
        <f>IF(A3="","",'Premium Eff Motor'!V10)</f>
        <v/>
      </c>
      <c r="U3" s="533" t="str">
        <f>IF(A3="","",'Project Summary'!$C$14)</f>
        <v/>
      </c>
      <c r="Y3" s="515" t="str">
        <f>IF($A3="","",'Premium Eff Motor'!W10)</f>
        <v/>
      </c>
      <c r="Z3" s="515" t="str">
        <f>IF($A3="","",'Premium Eff Motor'!X10)</f>
        <v/>
      </c>
      <c r="AA3" s="512" t="str">
        <f>IF($A3="","",'Project Summary'!$C$9)</f>
        <v/>
      </c>
      <c r="AB3" s="519" t="str">
        <f>IF($A3="","",IFERROR(ROUND(F3/R3, 2), ""))</f>
        <v/>
      </c>
      <c r="AC3" s="536" t="str">
        <f>IF($A3="","",'Premium Eff Motor'!P10)</f>
        <v/>
      </c>
      <c r="AD3" s="536" t="str">
        <f>IF($A3="","",'Premium Eff Motor'!Q10)</f>
        <v/>
      </c>
      <c r="AE3" s="533" t="str">
        <f>IF($A3="","",_xlfn.CONCAT('Premium Eff Motor'!J10&amp;" Pole "&amp;IF('Premium Eff Motor'!K10="Enclosed", "Closed","Open")))</f>
        <v/>
      </c>
      <c r="AF3" s="538" t="str">
        <f>IF($A3="","",'Premium Eff Motor'!H10)</f>
        <v/>
      </c>
      <c r="AG3" s="538" t="str">
        <f>IF($A3="","",'Premium Eff Motor'!I10)</f>
        <v/>
      </c>
      <c r="AH3" s="533" t="str">
        <f>IF($A3="","",'Premium Eff Motor'!L10)</f>
        <v/>
      </c>
    </row>
    <row r="4" spans="1:35" x14ac:dyDescent="0.2">
      <c r="A4" s="508" t="str">
        <f>IF(OR('Premium Eff Motor'!V11=0,'Premium Eff Motor'!V11=""),"","Prescriptive")</f>
        <v/>
      </c>
      <c r="B4" s="508" t="str">
        <f t="shared" ref="B4:B12" si="0">IF(A4="","","PremiumEffMotor")</f>
        <v/>
      </c>
      <c r="C4" s="500" t="str">
        <f>IF(A4="","",'Premium Eff Motor'!G11)</f>
        <v/>
      </c>
      <c r="D4" s="519" t="str">
        <f t="shared" ref="D4:D62" si="1">IF(A4="","",ROUND(F4/R4,2))</f>
        <v/>
      </c>
      <c r="F4" s="519" t="str">
        <f>IF(A4="","",'Premium Eff Motor'!AA11)</f>
        <v/>
      </c>
      <c r="G4" s="500" t="str">
        <f>IF(A4="","",'Premium Eff Motor'!D11)</f>
        <v/>
      </c>
      <c r="H4" s="500" t="str">
        <f>IF(A4="","",'Premium Eff Motor'!E11)</f>
        <v/>
      </c>
      <c r="K4" s="533" t="str">
        <f>IF(A4="","",'Premium Eff Motor'!M11)</f>
        <v/>
      </c>
      <c r="L4" s="533" t="str">
        <f>IF(A4="","",'Premium Eff Motor'!F11)</f>
        <v/>
      </c>
      <c r="M4" s="533" t="str">
        <f>IF(A4="","",'Premium Eff Motor'!S11)</f>
        <v/>
      </c>
      <c r="N4" s="533" t="str">
        <f>IF(A4="","",'Premium Eff Motor'!O11)</f>
        <v/>
      </c>
      <c r="Q4" s="515" t="str">
        <f>IF(A4="","",'Premium Eff Motor'!Y11)</f>
        <v/>
      </c>
      <c r="R4" s="517" t="str">
        <f>IF(A4="","",'Premium Eff Motor'!V11)</f>
        <v/>
      </c>
      <c r="U4" s="533" t="str">
        <f>IF(A4="","",'Project Summary'!$C$14)</f>
        <v/>
      </c>
      <c r="Y4" s="515" t="str">
        <f>IF($A4="","",'Premium Eff Motor'!W11)</f>
        <v/>
      </c>
      <c r="Z4" s="515" t="str">
        <f>IF($A4="","",'Premium Eff Motor'!X11)</f>
        <v/>
      </c>
      <c r="AA4" s="512" t="str">
        <f>IF($A4="","",'Project Summary'!$C$9)</f>
        <v/>
      </c>
      <c r="AB4" s="519" t="str">
        <f t="shared" ref="AB4:AB62" si="2">IF($A4="","",IFERROR(ROUND(F4/R4, 2), ""))</f>
        <v/>
      </c>
      <c r="AC4" s="536" t="str">
        <f>IF($A4="","",'Premium Eff Motor'!P11)</f>
        <v/>
      </c>
      <c r="AD4" s="536" t="str">
        <f>IF($A4="","",'Premium Eff Motor'!Q11)</f>
        <v/>
      </c>
      <c r="AE4" s="533" t="str">
        <f>IF($A4="","",_xlfn.CONCAT('Premium Eff Motor'!J11&amp;" Pole "&amp;IF('Premium Eff Motor'!K11="Enclosed", "Closed","Open")))</f>
        <v/>
      </c>
      <c r="AF4" s="533" t="str">
        <f>IF($A4="","",'Premium Eff Motor'!H11)</f>
        <v/>
      </c>
      <c r="AG4" s="533" t="str">
        <f>IF($A4="","",'Premium Eff Motor'!I11)</f>
        <v/>
      </c>
      <c r="AH4" s="533" t="str">
        <f>IF($A4="","",'Premium Eff Motor'!L11)</f>
        <v/>
      </c>
    </row>
    <row r="5" spans="1:35" x14ac:dyDescent="0.2">
      <c r="A5" s="508" t="str">
        <f>IF(OR('Premium Eff Motor'!V12=0,'Premium Eff Motor'!V12=""),"","Prescriptive")</f>
        <v/>
      </c>
      <c r="B5" s="508" t="str">
        <f t="shared" si="0"/>
        <v/>
      </c>
      <c r="C5" s="500" t="str">
        <f>IF(A5="","",'Premium Eff Motor'!G12)</f>
        <v/>
      </c>
      <c r="D5" s="519" t="str">
        <f t="shared" si="1"/>
        <v/>
      </c>
      <c r="F5" s="519" t="str">
        <f>IF(A5="","",'Premium Eff Motor'!AA12)</f>
        <v/>
      </c>
      <c r="G5" s="500" t="str">
        <f>IF(A5="","",'Premium Eff Motor'!D12)</f>
        <v/>
      </c>
      <c r="H5" s="500" t="str">
        <f>IF(A5="","",'Premium Eff Motor'!E12)</f>
        <v/>
      </c>
      <c r="K5" s="533" t="str">
        <f>IF(A5="","",'Premium Eff Motor'!M12)</f>
        <v/>
      </c>
      <c r="L5" s="533" t="str">
        <f>IF(A5="","",'Premium Eff Motor'!F12)</f>
        <v/>
      </c>
      <c r="M5" s="533" t="str">
        <f>IF(A5="","",'Premium Eff Motor'!S12)</f>
        <v/>
      </c>
      <c r="N5" s="533" t="str">
        <f>IF(A5="","",'Premium Eff Motor'!O12)</f>
        <v/>
      </c>
      <c r="Q5" s="515" t="str">
        <f>IF(A5="","",'Premium Eff Motor'!Y12)</f>
        <v/>
      </c>
      <c r="R5" s="517" t="str">
        <f>IF(A5="","",'Premium Eff Motor'!V12)</f>
        <v/>
      </c>
      <c r="U5" s="533" t="str">
        <f>IF(A5="","",'Project Summary'!$C$14)</f>
        <v/>
      </c>
      <c r="Y5" s="515" t="str">
        <f>IF($A5="","",'Premium Eff Motor'!W12)</f>
        <v/>
      </c>
      <c r="Z5" s="515" t="str">
        <f>IF($A5="","",'Premium Eff Motor'!X12)</f>
        <v/>
      </c>
      <c r="AA5" s="512" t="str">
        <f>IF($A5="","",'Project Summary'!$C$9)</f>
        <v/>
      </c>
      <c r="AB5" s="519" t="str">
        <f t="shared" si="2"/>
        <v/>
      </c>
      <c r="AC5" s="536" t="str">
        <f>IF($A5="","",'Premium Eff Motor'!P12)</f>
        <v/>
      </c>
      <c r="AD5" s="536" t="str">
        <f>IF($A5="","",'Premium Eff Motor'!Q12)</f>
        <v/>
      </c>
      <c r="AE5" s="533" t="str">
        <f>IF($A5="","",_xlfn.CONCAT('Premium Eff Motor'!J12&amp;" Pole "&amp;IF('Premium Eff Motor'!K12="Enclosed", "Closed","Open")))</f>
        <v/>
      </c>
      <c r="AF5" s="533" t="str">
        <f>IF($A5="","",'Premium Eff Motor'!H12)</f>
        <v/>
      </c>
      <c r="AG5" s="533" t="str">
        <f>IF($A5="","",'Premium Eff Motor'!I12)</f>
        <v/>
      </c>
      <c r="AH5" s="533" t="str">
        <f>IF($A5="","",'Premium Eff Motor'!L12)</f>
        <v/>
      </c>
    </row>
    <row r="6" spans="1:35" x14ac:dyDescent="0.2">
      <c r="A6" s="508" t="str">
        <f>IF(OR('Premium Eff Motor'!V13=0,'Premium Eff Motor'!V13=""),"","Prescriptive")</f>
        <v/>
      </c>
      <c r="B6" s="508" t="str">
        <f t="shared" si="0"/>
        <v/>
      </c>
      <c r="C6" s="500" t="str">
        <f>IF(A6="","",'Premium Eff Motor'!G13)</f>
        <v/>
      </c>
      <c r="D6" s="519" t="str">
        <f t="shared" si="1"/>
        <v/>
      </c>
      <c r="F6" s="519" t="str">
        <f>IF(A6="","",'Premium Eff Motor'!AA13)</f>
        <v/>
      </c>
      <c r="G6" s="500" t="str">
        <f>IF(A6="","",'Premium Eff Motor'!D13)</f>
        <v/>
      </c>
      <c r="H6" s="500" t="str">
        <f>IF(A6="","",'Premium Eff Motor'!E13)</f>
        <v/>
      </c>
      <c r="K6" s="533" t="str">
        <f>IF(A6="","",'Premium Eff Motor'!M13)</f>
        <v/>
      </c>
      <c r="L6" s="533" t="str">
        <f>IF(A6="","",'Premium Eff Motor'!F13)</f>
        <v/>
      </c>
      <c r="M6" s="533" t="str">
        <f>IF(A6="","",'Premium Eff Motor'!S13)</f>
        <v/>
      </c>
      <c r="N6" s="533" t="str">
        <f>IF(A6="","",'Premium Eff Motor'!O13)</f>
        <v/>
      </c>
      <c r="Q6" s="515" t="str">
        <f>IF(A6="","",'Premium Eff Motor'!Y13)</f>
        <v/>
      </c>
      <c r="R6" s="517" t="str">
        <f>IF(A6="","",'Premium Eff Motor'!V13)</f>
        <v/>
      </c>
      <c r="U6" s="533" t="str">
        <f>IF(A6="","",'Project Summary'!$C$14)</f>
        <v/>
      </c>
      <c r="Y6" s="515" t="str">
        <f>IF($A6="","",'Premium Eff Motor'!W13)</f>
        <v/>
      </c>
      <c r="Z6" s="515" t="str">
        <f>IF($A6="","",'Premium Eff Motor'!X13)</f>
        <v/>
      </c>
      <c r="AA6" s="512" t="str">
        <f>IF($A6="","",'Project Summary'!$C$9)</f>
        <v/>
      </c>
      <c r="AB6" s="519" t="str">
        <f t="shared" si="2"/>
        <v/>
      </c>
      <c r="AC6" s="536" t="str">
        <f>IF($A6="","",'Premium Eff Motor'!P13)</f>
        <v/>
      </c>
      <c r="AD6" s="536" t="str">
        <f>IF($A6="","",'Premium Eff Motor'!Q13)</f>
        <v/>
      </c>
      <c r="AE6" s="533" t="str">
        <f>IF($A6="","",_xlfn.CONCAT('Premium Eff Motor'!J13&amp;" Pole "&amp;IF('Premium Eff Motor'!K13="Enclosed", "Closed","Open")))</f>
        <v/>
      </c>
      <c r="AF6" s="533" t="str">
        <f>IF($A6="","",'Premium Eff Motor'!H13)</f>
        <v/>
      </c>
      <c r="AG6" s="533" t="str">
        <f>IF($A6="","",'Premium Eff Motor'!I13)</f>
        <v/>
      </c>
      <c r="AH6" s="533" t="str">
        <f>IF($A6="","",'Premium Eff Motor'!L13)</f>
        <v/>
      </c>
    </row>
    <row r="7" spans="1:35" x14ac:dyDescent="0.2">
      <c r="A7" s="508" t="str">
        <f>IF(OR('Premium Eff Motor'!V14=0,'Premium Eff Motor'!V14=""),"","Prescriptive")</f>
        <v/>
      </c>
      <c r="B7" s="508" t="str">
        <f t="shared" si="0"/>
        <v/>
      </c>
      <c r="C7" s="500" t="str">
        <f>IF(A7="","",'Premium Eff Motor'!G14)</f>
        <v/>
      </c>
      <c r="D7" s="519" t="str">
        <f t="shared" si="1"/>
        <v/>
      </c>
      <c r="F7" s="519" t="str">
        <f>IF(A7="","",'Premium Eff Motor'!AA14)</f>
        <v/>
      </c>
      <c r="G7" s="500" t="str">
        <f>IF(A7="","",'Premium Eff Motor'!D14)</f>
        <v/>
      </c>
      <c r="H7" s="500" t="str">
        <f>IF(A7="","",'Premium Eff Motor'!E14)</f>
        <v/>
      </c>
      <c r="K7" s="533" t="str">
        <f>IF(A7="","",'Premium Eff Motor'!M14)</f>
        <v/>
      </c>
      <c r="L7" s="533" t="str">
        <f>IF(A7="","",'Premium Eff Motor'!F14)</f>
        <v/>
      </c>
      <c r="M7" s="533" t="str">
        <f>IF(A7="","",'Premium Eff Motor'!S14)</f>
        <v/>
      </c>
      <c r="N7" s="533" t="str">
        <f>IF(A7="","",'Premium Eff Motor'!O14)</f>
        <v/>
      </c>
      <c r="Q7" s="515" t="str">
        <f>IF(A7="","",'Premium Eff Motor'!Y14)</f>
        <v/>
      </c>
      <c r="R7" s="517" t="str">
        <f>IF(A7="","",'Premium Eff Motor'!V14)</f>
        <v/>
      </c>
      <c r="U7" s="533" t="str">
        <f>IF(A7="","",'Project Summary'!$C$14)</f>
        <v/>
      </c>
      <c r="Y7" s="515" t="str">
        <f>IF($A7="","",'Premium Eff Motor'!W14)</f>
        <v/>
      </c>
      <c r="Z7" s="515" t="str">
        <f>IF($A7="","",'Premium Eff Motor'!X14)</f>
        <v/>
      </c>
      <c r="AA7" s="512" t="str">
        <f>IF($A7="","",'Project Summary'!$C$9)</f>
        <v/>
      </c>
      <c r="AB7" s="519" t="str">
        <f t="shared" si="2"/>
        <v/>
      </c>
      <c r="AC7" s="536" t="str">
        <f>IF($A7="","",'Premium Eff Motor'!P14)</f>
        <v/>
      </c>
      <c r="AD7" s="536" t="str">
        <f>IF($A7="","",'Premium Eff Motor'!Q14)</f>
        <v/>
      </c>
      <c r="AE7" s="533" t="str">
        <f>IF($A7="","",_xlfn.CONCAT('Premium Eff Motor'!J14&amp;" Pole "&amp;IF('Premium Eff Motor'!K14="Enclosed", "Closed","Open")))</f>
        <v/>
      </c>
      <c r="AF7" s="533" t="str">
        <f>IF($A7="","",'Premium Eff Motor'!H14)</f>
        <v/>
      </c>
      <c r="AG7" s="533" t="str">
        <f>IF($A7="","",'Premium Eff Motor'!I14)</f>
        <v/>
      </c>
      <c r="AH7" s="533" t="str">
        <f>IF($A7="","",'Premium Eff Motor'!L14)</f>
        <v/>
      </c>
    </row>
    <row r="8" spans="1:35" x14ac:dyDescent="0.2">
      <c r="A8" s="508" t="str">
        <f>IF(OR('Premium Eff Motor'!V15=0,'Premium Eff Motor'!V15=""),"","Prescriptive")</f>
        <v/>
      </c>
      <c r="B8" s="508" t="str">
        <f t="shared" si="0"/>
        <v/>
      </c>
      <c r="C8" s="500" t="str">
        <f>IF(A8="","",'Premium Eff Motor'!G15)</f>
        <v/>
      </c>
      <c r="D8" s="519" t="str">
        <f t="shared" si="1"/>
        <v/>
      </c>
      <c r="F8" s="519" t="str">
        <f>IF(A8="","",'Premium Eff Motor'!AA15)</f>
        <v/>
      </c>
      <c r="G8" s="500" t="str">
        <f>IF(A8="","",'Premium Eff Motor'!D15)</f>
        <v/>
      </c>
      <c r="H8" s="500" t="str">
        <f>IF(A8="","",'Premium Eff Motor'!E15)</f>
        <v/>
      </c>
      <c r="K8" s="533" t="str">
        <f>IF(A8="","",'Premium Eff Motor'!M15)</f>
        <v/>
      </c>
      <c r="L8" s="533" t="str">
        <f>IF(A8="","",'Premium Eff Motor'!F15)</f>
        <v/>
      </c>
      <c r="M8" s="533" t="str">
        <f>IF(A8="","",'Premium Eff Motor'!S15)</f>
        <v/>
      </c>
      <c r="N8" s="533" t="str">
        <f>IF(A8="","",'Premium Eff Motor'!O15)</f>
        <v/>
      </c>
      <c r="Q8" s="515" t="str">
        <f>IF(A8="","",'Premium Eff Motor'!Y15)</f>
        <v/>
      </c>
      <c r="R8" s="517" t="str">
        <f>IF(A8="","",'Premium Eff Motor'!V15)</f>
        <v/>
      </c>
      <c r="U8" s="533" t="str">
        <f>IF(A8="","",'Project Summary'!$C$14)</f>
        <v/>
      </c>
      <c r="Y8" s="515" t="str">
        <f>IF($A8="","",'Premium Eff Motor'!W15)</f>
        <v/>
      </c>
      <c r="Z8" s="515" t="str">
        <f>IF($A8="","",'Premium Eff Motor'!X15)</f>
        <v/>
      </c>
      <c r="AA8" s="512" t="str">
        <f>IF($A8="","",'Project Summary'!$C$9)</f>
        <v/>
      </c>
      <c r="AB8" s="519" t="str">
        <f t="shared" si="2"/>
        <v/>
      </c>
      <c r="AC8" s="536" t="str">
        <f>IF($A8="","",'Premium Eff Motor'!P15)</f>
        <v/>
      </c>
      <c r="AD8" s="536" t="str">
        <f>IF($A8="","",'Premium Eff Motor'!Q15)</f>
        <v/>
      </c>
      <c r="AE8" s="533" t="str">
        <f>IF($A8="","",_xlfn.CONCAT('Premium Eff Motor'!J15&amp;" Pole "&amp;IF('Premium Eff Motor'!K15="Enclosed", "Closed","Open")))</f>
        <v/>
      </c>
      <c r="AF8" s="533" t="str">
        <f>IF($A8="","",'Premium Eff Motor'!H15)</f>
        <v/>
      </c>
      <c r="AG8" s="533" t="str">
        <f>IF($A8="","",'Premium Eff Motor'!I15)</f>
        <v/>
      </c>
      <c r="AH8" s="533" t="str">
        <f>IF($A8="","",'Premium Eff Motor'!L15)</f>
        <v/>
      </c>
    </row>
    <row r="9" spans="1:35" x14ac:dyDescent="0.2">
      <c r="A9" s="508" t="str">
        <f>IF(OR('Premium Eff Motor'!V16=0,'Premium Eff Motor'!V16=""),"","Prescriptive")</f>
        <v/>
      </c>
      <c r="B9" s="508" t="str">
        <f t="shared" si="0"/>
        <v/>
      </c>
      <c r="C9" s="500" t="str">
        <f>IF(A9="","",'Premium Eff Motor'!G16)</f>
        <v/>
      </c>
      <c r="D9" s="519" t="str">
        <f t="shared" si="1"/>
        <v/>
      </c>
      <c r="F9" s="519" t="str">
        <f>IF(A9="","",'Premium Eff Motor'!AA16)</f>
        <v/>
      </c>
      <c r="G9" s="500" t="str">
        <f>IF(A9="","",'Premium Eff Motor'!D16)</f>
        <v/>
      </c>
      <c r="H9" s="500" t="str">
        <f>IF(A9="","",'Premium Eff Motor'!E16)</f>
        <v/>
      </c>
      <c r="K9" s="533" t="str">
        <f>IF(A9="","",'Premium Eff Motor'!M16)</f>
        <v/>
      </c>
      <c r="L9" s="533" t="str">
        <f>IF(A9="","",'Premium Eff Motor'!F16)</f>
        <v/>
      </c>
      <c r="M9" s="533" t="str">
        <f>IF(A9="","",'Premium Eff Motor'!S16)</f>
        <v/>
      </c>
      <c r="N9" s="533" t="str">
        <f>IF(A9="","",'Premium Eff Motor'!O16)</f>
        <v/>
      </c>
      <c r="Q9" s="515" t="str">
        <f>IF(A9="","",'Premium Eff Motor'!Y16)</f>
        <v/>
      </c>
      <c r="R9" s="517" t="str">
        <f>IF(A9="","",'Premium Eff Motor'!V16)</f>
        <v/>
      </c>
      <c r="U9" s="533" t="str">
        <f>IF(A9="","",'Project Summary'!$C$14)</f>
        <v/>
      </c>
      <c r="Y9" s="515" t="str">
        <f>IF($A9="","",'Premium Eff Motor'!W16)</f>
        <v/>
      </c>
      <c r="Z9" s="515" t="str">
        <f>IF($A9="","",'Premium Eff Motor'!X16)</f>
        <v/>
      </c>
      <c r="AA9" s="512" t="str">
        <f>IF($A9="","",'Project Summary'!$C$9)</f>
        <v/>
      </c>
      <c r="AB9" s="519" t="str">
        <f t="shared" si="2"/>
        <v/>
      </c>
      <c r="AC9" s="536" t="str">
        <f>IF($A9="","",'Premium Eff Motor'!P16)</f>
        <v/>
      </c>
      <c r="AD9" s="536" t="str">
        <f>IF($A9="","",'Premium Eff Motor'!Q16)</f>
        <v/>
      </c>
      <c r="AE9" s="533" t="str">
        <f>IF($A9="","",_xlfn.CONCAT('Premium Eff Motor'!J16&amp;" Pole "&amp;IF('Premium Eff Motor'!K16="Enclosed", "Closed","Open")))</f>
        <v/>
      </c>
      <c r="AF9" s="533" t="str">
        <f>IF($A9="","",'Premium Eff Motor'!H16)</f>
        <v/>
      </c>
      <c r="AG9" s="533" t="str">
        <f>IF($A9="","",'Premium Eff Motor'!I16)</f>
        <v/>
      </c>
      <c r="AH9" s="533" t="str">
        <f>IF($A9="","",'Premium Eff Motor'!L16)</f>
        <v/>
      </c>
    </row>
    <row r="10" spans="1:35" x14ac:dyDescent="0.2">
      <c r="A10" s="508" t="str">
        <f>IF(OR('Premium Eff Motor'!V17=0,'Premium Eff Motor'!V17=""),"","Prescriptive")</f>
        <v/>
      </c>
      <c r="B10" s="508" t="str">
        <f t="shared" si="0"/>
        <v/>
      </c>
      <c r="C10" s="500" t="str">
        <f>IF(A10="","",'Premium Eff Motor'!G17)</f>
        <v/>
      </c>
      <c r="D10" s="519" t="str">
        <f t="shared" si="1"/>
        <v/>
      </c>
      <c r="F10" s="519" t="str">
        <f>IF(A10="","",'Premium Eff Motor'!AA17)</f>
        <v/>
      </c>
      <c r="G10" s="500" t="str">
        <f>IF(A10="","",'Premium Eff Motor'!D17)</f>
        <v/>
      </c>
      <c r="H10" s="500" t="str">
        <f>IF(A10="","",'Premium Eff Motor'!E17)</f>
        <v/>
      </c>
      <c r="K10" s="533" t="str">
        <f>IF(A10="","",'Premium Eff Motor'!M17)</f>
        <v/>
      </c>
      <c r="L10" s="533" t="str">
        <f>IF(A10="","",'Premium Eff Motor'!F17)</f>
        <v/>
      </c>
      <c r="M10" s="533" t="str">
        <f>IF(A10="","",'Premium Eff Motor'!S17)</f>
        <v/>
      </c>
      <c r="N10" s="533" t="str">
        <f>IF(A10="","",'Premium Eff Motor'!O17)</f>
        <v/>
      </c>
      <c r="Q10" s="515" t="str">
        <f>IF(A10="","",'Premium Eff Motor'!Y17)</f>
        <v/>
      </c>
      <c r="R10" s="517" t="str">
        <f>IF(A10="","",'Premium Eff Motor'!V17)</f>
        <v/>
      </c>
      <c r="U10" s="533" t="str">
        <f>IF(A10="","",'Project Summary'!$C$14)</f>
        <v/>
      </c>
      <c r="Y10" s="515" t="str">
        <f>IF($A10="","",'Premium Eff Motor'!W17)</f>
        <v/>
      </c>
      <c r="Z10" s="515" t="str">
        <f>IF($A10="","",'Premium Eff Motor'!X17)</f>
        <v/>
      </c>
      <c r="AA10" s="512" t="str">
        <f>IF($A10="","",'Project Summary'!$C$9)</f>
        <v/>
      </c>
      <c r="AB10" s="519" t="str">
        <f t="shared" si="2"/>
        <v/>
      </c>
      <c r="AC10" s="536" t="str">
        <f>IF($A10="","",'Premium Eff Motor'!P17)</f>
        <v/>
      </c>
      <c r="AD10" s="536" t="str">
        <f>IF($A10="","",'Premium Eff Motor'!Q17)</f>
        <v/>
      </c>
      <c r="AE10" s="533" t="str">
        <f>IF($A10="","",_xlfn.CONCAT('Premium Eff Motor'!J17&amp;" Pole "&amp;IF('Premium Eff Motor'!K17="Enclosed", "Closed","Open")))</f>
        <v/>
      </c>
      <c r="AF10" s="533" t="str">
        <f>IF($A10="","",'Premium Eff Motor'!H17)</f>
        <v/>
      </c>
      <c r="AG10" s="533" t="str">
        <f>IF($A10="","",'Premium Eff Motor'!I17)</f>
        <v/>
      </c>
      <c r="AH10" s="533" t="str">
        <f>IF($A10="","",'Premium Eff Motor'!L17)</f>
        <v/>
      </c>
    </row>
    <row r="11" spans="1:35" x14ac:dyDescent="0.2">
      <c r="A11" s="508" t="str">
        <f>IF(OR('Premium Eff Motor'!V18=0,'Premium Eff Motor'!V18=""),"","Prescriptive")</f>
        <v/>
      </c>
      <c r="B11" s="508" t="str">
        <f t="shared" si="0"/>
        <v/>
      </c>
      <c r="C11" s="500" t="str">
        <f>IF(A11="","",'Premium Eff Motor'!G18)</f>
        <v/>
      </c>
      <c r="D11" s="519" t="str">
        <f t="shared" si="1"/>
        <v/>
      </c>
      <c r="F11" s="519" t="str">
        <f>IF(A11="","",'Premium Eff Motor'!AA18)</f>
        <v/>
      </c>
      <c r="G11" s="500" t="str">
        <f>IF(A11="","",'Premium Eff Motor'!D18)</f>
        <v/>
      </c>
      <c r="H11" s="500" t="str">
        <f>IF(A11="","",'Premium Eff Motor'!E18)</f>
        <v/>
      </c>
      <c r="K11" s="533" t="str">
        <f>IF(A11="","",'Premium Eff Motor'!M18)</f>
        <v/>
      </c>
      <c r="L11" s="533" t="str">
        <f>IF(A11="","",'Premium Eff Motor'!F18)</f>
        <v/>
      </c>
      <c r="M11" s="533" t="str">
        <f>IF(A11="","",'Premium Eff Motor'!S18)</f>
        <v/>
      </c>
      <c r="N11" s="533" t="str">
        <f>IF(A11="","",'Premium Eff Motor'!O18)</f>
        <v/>
      </c>
      <c r="Q11" s="515" t="str">
        <f>IF(A11="","",'Premium Eff Motor'!Y18)</f>
        <v/>
      </c>
      <c r="R11" s="517" t="str">
        <f>IF(A11="","",'Premium Eff Motor'!V18)</f>
        <v/>
      </c>
      <c r="U11" s="533" t="str">
        <f>IF(A11="","",'Project Summary'!$C$14)</f>
        <v/>
      </c>
      <c r="Y11" s="515" t="str">
        <f>IF($A11="","",'Premium Eff Motor'!W18)</f>
        <v/>
      </c>
      <c r="Z11" s="515" t="str">
        <f>IF($A11="","",'Premium Eff Motor'!X18)</f>
        <v/>
      </c>
      <c r="AA11" s="512" t="str">
        <f>IF($A11="","",'Project Summary'!$C$9)</f>
        <v/>
      </c>
      <c r="AB11" s="519" t="str">
        <f t="shared" si="2"/>
        <v/>
      </c>
      <c r="AC11" s="536" t="str">
        <f>IF($A11="","",'Premium Eff Motor'!P18)</f>
        <v/>
      </c>
      <c r="AD11" s="536" t="str">
        <f>IF($A11="","",'Premium Eff Motor'!Q18)</f>
        <v/>
      </c>
      <c r="AE11" s="533" t="str">
        <f>IF($A11="","",_xlfn.CONCAT('Premium Eff Motor'!J18&amp;" Pole "&amp;IF('Premium Eff Motor'!K18="Enclosed", "Closed","Open")))</f>
        <v/>
      </c>
      <c r="AF11" s="533" t="str">
        <f>IF($A11="","",'Premium Eff Motor'!H18)</f>
        <v/>
      </c>
      <c r="AG11" s="533" t="str">
        <f>IF($A11="","",'Premium Eff Motor'!I18)</f>
        <v/>
      </c>
      <c r="AH11" s="533" t="str">
        <f>IF($A11="","",'Premium Eff Motor'!L18)</f>
        <v/>
      </c>
    </row>
    <row r="12" spans="1:35" s="163" customFormat="1" ht="15" thickBot="1" x14ac:dyDescent="0.25">
      <c r="A12" s="510" t="str">
        <f>IF(OR('Premium Eff Motor'!V19=0,'Premium Eff Motor'!V19=""),"","Prescriptive")</f>
        <v/>
      </c>
      <c r="B12" s="510" t="str">
        <f t="shared" si="0"/>
        <v/>
      </c>
      <c r="C12" s="501" t="str">
        <f>IF(A12="","",'Premium Eff Motor'!G19)</f>
        <v/>
      </c>
      <c r="D12" s="520" t="str">
        <f t="shared" si="1"/>
        <v/>
      </c>
      <c r="F12" s="520" t="str">
        <f>IF(A12="","",'Premium Eff Motor'!AA19)</f>
        <v/>
      </c>
      <c r="G12" s="501" t="str">
        <f>IF(A12="","",'Premium Eff Motor'!D19)</f>
        <v/>
      </c>
      <c r="H12" s="501" t="str">
        <f>IF(A12="","",'Premium Eff Motor'!E19)</f>
        <v/>
      </c>
      <c r="K12" s="534" t="str">
        <f>IF(A12="","",'Premium Eff Motor'!M19)</f>
        <v/>
      </c>
      <c r="L12" s="534" t="str">
        <f>IF(A12="","",'Premium Eff Motor'!F19)</f>
        <v/>
      </c>
      <c r="M12" s="534" t="str">
        <f>IF(A12="","",'Premium Eff Motor'!S19)</f>
        <v/>
      </c>
      <c r="N12" s="534" t="str">
        <f>IF(A12="","",'Premium Eff Motor'!O19)</f>
        <v/>
      </c>
      <c r="Q12" s="516" t="str">
        <f>IF(A12="","",'Premium Eff Motor'!Y19)</f>
        <v/>
      </c>
      <c r="R12" s="518" t="str">
        <f>IF(A12="","",'Premium Eff Motor'!V19)</f>
        <v/>
      </c>
      <c r="U12" s="534" t="str">
        <f>IF(A12="","",'Project Summary'!$C$14)</f>
        <v/>
      </c>
      <c r="Y12" s="516" t="str">
        <f>IF($A12="","",'Premium Eff Motor'!W19)</f>
        <v/>
      </c>
      <c r="Z12" s="516" t="str">
        <f>IF($A12="","",'Premium Eff Motor'!X19)</f>
        <v/>
      </c>
      <c r="AA12" s="513" t="str">
        <f>IF($A12="","",'Project Summary'!$C$9)</f>
        <v/>
      </c>
      <c r="AB12" s="520" t="str">
        <f t="shared" si="2"/>
        <v/>
      </c>
      <c r="AC12" s="537" t="str">
        <f>IF($A12="","",'Premium Eff Motor'!P19)</f>
        <v/>
      </c>
      <c r="AD12" s="537" t="str">
        <f>IF($A12="","",'Premium Eff Motor'!Q19)</f>
        <v/>
      </c>
      <c r="AE12" s="534" t="str">
        <f>IF($A12="","",_xlfn.CONCAT('Premium Eff Motor'!J19&amp;" Pole "&amp;IF('Premium Eff Motor'!K19="Enclosed", "Closed","Open")))</f>
        <v/>
      </c>
      <c r="AF12" s="534" t="str">
        <f>IF($A12="","",'Premium Eff Motor'!H19)</f>
        <v/>
      </c>
      <c r="AG12" s="534" t="str">
        <f>IF($A12="","",'Premium Eff Motor'!I19)</f>
        <v/>
      </c>
      <c r="AH12" s="534" t="str">
        <f>IF($A12="","",'Premium Eff Motor'!L19)</f>
        <v/>
      </c>
    </row>
    <row r="13" spans="1:35" x14ac:dyDescent="0.2">
      <c r="A13" s="509" t="str">
        <f>IF(OR(VFDs!V10=0,VFDs!V10=""),"","Prescriptive")</f>
        <v/>
      </c>
      <c r="B13" s="509" t="str">
        <f>IF(A13="","","VFD")</f>
        <v/>
      </c>
      <c r="C13" s="500" t="str">
        <f>IF(A13="","",VFDs!L10)</f>
        <v/>
      </c>
      <c r="D13" s="519" t="str">
        <f t="shared" si="1"/>
        <v/>
      </c>
      <c r="F13" s="519" t="str">
        <f>IF(A13="","",VFDs!AA10)</f>
        <v/>
      </c>
      <c r="G13" s="500" t="str">
        <f>IF(A13="","",VFDs!N10)</f>
        <v/>
      </c>
      <c r="H13" s="500" t="str">
        <f>IF(A13="","",VFDs!O10)</f>
        <v/>
      </c>
      <c r="K13" s="533" t="str">
        <f>IF(A13="","",VFDs!I10)</f>
        <v/>
      </c>
      <c r="L13" s="532" t="str">
        <f>IF(A13="","",VFDs!G10)</f>
        <v/>
      </c>
      <c r="M13" s="533" t="str">
        <f>IF(A13="","",VFDs!J10)</f>
        <v/>
      </c>
      <c r="N13" s="533" t="str">
        <f>IF(A13="","",VFDs!M10)</f>
        <v/>
      </c>
      <c r="P13" s="500" t="str">
        <f>IF(A13="","",VFDs!K10)</f>
        <v/>
      </c>
      <c r="Q13" s="515" t="str">
        <f>IF(A13="","",VFDs!Z10)</f>
        <v/>
      </c>
      <c r="R13" s="517" t="str">
        <f>IF(A13="","",VFDs!V10)</f>
        <v/>
      </c>
      <c r="U13" s="500" t="str">
        <f>IF(A13="","",'Project Summary'!$C$14)</f>
        <v/>
      </c>
      <c r="Y13" s="515" t="str">
        <f>IF($A13="","",VFDs!X10)</f>
        <v/>
      </c>
      <c r="Z13" s="515" t="str">
        <f>IF($A13="","",VFDs!Y10)</f>
        <v/>
      </c>
      <c r="AA13" s="512" t="str">
        <f>IF($A13="","",'Project Summary'!$C$9)</f>
        <v/>
      </c>
      <c r="AB13" s="519" t="str">
        <f t="shared" si="2"/>
        <v/>
      </c>
      <c r="AI13" s="533" t="str">
        <f>IF($A13="","",VFDs!D10)</f>
        <v/>
      </c>
    </row>
    <row r="14" spans="1:35" x14ac:dyDescent="0.2">
      <c r="A14" s="508" t="str">
        <f>IF(OR(VFDs!V11=0,VFDs!V11=""),"","Prescriptive")</f>
        <v/>
      </c>
      <c r="B14" s="508" t="str">
        <f t="shared" ref="B14:B22" si="3">IF(A14="","","VFD")</f>
        <v/>
      </c>
      <c r="C14" s="500" t="str">
        <f>IF(A14="","",VFDs!L11)</f>
        <v/>
      </c>
      <c r="D14" s="519" t="str">
        <f t="shared" si="1"/>
        <v/>
      </c>
      <c r="F14" s="519" t="str">
        <f>IF(A14="","",VFDs!AA11)</f>
        <v/>
      </c>
      <c r="G14" s="500" t="str">
        <f>IF(A14="","",VFDs!N11)</f>
        <v/>
      </c>
      <c r="H14" s="500" t="str">
        <f>IF(A14="","",VFDs!O11)</f>
        <v/>
      </c>
      <c r="K14" s="500" t="str">
        <f>IF(A14="","",VFDs!I11)</f>
        <v/>
      </c>
      <c r="L14" s="500" t="str">
        <f>IF(A14="","",VFDs!G11)</f>
        <v/>
      </c>
      <c r="M14" s="500" t="str">
        <f>IF(A14="","",VFDs!J11)</f>
        <v/>
      </c>
      <c r="N14" s="500" t="str">
        <f>IF(A14="","",VFDs!M11)</f>
        <v/>
      </c>
      <c r="P14" s="500" t="str">
        <f>IF(A14="","",VFDs!K11)</f>
        <v/>
      </c>
      <c r="Q14" s="515" t="str">
        <f>IF(A14="","",VFDs!Z11)</f>
        <v/>
      </c>
      <c r="R14" s="517" t="str">
        <f>IF(A14="","",VFDs!V11)</f>
        <v/>
      </c>
      <c r="U14" s="500" t="str">
        <f>IF(A14="","",'Project Summary'!$C$14)</f>
        <v/>
      </c>
      <c r="Y14" s="515" t="str">
        <f>IF($A14="","",VFDs!X11)</f>
        <v/>
      </c>
      <c r="Z14" s="515" t="str">
        <f>IF($A14="","",VFDs!Y11)</f>
        <v/>
      </c>
      <c r="AA14" s="512" t="str">
        <f>IF($A14="","",'Project Summary'!$C$9)</f>
        <v/>
      </c>
      <c r="AB14" s="519" t="str">
        <f t="shared" si="2"/>
        <v/>
      </c>
      <c r="AI14" s="533" t="str">
        <f>IF($A14="","",VFDs!D11)</f>
        <v/>
      </c>
    </row>
    <row r="15" spans="1:35" x14ac:dyDescent="0.2">
      <c r="A15" s="508" t="str">
        <f>IF(OR(VFDs!V12=0,VFDs!V12=""),"","Prescriptive")</f>
        <v/>
      </c>
      <c r="B15" s="508" t="str">
        <f t="shared" si="3"/>
        <v/>
      </c>
      <c r="C15" s="500" t="str">
        <f>IF(A15="","",VFDs!L12)</f>
        <v/>
      </c>
      <c r="D15" s="519" t="str">
        <f t="shared" si="1"/>
        <v/>
      </c>
      <c r="F15" s="519" t="str">
        <f>IF(A15="","",VFDs!AA12)</f>
        <v/>
      </c>
      <c r="G15" s="500" t="str">
        <f>IF(A15="","",VFDs!N12)</f>
        <v/>
      </c>
      <c r="H15" s="500" t="str">
        <f>IF(A15="","",VFDs!O12)</f>
        <v/>
      </c>
      <c r="K15" s="500" t="str">
        <f>IF(A15="","",VFDs!I12)</f>
        <v/>
      </c>
      <c r="L15" s="500" t="str">
        <f>IF(A15="","",VFDs!G12)</f>
        <v/>
      </c>
      <c r="M15" s="500" t="str">
        <f>IF(A15="","",VFDs!J12)</f>
        <v/>
      </c>
      <c r="N15" s="500" t="str">
        <f>IF(A15="","",VFDs!M12)</f>
        <v/>
      </c>
      <c r="P15" s="500" t="str">
        <f>IF(A15="","",VFDs!K12)</f>
        <v/>
      </c>
      <c r="Q15" s="515" t="str">
        <f>IF(A15="","",VFDs!Z12)</f>
        <v/>
      </c>
      <c r="R15" s="517" t="str">
        <f>IF(A15="","",VFDs!V12)</f>
        <v/>
      </c>
      <c r="U15" s="500" t="str">
        <f>IF(A15="","",'Project Summary'!$C$14)</f>
        <v/>
      </c>
      <c r="Y15" s="515" t="str">
        <f>IF($A15="","",VFDs!X12)</f>
        <v/>
      </c>
      <c r="Z15" s="515" t="str">
        <f>IF($A15="","",VFDs!Y12)</f>
        <v/>
      </c>
      <c r="AA15" s="512" t="str">
        <f>IF($A15="","",'Project Summary'!$C$9)</f>
        <v/>
      </c>
      <c r="AB15" s="519" t="str">
        <f t="shared" si="2"/>
        <v/>
      </c>
      <c r="AI15" s="533" t="str">
        <f>IF($A15="","",VFDs!D12)</f>
        <v/>
      </c>
    </row>
    <row r="16" spans="1:35" x14ac:dyDescent="0.2">
      <c r="A16" s="508" t="str">
        <f>IF(OR(VFDs!V13=0,VFDs!V13=""),"","Prescriptive")</f>
        <v/>
      </c>
      <c r="B16" s="508" t="str">
        <f t="shared" si="3"/>
        <v/>
      </c>
      <c r="C16" s="500" t="str">
        <f>IF(A16="","",VFDs!L13)</f>
        <v/>
      </c>
      <c r="D16" s="519" t="str">
        <f t="shared" si="1"/>
        <v/>
      </c>
      <c r="F16" s="519" t="str">
        <f>IF(A16="","",VFDs!AA13)</f>
        <v/>
      </c>
      <c r="G16" s="500" t="str">
        <f>IF(A16="","",VFDs!N13)</f>
        <v/>
      </c>
      <c r="H16" s="500" t="str">
        <f>IF(A16="","",VFDs!O13)</f>
        <v/>
      </c>
      <c r="K16" s="500" t="str">
        <f>IF(A16="","",VFDs!I13)</f>
        <v/>
      </c>
      <c r="L16" s="500" t="str">
        <f>IF(A16="","",VFDs!G13)</f>
        <v/>
      </c>
      <c r="M16" s="500" t="str">
        <f>IF(A16="","",VFDs!J13)</f>
        <v/>
      </c>
      <c r="N16" s="500" t="str">
        <f>IF(A16="","",VFDs!M13)</f>
        <v/>
      </c>
      <c r="P16" s="500" t="str">
        <f>IF(A16="","",VFDs!K13)</f>
        <v/>
      </c>
      <c r="Q16" s="515" t="str">
        <f>IF(A16="","",VFDs!Z13)</f>
        <v/>
      </c>
      <c r="R16" s="517" t="str">
        <f>IF(A16="","",VFDs!V13)</f>
        <v/>
      </c>
      <c r="U16" s="500" t="str">
        <f>IF(A16="","",'Project Summary'!$C$14)</f>
        <v/>
      </c>
      <c r="Y16" s="515" t="str">
        <f>IF($A16="","",VFDs!X13)</f>
        <v/>
      </c>
      <c r="Z16" s="515" t="str">
        <f>IF($A16="","",VFDs!Y13)</f>
        <v/>
      </c>
      <c r="AA16" s="512" t="str">
        <f>IF($A16="","",'Project Summary'!$C$9)</f>
        <v/>
      </c>
      <c r="AB16" s="519" t="str">
        <f t="shared" si="2"/>
        <v/>
      </c>
      <c r="AI16" s="533" t="str">
        <f>IF($A16="","",VFDs!D13)</f>
        <v/>
      </c>
    </row>
    <row r="17" spans="1:35" x14ac:dyDescent="0.2">
      <c r="A17" s="508" t="str">
        <f>IF(OR(VFDs!V14=0,VFDs!V14=""),"","Prescriptive")</f>
        <v/>
      </c>
      <c r="B17" s="508" t="str">
        <f t="shared" si="3"/>
        <v/>
      </c>
      <c r="C17" s="500" t="str">
        <f>IF(A17="","",VFDs!L14)</f>
        <v/>
      </c>
      <c r="D17" s="519" t="str">
        <f t="shared" si="1"/>
        <v/>
      </c>
      <c r="F17" s="519" t="str">
        <f>IF(A17="","",VFDs!AA14)</f>
        <v/>
      </c>
      <c r="G17" s="500" t="str">
        <f>IF(A17="","",VFDs!N14)</f>
        <v/>
      </c>
      <c r="H17" s="500" t="str">
        <f>IF(A17="","",VFDs!O14)</f>
        <v/>
      </c>
      <c r="K17" s="500" t="str">
        <f>IF(A17="","",VFDs!I14)</f>
        <v/>
      </c>
      <c r="L17" s="500" t="str">
        <f>IF(A17="","",VFDs!G14)</f>
        <v/>
      </c>
      <c r="M17" s="500" t="str">
        <f>IF(A17="","",VFDs!J14)</f>
        <v/>
      </c>
      <c r="N17" s="500" t="str">
        <f>IF(A17="","",VFDs!M14)</f>
        <v/>
      </c>
      <c r="P17" s="500" t="str">
        <f>IF(A17="","",VFDs!K14)</f>
        <v/>
      </c>
      <c r="Q17" s="515" t="str">
        <f>IF(A17="","",VFDs!Z14)</f>
        <v/>
      </c>
      <c r="R17" s="517" t="str">
        <f>IF(A17="","",VFDs!V14)</f>
        <v/>
      </c>
      <c r="U17" s="500" t="str">
        <f>IF(A17="","",'Project Summary'!$C$14)</f>
        <v/>
      </c>
      <c r="Y17" s="515" t="str">
        <f>IF($A17="","",VFDs!X14)</f>
        <v/>
      </c>
      <c r="Z17" s="515" t="str">
        <f>IF($A17="","",VFDs!Y14)</f>
        <v/>
      </c>
      <c r="AA17" s="512" t="str">
        <f>IF($A17="","",'Project Summary'!$C$9)</f>
        <v/>
      </c>
      <c r="AB17" s="519" t="str">
        <f t="shared" si="2"/>
        <v/>
      </c>
      <c r="AI17" s="533" t="str">
        <f>IF($A17="","",VFDs!D14)</f>
        <v/>
      </c>
    </row>
    <row r="18" spans="1:35" x14ac:dyDescent="0.2">
      <c r="A18" s="508" t="str">
        <f>IF(OR(VFDs!V15=0,VFDs!V15=""),"","Prescriptive")</f>
        <v/>
      </c>
      <c r="B18" s="508" t="str">
        <f t="shared" si="3"/>
        <v/>
      </c>
      <c r="C18" s="500" t="str">
        <f>IF(A18="","",VFDs!L15)</f>
        <v/>
      </c>
      <c r="D18" s="519" t="str">
        <f t="shared" si="1"/>
        <v/>
      </c>
      <c r="F18" s="519" t="str">
        <f>IF(A18="","",VFDs!AA15)</f>
        <v/>
      </c>
      <c r="G18" s="500" t="str">
        <f>IF(A18="","",VFDs!N15)</f>
        <v/>
      </c>
      <c r="H18" s="500" t="str">
        <f>IF(A18="","",VFDs!O15)</f>
        <v/>
      </c>
      <c r="K18" s="500" t="str">
        <f>IF(A18="","",VFDs!I15)</f>
        <v/>
      </c>
      <c r="L18" s="500" t="str">
        <f>IF(A18="","",VFDs!G15)</f>
        <v/>
      </c>
      <c r="M18" s="500" t="str">
        <f>IF(A18="","",VFDs!J15)</f>
        <v/>
      </c>
      <c r="N18" s="500" t="str">
        <f>IF(A18="","",VFDs!M15)</f>
        <v/>
      </c>
      <c r="P18" s="500" t="str">
        <f>IF(A18="","",VFDs!K15)</f>
        <v/>
      </c>
      <c r="Q18" s="515" t="str">
        <f>IF(A18="","",VFDs!Z15)</f>
        <v/>
      </c>
      <c r="R18" s="517" t="str">
        <f>IF(A18="","",VFDs!V15)</f>
        <v/>
      </c>
      <c r="U18" s="500" t="str">
        <f>IF(A18="","",'Project Summary'!$C$14)</f>
        <v/>
      </c>
      <c r="Y18" s="515" t="str">
        <f>IF($A18="","",VFDs!X15)</f>
        <v/>
      </c>
      <c r="Z18" s="515" t="str">
        <f>IF($A18="","",VFDs!Y15)</f>
        <v/>
      </c>
      <c r="AA18" s="512" t="str">
        <f>IF($A18="","",'Project Summary'!$C$9)</f>
        <v/>
      </c>
      <c r="AB18" s="519" t="str">
        <f t="shared" si="2"/>
        <v/>
      </c>
      <c r="AI18" s="533" t="str">
        <f>IF($A18="","",VFDs!D15)</f>
        <v/>
      </c>
    </row>
    <row r="19" spans="1:35" x14ac:dyDescent="0.2">
      <c r="A19" s="508" t="str">
        <f>IF(OR(VFDs!V16=0,VFDs!V16=""),"","Prescriptive")</f>
        <v/>
      </c>
      <c r="B19" s="508" t="str">
        <f t="shared" si="3"/>
        <v/>
      </c>
      <c r="C19" s="500" t="str">
        <f>IF(A19="","",VFDs!L16)</f>
        <v/>
      </c>
      <c r="D19" s="519" t="str">
        <f t="shared" si="1"/>
        <v/>
      </c>
      <c r="F19" s="519" t="str">
        <f>IF(A19="","",VFDs!AA16)</f>
        <v/>
      </c>
      <c r="G19" s="500" t="str">
        <f>IF(A19="","",VFDs!N16)</f>
        <v/>
      </c>
      <c r="H19" s="500" t="str">
        <f>IF(A19="","",VFDs!O16)</f>
        <v/>
      </c>
      <c r="K19" s="500" t="str">
        <f>IF(A19="","",VFDs!I16)</f>
        <v/>
      </c>
      <c r="L19" s="500" t="str">
        <f>IF(A19="","",VFDs!G16)</f>
        <v/>
      </c>
      <c r="M19" s="500" t="str">
        <f>IF(A19="","",VFDs!J16)</f>
        <v/>
      </c>
      <c r="N19" s="500" t="str">
        <f>IF(A19="","",VFDs!M16)</f>
        <v/>
      </c>
      <c r="P19" s="500" t="str">
        <f>IF(A19="","",VFDs!K16)</f>
        <v/>
      </c>
      <c r="Q19" s="515" t="str">
        <f>IF(A19="","",VFDs!Z16)</f>
        <v/>
      </c>
      <c r="R19" s="517" t="str">
        <f>IF(A19="","",VFDs!V16)</f>
        <v/>
      </c>
      <c r="U19" s="500" t="str">
        <f>IF(A19="","",'Project Summary'!$C$14)</f>
        <v/>
      </c>
      <c r="Y19" s="515" t="str">
        <f>IF($A19="","",VFDs!X16)</f>
        <v/>
      </c>
      <c r="Z19" s="515" t="str">
        <f>IF($A19="","",VFDs!Y16)</f>
        <v/>
      </c>
      <c r="AA19" s="512" t="str">
        <f>IF($A19="","",'Project Summary'!$C$9)</f>
        <v/>
      </c>
      <c r="AB19" s="519" t="str">
        <f t="shared" si="2"/>
        <v/>
      </c>
      <c r="AI19" s="533" t="str">
        <f>IF($A19="","",VFDs!D16)</f>
        <v/>
      </c>
    </row>
    <row r="20" spans="1:35" x14ac:dyDescent="0.2">
      <c r="A20" s="508" t="str">
        <f>IF(OR(VFDs!V17=0,VFDs!V17=""),"","Prescriptive")</f>
        <v/>
      </c>
      <c r="B20" s="508" t="str">
        <f t="shared" si="3"/>
        <v/>
      </c>
      <c r="C20" s="500" t="str">
        <f>IF(A20="","",VFDs!L17)</f>
        <v/>
      </c>
      <c r="D20" s="519" t="str">
        <f t="shared" si="1"/>
        <v/>
      </c>
      <c r="F20" s="519" t="str">
        <f>IF(A20="","",VFDs!AA17)</f>
        <v/>
      </c>
      <c r="G20" s="500" t="str">
        <f>IF(A20="","",VFDs!N17)</f>
        <v/>
      </c>
      <c r="H20" s="500" t="str">
        <f>IF(A20="","",VFDs!O17)</f>
        <v/>
      </c>
      <c r="K20" s="500" t="str">
        <f>IF(A20="","",VFDs!I17)</f>
        <v/>
      </c>
      <c r="L20" s="500" t="str">
        <f>IF(A20="","",VFDs!G17)</f>
        <v/>
      </c>
      <c r="M20" s="500" t="str">
        <f>IF(A20="","",VFDs!J17)</f>
        <v/>
      </c>
      <c r="N20" s="500" t="str">
        <f>IF(A20="","",VFDs!M17)</f>
        <v/>
      </c>
      <c r="P20" s="500" t="str">
        <f>IF(A20="","",VFDs!K17)</f>
        <v/>
      </c>
      <c r="Q20" s="515" t="str">
        <f>IF(A20="","",VFDs!Z17)</f>
        <v/>
      </c>
      <c r="R20" s="517" t="str">
        <f>IF(A20="","",VFDs!V17)</f>
        <v/>
      </c>
      <c r="U20" s="500" t="str">
        <f>IF(A20="","",'Project Summary'!$C$14)</f>
        <v/>
      </c>
      <c r="Y20" s="515" t="str">
        <f>IF($A20="","",VFDs!X17)</f>
        <v/>
      </c>
      <c r="Z20" s="515" t="str">
        <f>IF($A20="","",VFDs!Y17)</f>
        <v/>
      </c>
      <c r="AA20" s="512" t="str">
        <f>IF($A20="","",'Project Summary'!$C$9)</f>
        <v/>
      </c>
      <c r="AB20" s="519" t="str">
        <f t="shared" si="2"/>
        <v/>
      </c>
      <c r="AI20" s="533" t="str">
        <f>IF($A20="","",VFDs!D17)</f>
        <v/>
      </c>
    </row>
    <row r="21" spans="1:35" x14ac:dyDescent="0.2">
      <c r="A21" s="508" t="str">
        <f>IF(OR(VFDs!V18=0,VFDs!V18=""),"","Prescriptive")</f>
        <v/>
      </c>
      <c r="B21" s="508" t="str">
        <f t="shared" si="3"/>
        <v/>
      </c>
      <c r="C21" s="500" t="str">
        <f>IF(A21="","",VFDs!L18)</f>
        <v/>
      </c>
      <c r="D21" s="519" t="str">
        <f t="shared" si="1"/>
        <v/>
      </c>
      <c r="F21" s="519" t="str">
        <f>IF(A21="","",VFDs!AA18)</f>
        <v/>
      </c>
      <c r="G21" s="500" t="str">
        <f>IF(A21="","",VFDs!N18)</f>
        <v/>
      </c>
      <c r="H21" s="500" t="str">
        <f>IF(A21="","",VFDs!O18)</f>
        <v/>
      </c>
      <c r="K21" s="500" t="str">
        <f>IF(A21="","",VFDs!I18)</f>
        <v/>
      </c>
      <c r="L21" s="500" t="str">
        <f>IF(A21="","",VFDs!G18)</f>
        <v/>
      </c>
      <c r="M21" s="500" t="str">
        <f>IF(A21="","",VFDs!J18)</f>
        <v/>
      </c>
      <c r="N21" s="500" t="str">
        <f>IF(A21="","",VFDs!M18)</f>
        <v/>
      </c>
      <c r="P21" s="500" t="str">
        <f>IF(A21="","",VFDs!K18)</f>
        <v/>
      </c>
      <c r="Q21" s="515" t="str">
        <f>IF(A21="","",VFDs!Z18)</f>
        <v/>
      </c>
      <c r="R21" s="517" t="str">
        <f>IF(A21="","",VFDs!V18)</f>
        <v/>
      </c>
      <c r="U21" s="500" t="str">
        <f>IF(A21="","",'Project Summary'!$C$14)</f>
        <v/>
      </c>
      <c r="Y21" s="515" t="str">
        <f>IF($A21="","",VFDs!X18)</f>
        <v/>
      </c>
      <c r="Z21" s="515" t="str">
        <f>IF($A21="","",VFDs!Y18)</f>
        <v/>
      </c>
      <c r="AA21" s="512" t="str">
        <f>IF($A21="","",'Project Summary'!$C$9)</f>
        <v/>
      </c>
      <c r="AB21" s="519" t="str">
        <f t="shared" si="2"/>
        <v/>
      </c>
      <c r="AI21" s="533" t="str">
        <f>IF($A21="","",VFDs!D18)</f>
        <v/>
      </c>
    </row>
    <row r="22" spans="1:35" s="163" customFormat="1" ht="15" thickBot="1" x14ac:dyDescent="0.25">
      <c r="A22" s="510" t="str">
        <f>IF(OR(VFDs!V19=0,VFDs!V19=""),"","Prescriptive")</f>
        <v/>
      </c>
      <c r="B22" s="510" t="str">
        <f t="shared" si="3"/>
        <v/>
      </c>
      <c r="C22" s="501" t="str">
        <f>IF(A22="","",VFDs!L19)</f>
        <v/>
      </c>
      <c r="D22" s="520" t="str">
        <f t="shared" si="1"/>
        <v/>
      </c>
      <c r="F22" s="520" t="str">
        <f>IF(A22="","",VFDs!AA19)</f>
        <v/>
      </c>
      <c r="G22" s="501" t="str">
        <f>IF(A22="","",VFDs!N19)</f>
        <v/>
      </c>
      <c r="H22" s="501" t="str">
        <f>IF(A22="","",VFDs!O19)</f>
        <v/>
      </c>
      <c r="K22" s="501" t="str">
        <f>IF(A22="","",VFDs!I19)</f>
        <v/>
      </c>
      <c r="L22" s="501" t="str">
        <f>IF(A22="","",VFDs!G19)</f>
        <v/>
      </c>
      <c r="M22" s="501" t="str">
        <f>IF(A22="","",VFDs!J19)</f>
        <v/>
      </c>
      <c r="N22" s="501" t="str">
        <f>IF(A22="","",VFDs!M19)</f>
        <v/>
      </c>
      <c r="P22" s="501" t="str">
        <f>IF(A22="","",VFDs!K19)</f>
        <v/>
      </c>
      <c r="Q22" s="516" t="str">
        <f>IF(A22="","",VFDs!Z19)</f>
        <v/>
      </c>
      <c r="R22" s="518" t="str">
        <f>IF(A22="","",VFDs!V19)</f>
        <v/>
      </c>
      <c r="U22" s="501" t="str">
        <f>IF(A22="","",'Project Summary'!$C$14)</f>
        <v/>
      </c>
      <c r="Y22" s="516" t="str">
        <f>IF($A22="","",VFDs!X19)</f>
        <v/>
      </c>
      <c r="Z22" s="516" t="str">
        <f>IF($A22="","",VFDs!Y19)</f>
        <v/>
      </c>
      <c r="AA22" s="513" t="str">
        <f>IF($A22="","",'Project Summary'!$C$9)</f>
        <v/>
      </c>
      <c r="AB22" s="520" t="str">
        <f t="shared" si="2"/>
        <v/>
      </c>
      <c r="AI22" s="534" t="str">
        <f>IF($A22="","",VFDs!D19)</f>
        <v/>
      </c>
    </row>
    <row r="23" spans="1:35" x14ac:dyDescent="0.2">
      <c r="A23" s="509" t="str">
        <f>IF(OR('ECM Fan'!AB10=0,'ECM Fan'!AB10=""),"","Prescriptive")</f>
        <v/>
      </c>
      <c r="B23" s="509" t="str">
        <f>IF(A23="","","ECMFan")</f>
        <v/>
      </c>
      <c r="C23" s="500" t="str">
        <f>IF(A23="","",'ECM Fan'!H10)</f>
        <v/>
      </c>
      <c r="D23" s="519" t="str">
        <f t="shared" si="1"/>
        <v/>
      </c>
      <c r="F23" s="519" t="str">
        <f>IF(A23="","",'ECM Fan'!AG10)</f>
        <v/>
      </c>
      <c r="G23" s="500" t="str">
        <f>IF(A23="","",'ECM Fan'!D10)</f>
        <v/>
      </c>
      <c r="H23" s="500" t="str">
        <f>IF(A23="","",'ECM Fan'!E10)</f>
        <v/>
      </c>
      <c r="K23" s="528" t="str">
        <f>IF(A23="","",'ECM Fan'!G10)</f>
        <v/>
      </c>
      <c r="L23" s="514" t="str">
        <f>IF(A23="","",IF('ECM Fan'!F10="SP","Shaded-Pole (SP)", "Permanent-Split Capacitor (PSC)"))</f>
        <v/>
      </c>
      <c r="M23" s="519" t="str">
        <f>IF(A23="","",'ECM Fan'!J10)</f>
        <v/>
      </c>
      <c r="N23" s="514" t="str">
        <f>IF(A23="","",IF('ECM Fan'!K10="", "", 'ECM Fan'!K10))</f>
        <v/>
      </c>
      <c r="Q23" s="515" t="str">
        <f>IF(A23="","",'ECM Fan'!AC10)</f>
        <v/>
      </c>
      <c r="R23" s="517" t="str">
        <f>IF(A23="","",'ECM Fan'!AB10)</f>
        <v/>
      </c>
      <c r="U23" s="500" t="str">
        <f>IF(A23="","",'Project Summary'!$C$14)</f>
        <v/>
      </c>
      <c r="W23" s="522" t="str">
        <f>IF(A23="","",'ECM Fan'!L10)</f>
        <v/>
      </c>
      <c r="X23" s="522" t="str">
        <f>IF(A23="","",'ECM Fan'!N10)</f>
        <v/>
      </c>
      <c r="Y23" s="515" t="str">
        <f>IF($A23="","",'ECM Fan'!AE10)</f>
        <v/>
      </c>
      <c r="Z23" s="515" t="str">
        <f>IF($A23="","",'ECM Fan'!AF10)</f>
        <v/>
      </c>
      <c r="AA23" s="512" t="str">
        <f>IF($A23="","",'Project Summary'!$C$9)</f>
        <v/>
      </c>
      <c r="AB23" s="519" t="str">
        <f t="shared" si="2"/>
        <v/>
      </c>
      <c r="AC23" s="524" t="str">
        <f>IF($A23="","",'ECM Fan'!T10)</f>
        <v/>
      </c>
      <c r="AD23" s="524" t="str">
        <f>IF($A23="","",'ECM Fan'!U10)</f>
        <v/>
      </c>
      <c r="AG23" s="514" t="str">
        <f>IF($A23="","",'ECM Fan'!I10)</f>
        <v/>
      </c>
    </row>
    <row r="24" spans="1:35" x14ac:dyDescent="0.2">
      <c r="A24" s="508" t="str">
        <f>IF(OR('ECM Fan'!AB11=0,'ECM Fan'!AB11=""),"","Prescriptive")</f>
        <v/>
      </c>
      <c r="B24" s="508" t="str">
        <f t="shared" ref="B24:B32" si="4">IF(A24="","","ECMFan")</f>
        <v/>
      </c>
      <c r="C24" s="500" t="str">
        <f>IF(A24="","",'ECM Fan'!H11)</f>
        <v/>
      </c>
      <c r="D24" s="519" t="str">
        <f t="shared" si="1"/>
        <v/>
      </c>
      <c r="F24" s="519" t="str">
        <f>IF(A24="","",'ECM Fan'!AG11)</f>
        <v/>
      </c>
      <c r="G24" s="500" t="str">
        <f>IF(A24="","",'ECM Fan'!D11)</f>
        <v/>
      </c>
      <c r="H24" s="500" t="str">
        <f>IF(A24="","",'ECM Fan'!E11)</f>
        <v/>
      </c>
      <c r="K24" s="528" t="str">
        <f>IF(A24="","",'ECM Fan'!G11)</f>
        <v/>
      </c>
      <c r="L24" s="500" t="str">
        <f>IF(A24="","",IF('ECM Fan'!F11="SP","Shaded-Pole (SP)", "Permanent-Split Capacitor (PSC)"))</f>
        <v/>
      </c>
      <c r="M24" s="519" t="str">
        <f>IF(A24="","",'ECM Fan'!J11)</f>
        <v/>
      </c>
      <c r="N24" s="500" t="str">
        <f>IF(A24="","",IF('ECM Fan'!K11="", "", 'ECM Fan'!K11))</f>
        <v/>
      </c>
      <c r="Q24" s="515" t="str">
        <f>IF(A24="","",'ECM Fan'!AC11)</f>
        <v/>
      </c>
      <c r="R24" s="517" t="str">
        <f>IF(A24="","",'ECM Fan'!AB11)</f>
        <v/>
      </c>
      <c r="U24" s="500" t="str">
        <f>IF(A24="","",'Project Summary'!$C$14)</f>
        <v/>
      </c>
      <c r="W24" s="522" t="str">
        <f>IF(A24="","",'ECM Fan'!L11)</f>
        <v/>
      </c>
      <c r="X24" s="522" t="str">
        <f>IF(A24="","",'ECM Fan'!N11)</f>
        <v/>
      </c>
      <c r="Y24" s="515" t="str">
        <f>IF($A24="","",'ECM Fan'!AE11)</f>
        <v/>
      </c>
      <c r="Z24" s="515" t="str">
        <f>IF($A24="","",'ECM Fan'!AF11)</f>
        <v/>
      </c>
      <c r="AA24" s="512" t="str">
        <f>IF($A24="","",'Project Summary'!$C$9)</f>
        <v/>
      </c>
      <c r="AB24" s="519" t="str">
        <f t="shared" si="2"/>
        <v/>
      </c>
      <c r="AC24" s="525" t="str">
        <f>IF($A24="","",'ECM Fan'!T11)</f>
        <v/>
      </c>
      <c r="AD24" s="525" t="str">
        <f>IF($A24="","",'ECM Fan'!U11)</f>
        <v/>
      </c>
      <c r="AG24" s="500" t="str">
        <f>IF($A24="","",'ECM Fan'!I11)</f>
        <v/>
      </c>
    </row>
    <row r="25" spans="1:35" x14ac:dyDescent="0.2">
      <c r="A25" s="508" t="str">
        <f>IF(OR('ECM Fan'!AB12=0,'ECM Fan'!AB12=""),"","Prescriptive")</f>
        <v/>
      </c>
      <c r="B25" s="508" t="str">
        <f t="shared" si="4"/>
        <v/>
      </c>
      <c r="C25" s="500" t="str">
        <f>IF(A25="","",'ECM Fan'!H12)</f>
        <v/>
      </c>
      <c r="D25" s="519" t="str">
        <f t="shared" si="1"/>
        <v/>
      </c>
      <c r="F25" s="519" t="str">
        <f>IF(A25="","",'ECM Fan'!AG12)</f>
        <v/>
      </c>
      <c r="G25" s="500" t="str">
        <f>IF(A25="","",'ECM Fan'!D12)</f>
        <v/>
      </c>
      <c r="H25" s="500" t="str">
        <f>IF(A25="","",'ECM Fan'!E12)</f>
        <v/>
      </c>
      <c r="K25" s="528" t="str">
        <f>IF(A25="","",'ECM Fan'!G12)</f>
        <v/>
      </c>
      <c r="L25" s="500" t="str">
        <f>IF(A25="","",IF('ECM Fan'!F12="SP","Shaded-Pole (SP)", "Permanent-Split Capacitor (PSC)"))</f>
        <v/>
      </c>
      <c r="M25" s="519" t="str">
        <f>IF(A25="","",'ECM Fan'!J12)</f>
        <v/>
      </c>
      <c r="N25" s="500" t="str">
        <f>IF(A25="","",IF('ECM Fan'!K12="", "", 'ECM Fan'!K12))</f>
        <v/>
      </c>
      <c r="Q25" s="515" t="str">
        <f>IF(A25="","",'ECM Fan'!AC12)</f>
        <v/>
      </c>
      <c r="R25" s="517" t="str">
        <f>IF(A25="","",'ECM Fan'!AB12)</f>
        <v/>
      </c>
      <c r="U25" s="500" t="str">
        <f>IF(A25="","",'Project Summary'!$C$14)</f>
        <v/>
      </c>
      <c r="W25" s="522" t="str">
        <f>IF(A25="","",'ECM Fan'!L12)</f>
        <v/>
      </c>
      <c r="X25" s="522" t="str">
        <f>IF(A25="","",'ECM Fan'!N12)</f>
        <v/>
      </c>
      <c r="Y25" s="515" t="str">
        <f>IF($A25="","",'ECM Fan'!AE12)</f>
        <v/>
      </c>
      <c r="Z25" s="515" t="str">
        <f>IF($A25="","",'ECM Fan'!AF12)</f>
        <v/>
      </c>
      <c r="AA25" s="512" t="str">
        <f>IF($A25="","",'Project Summary'!$C$9)</f>
        <v/>
      </c>
      <c r="AB25" s="519" t="str">
        <f t="shared" si="2"/>
        <v/>
      </c>
      <c r="AC25" s="525" t="str">
        <f>IF($A25="","",'ECM Fan'!T12)</f>
        <v/>
      </c>
      <c r="AD25" s="525" t="str">
        <f>IF($A25="","",'ECM Fan'!U12)</f>
        <v/>
      </c>
      <c r="AG25" s="500" t="str">
        <f>IF($A25="","",'ECM Fan'!I12)</f>
        <v/>
      </c>
    </row>
    <row r="26" spans="1:35" x14ac:dyDescent="0.2">
      <c r="A26" s="508" t="str">
        <f>IF(OR('ECM Fan'!AB13=0,'ECM Fan'!AB13=""),"","Prescriptive")</f>
        <v/>
      </c>
      <c r="B26" s="508" t="str">
        <f t="shared" si="4"/>
        <v/>
      </c>
      <c r="C26" s="500" t="str">
        <f>IF(A26="","",'ECM Fan'!H13)</f>
        <v/>
      </c>
      <c r="D26" s="519" t="str">
        <f t="shared" si="1"/>
        <v/>
      </c>
      <c r="F26" s="519" t="str">
        <f>IF(A26="","",'ECM Fan'!AG13)</f>
        <v/>
      </c>
      <c r="G26" s="500" t="str">
        <f>IF(A26="","",'ECM Fan'!D13)</f>
        <v/>
      </c>
      <c r="H26" s="500" t="str">
        <f>IF(A26="","",'ECM Fan'!E13)</f>
        <v/>
      </c>
      <c r="K26" s="528" t="str">
        <f>IF(A26="","",'ECM Fan'!G13)</f>
        <v/>
      </c>
      <c r="L26" s="500" t="str">
        <f>IF(A26="","",IF('ECM Fan'!F13="SP","Shaded-Pole (SP)", "Permanent-Split Capacitor (PSC)"))</f>
        <v/>
      </c>
      <c r="M26" s="519" t="str">
        <f>IF(A26="","",'ECM Fan'!J13)</f>
        <v/>
      </c>
      <c r="N26" s="500" t="str">
        <f>IF(A26="","",IF('ECM Fan'!K13="", "", 'ECM Fan'!K13))</f>
        <v/>
      </c>
      <c r="Q26" s="515" t="str">
        <f>IF(A26="","",'ECM Fan'!AC13)</f>
        <v/>
      </c>
      <c r="R26" s="517" t="str">
        <f>IF(A26="","",'ECM Fan'!AB13)</f>
        <v/>
      </c>
      <c r="U26" s="500" t="str">
        <f>IF(A26="","",'Project Summary'!$C$14)</f>
        <v/>
      </c>
      <c r="W26" s="522" t="str">
        <f>IF(A26="","",'ECM Fan'!L13)</f>
        <v/>
      </c>
      <c r="X26" s="522" t="str">
        <f>IF(A26="","",'ECM Fan'!N13)</f>
        <v/>
      </c>
      <c r="Y26" s="515" t="str">
        <f>IF($A26="","",'ECM Fan'!AE13)</f>
        <v/>
      </c>
      <c r="Z26" s="515" t="str">
        <f>IF($A26="","",'ECM Fan'!AF13)</f>
        <v/>
      </c>
      <c r="AA26" s="512" t="str">
        <f>IF($A26="","",'Project Summary'!$C$9)</f>
        <v/>
      </c>
      <c r="AB26" s="519" t="str">
        <f t="shared" si="2"/>
        <v/>
      </c>
      <c r="AC26" s="525" t="str">
        <f>IF($A26="","",'ECM Fan'!T13)</f>
        <v/>
      </c>
      <c r="AD26" s="525" t="str">
        <f>IF($A26="","",'ECM Fan'!U13)</f>
        <v/>
      </c>
      <c r="AG26" s="500" t="str">
        <f>IF($A26="","",'ECM Fan'!I13)</f>
        <v/>
      </c>
    </row>
    <row r="27" spans="1:35" x14ac:dyDescent="0.2">
      <c r="A27" s="508" t="str">
        <f>IF(OR('ECM Fan'!AB14=0,'ECM Fan'!AB14=""),"","Prescriptive")</f>
        <v/>
      </c>
      <c r="B27" s="508" t="str">
        <f t="shared" si="4"/>
        <v/>
      </c>
      <c r="C27" s="500" t="str">
        <f>IF(A27="","",'ECM Fan'!H14)</f>
        <v/>
      </c>
      <c r="D27" s="519" t="str">
        <f t="shared" si="1"/>
        <v/>
      </c>
      <c r="F27" s="519" t="str">
        <f>IF(A27="","",'ECM Fan'!AG14)</f>
        <v/>
      </c>
      <c r="G27" s="500" t="str">
        <f>IF(A27="","",'ECM Fan'!D14)</f>
        <v/>
      </c>
      <c r="H27" s="500" t="str">
        <f>IF(A27="","",'ECM Fan'!E14)</f>
        <v/>
      </c>
      <c r="K27" s="528" t="str">
        <f>IF(A27="","",'ECM Fan'!G14)</f>
        <v/>
      </c>
      <c r="L27" s="500" t="str">
        <f>IF(A27="","",IF('ECM Fan'!F14="SP","Shaded-Pole (SP)", "Permanent-Split Capacitor (PSC)"))</f>
        <v/>
      </c>
      <c r="M27" s="519" t="str">
        <f>IF(A27="","",'ECM Fan'!J14)</f>
        <v/>
      </c>
      <c r="N27" s="500" t="str">
        <f>IF(A27="","",IF('ECM Fan'!K14="", "", 'ECM Fan'!K14))</f>
        <v/>
      </c>
      <c r="Q27" s="515" t="str">
        <f>IF(A27="","",'ECM Fan'!AC14)</f>
        <v/>
      </c>
      <c r="R27" s="517" t="str">
        <f>IF(A27="","",'ECM Fan'!AB14)</f>
        <v/>
      </c>
      <c r="U27" s="500" t="str">
        <f>IF(A27="","",'Project Summary'!$C$14)</f>
        <v/>
      </c>
      <c r="W27" s="522" t="str">
        <f>IF(A27="","",'ECM Fan'!L14)</f>
        <v/>
      </c>
      <c r="X27" s="522" t="str">
        <f>IF(A27="","",'ECM Fan'!N14)</f>
        <v/>
      </c>
      <c r="Y27" s="515" t="str">
        <f>IF($A27="","",'ECM Fan'!AE14)</f>
        <v/>
      </c>
      <c r="Z27" s="515" t="str">
        <f>IF($A27="","",'ECM Fan'!AF14)</f>
        <v/>
      </c>
      <c r="AA27" s="512" t="str">
        <f>IF($A27="","",'Project Summary'!$C$9)</f>
        <v/>
      </c>
      <c r="AB27" s="519" t="str">
        <f t="shared" si="2"/>
        <v/>
      </c>
      <c r="AC27" s="525" t="str">
        <f>IF($A27="","",'ECM Fan'!T14)</f>
        <v/>
      </c>
      <c r="AD27" s="525" t="str">
        <f>IF($A27="","",'ECM Fan'!U14)</f>
        <v/>
      </c>
      <c r="AG27" s="500" t="str">
        <f>IF($A27="","",'ECM Fan'!I14)</f>
        <v/>
      </c>
    </row>
    <row r="28" spans="1:35" x14ac:dyDescent="0.2">
      <c r="A28" s="508" t="str">
        <f>IF(OR('ECM Fan'!AB15=0,'ECM Fan'!AB15=""),"","Prescriptive")</f>
        <v/>
      </c>
      <c r="B28" s="508" t="str">
        <f t="shared" si="4"/>
        <v/>
      </c>
      <c r="C28" s="500" t="str">
        <f>IF(A28="","",'ECM Fan'!H15)</f>
        <v/>
      </c>
      <c r="D28" s="519" t="str">
        <f t="shared" si="1"/>
        <v/>
      </c>
      <c r="F28" s="519" t="str">
        <f>IF(A28="","",'ECM Fan'!AG15)</f>
        <v/>
      </c>
      <c r="G28" s="500" t="str">
        <f>IF(A28="","",'ECM Fan'!D15)</f>
        <v/>
      </c>
      <c r="H28" s="500" t="str">
        <f>IF(A28="","",'ECM Fan'!E15)</f>
        <v/>
      </c>
      <c r="K28" s="528" t="str">
        <f>IF(A28="","",'ECM Fan'!G15)</f>
        <v/>
      </c>
      <c r="L28" s="500" t="str">
        <f>IF(A28="","",IF('ECM Fan'!F15="SP","Shaded-Pole (SP)", "Permanent-Split Capacitor (PSC)"))</f>
        <v/>
      </c>
      <c r="M28" s="519" t="str">
        <f>IF(A28="","",'ECM Fan'!J15)</f>
        <v/>
      </c>
      <c r="N28" s="500" t="str">
        <f>IF(A28="","",IF('ECM Fan'!K15="", "", 'ECM Fan'!K15))</f>
        <v/>
      </c>
      <c r="Q28" s="515" t="str">
        <f>IF(A28="","",'ECM Fan'!AC15)</f>
        <v/>
      </c>
      <c r="R28" s="517" t="str">
        <f>IF(A28="","",'ECM Fan'!AB15)</f>
        <v/>
      </c>
      <c r="U28" s="500" t="str">
        <f>IF(A28="","",'Project Summary'!$C$14)</f>
        <v/>
      </c>
      <c r="W28" s="522" t="str">
        <f>IF(A28="","",'ECM Fan'!L15)</f>
        <v/>
      </c>
      <c r="X28" s="522" t="str">
        <f>IF(A28="","",'ECM Fan'!N15)</f>
        <v/>
      </c>
      <c r="Y28" s="515" t="str">
        <f>IF($A28="","",'ECM Fan'!AE15)</f>
        <v/>
      </c>
      <c r="Z28" s="515" t="str">
        <f>IF($A28="","",'ECM Fan'!AF15)</f>
        <v/>
      </c>
      <c r="AA28" s="512" t="str">
        <f>IF($A28="","",'Project Summary'!$C$9)</f>
        <v/>
      </c>
      <c r="AB28" s="519" t="str">
        <f t="shared" si="2"/>
        <v/>
      </c>
      <c r="AC28" s="525" t="str">
        <f>IF($A28="","",'ECM Fan'!T15)</f>
        <v/>
      </c>
      <c r="AD28" s="525" t="str">
        <f>IF($A28="","",'ECM Fan'!U15)</f>
        <v/>
      </c>
      <c r="AG28" s="500" t="str">
        <f>IF($A28="","",'ECM Fan'!I15)</f>
        <v/>
      </c>
    </row>
    <row r="29" spans="1:35" x14ac:dyDescent="0.2">
      <c r="A29" s="508" t="str">
        <f>IF(OR('ECM Fan'!AB16=0,'ECM Fan'!AB16=""),"","Prescriptive")</f>
        <v/>
      </c>
      <c r="B29" s="508" t="str">
        <f t="shared" si="4"/>
        <v/>
      </c>
      <c r="C29" s="500" t="str">
        <f>IF(A29="","",'ECM Fan'!H16)</f>
        <v/>
      </c>
      <c r="D29" s="519" t="str">
        <f t="shared" si="1"/>
        <v/>
      </c>
      <c r="F29" s="519" t="str">
        <f>IF(A29="","",'ECM Fan'!AG16)</f>
        <v/>
      </c>
      <c r="G29" s="500" t="str">
        <f>IF(A29="","",'ECM Fan'!D16)</f>
        <v/>
      </c>
      <c r="H29" s="500" t="str">
        <f>IF(A29="","",'ECM Fan'!E16)</f>
        <v/>
      </c>
      <c r="K29" s="528" t="str">
        <f>IF(A29="","",'ECM Fan'!G16)</f>
        <v/>
      </c>
      <c r="L29" s="500" t="str">
        <f>IF(A29="","",IF('ECM Fan'!F16="SP","Shaded-Pole (SP)", "Permanent-Split Capacitor (PSC)"))</f>
        <v/>
      </c>
      <c r="M29" s="519" t="str">
        <f>IF(A29="","",'ECM Fan'!J16)</f>
        <v/>
      </c>
      <c r="N29" s="500" t="str">
        <f>IF(A29="","",IF('ECM Fan'!K16="", "", 'ECM Fan'!K16))</f>
        <v/>
      </c>
      <c r="Q29" s="515" t="str">
        <f>IF(A29="","",'ECM Fan'!AC16)</f>
        <v/>
      </c>
      <c r="R29" s="517" t="str">
        <f>IF(A29="","",'ECM Fan'!AB16)</f>
        <v/>
      </c>
      <c r="U29" s="500" t="str">
        <f>IF(A29="","",'Project Summary'!$C$14)</f>
        <v/>
      </c>
      <c r="W29" s="522" t="str">
        <f>IF(A29="","",'ECM Fan'!L16)</f>
        <v/>
      </c>
      <c r="X29" s="522" t="str">
        <f>IF(A29="","",'ECM Fan'!N16)</f>
        <v/>
      </c>
      <c r="Y29" s="515" t="str">
        <f>IF($A29="","",'ECM Fan'!AE16)</f>
        <v/>
      </c>
      <c r="Z29" s="515" t="str">
        <f>IF($A29="","",'ECM Fan'!AF16)</f>
        <v/>
      </c>
      <c r="AA29" s="512" t="str">
        <f>IF($A29="","",'Project Summary'!$C$9)</f>
        <v/>
      </c>
      <c r="AB29" s="519" t="str">
        <f t="shared" si="2"/>
        <v/>
      </c>
      <c r="AC29" s="525" t="str">
        <f>IF($A29="","",'ECM Fan'!T16)</f>
        <v/>
      </c>
      <c r="AD29" s="525" t="str">
        <f>IF($A29="","",'ECM Fan'!U16)</f>
        <v/>
      </c>
      <c r="AG29" s="500" t="str">
        <f>IF($A29="","",'ECM Fan'!I16)</f>
        <v/>
      </c>
    </row>
    <row r="30" spans="1:35" x14ac:dyDescent="0.2">
      <c r="A30" s="508" t="str">
        <f>IF(OR('ECM Fan'!AB17=0,'ECM Fan'!AB17=""),"","Prescriptive")</f>
        <v/>
      </c>
      <c r="B30" s="508" t="str">
        <f t="shared" si="4"/>
        <v/>
      </c>
      <c r="C30" s="500" t="str">
        <f>IF(A30="","",'ECM Fan'!H17)</f>
        <v/>
      </c>
      <c r="D30" s="519" t="str">
        <f t="shared" si="1"/>
        <v/>
      </c>
      <c r="F30" s="519" t="str">
        <f>IF(A30="","",'ECM Fan'!AG17)</f>
        <v/>
      </c>
      <c r="G30" s="500" t="str">
        <f>IF(A30="","",'ECM Fan'!D17)</f>
        <v/>
      </c>
      <c r="H30" s="500" t="str">
        <f>IF(A30="","",'ECM Fan'!E17)</f>
        <v/>
      </c>
      <c r="K30" s="528" t="str">
        <f>IF(A30="","",'ECM Fan'!G17)</f>
        <v/>
      </c>
      <c r="L30" s="500" t="str">
        <f>IF(A30="","",IF('ECM Fan'!F17="SP","Shaded-Pole (SP)", "Permanent-Split Capacitor (PSC)"))</f>
        <v/>
      </c>
      <c r="M30" s="519" t="str">
        <f>IF(A30="","",'ECM Fan'!J17)</f>
        <v/>
      </c>
      <c r="N30" s="500" t="str">
        <f>IF(A30="","",IF('ECM Fan'!K17="", "", 'ECM Fan'!K17))</f>
        <v/>
      </c>
      <c r="Q30" s="515" t="str">
        <f>IF(A30="","",'ECM Fan'!AC17)</f>
        <v/>
      </c>
      <c r="R30" s="517" t="str">
        <f>IF(A30="","",'ECM Fan'!AB17)</f>
        <v/>
      </c>
      <c r="U30" s="500" t="str">
        <f>IF(A30="","",'Project Summary'!$C$14)</f>
        <v/>
      </c>
      <c r="W30" s="522" t="str">
        <f>IF(A30="","",'ECM Fan'!L17)</f>
        <v/>
      </c>
      <c r="X30" s="522" t="str">
        <f>IF(A30="","",'ECM Fan'!N17)</f>
        <v/>
      </c>
      <c r="Y30" s="515" t="str">
        <f>IF($A30="","",'ECM Fan'!AE17)</f>
        <v/>
      </c>
      <c r="Z30" s="515" t="str">
        <f>IF($A30="","",'ECM Fan'!AF17)</f>
        <v/>
      </c>
      <c r="AA30" s="512" t="str">
        <f>IF($A30="","",'Project Summary'!$C$9)</f>
        <v/>
      </c>
      <c r="AB30" s="519" t="str">
        <f t="shared" si="2"/>
        <v/>
      </c>
      <c r="AC30" s="525" t="str">
        <f>IF($A30="","",'ECM Fan'!T17)</f>
        <v/>
      </c>
      <c r="AD30" s="525" t="str">
        <f>IF($A30="","",'ECM Fan'!U17)</f>
        <v/>
      </c>
      <c r="AG30" s="500" t="str">
        <f>IF($A30="","",'ECM Fan'!I17)</f>
        <v/>
      </c>
    </row>
    <row r="31" spans="1:35" x14ac:dyDescent="0.2">
      <c r="A31" s="508" t="str">
        <f>IF(OR('ECM Fan'!AB18=0,'ECM Fan'!AB18=""),"","Prescriptive")</f>
        <v/>
      </c>
      <c r="B31" s="508" t="str">
        <f t="shared" si="4"/>
        <v/>
      </c>
      <c r="C31" s="500" t="str">
        <f>IF(A31="","",'ECM Fan'!H18)</f>
        <v/>
      </c>
      <c r="D31" s="519" t="str">
        <f t="shared" si="1"/>
        <v/>
      </c>
      <c r="F31" s="519" t="str">
        <f>IF(A31="","",'ECM Fan'!AG18)</f>
        <v/>
      </c>
      <c r="G31" s="500" t="str">
        <f>IF(A31="","",'ECM Fan'!D18)</f>
        <v/>
      </c>
      <c r="H31" s="500" t="str">
        <f>IF(A31="","",'ECM Fan'!E18)</f>
        <v/>
      </c>
      <c r="K31" s="528" t="str">
        <f>IF(A31="","",'ECM Fan'!G18)</f>
        <v/>
      </c>
      <c r="L31" s="500" t="str">
        <f>IF(A31="","",IF('ECM Fan'!F18="SP","Shaded-Pole (SP)", "Permanent-Split Capacitor (PSC)"))</f>
        <v/>
      </c>
      <c r="M31" s="519" t="str">
        <f>IF(A31="","",'ECM Fan'!J18)</f>
        <v/>
      </c>
      <c r="N31" s="500" t="str">
        <f>IF(A31="","",IF('ECM Fan'!K18="", "", 'ECM Fan'!K18))</f>
        <v/>
      </c>
      <c r="Q31" s="515" t="str">
        <f>IF(A31="","",'ECM Fan'!AC18)</f>
        <v/>
      </c>
      <c r="R31" s="517" t="str">
        <f>IF(A31="","",'ECM Fan'!AB18)</f>
        <v/>
      </c>
      <c r="U31" s="500" t="str">
        <f>IF(A31="","",'Project Summary'!$C$14)</f>
        <v/>
      </c>
      <c r="W31" s="522" t="str">
        <f>IF(A31="","",'ECM Fan'!L18)</f>
        <v/>
      </c>
      <c r="X31" s="522" t="str">
        <f>IF(A31="","",'ECM Fan'!N18)</f>
        <v/>
      </c>
      <c r="Y31" s="515" t="str">
        <f>IF($A31="","",'ECM Fan'!AE18)</f>
        <v/>
      </c>
      <c r="Z31" s="515" t="str">
        <f>IF($A31="","",'ECM Fan'!AF18)</f>
        <v/>
      </c>
      <c r="AA31" s="512" t="str">
        <f>IF($A31="","",'Project Summary'!$C$9)</f>
        <v/>
      </c>
      <c r="AB31" s="519" t="str">
        <f t="shared" si="2"/>
        <v/>
      </c>
      <c r="AC31" s="525" t="str">
        <f>IF($A31="","",'ECM Fan'!T18)</f>
        <v/>
      </c>
      <c r="AD31" s="525" t="str">
        <f>IF($A31="","",'ECM Fan'!U18)</f>
        <v/>
      </c>
      <c r="AG31" s="500" t="str">
        <f>IF($A31="","",'ECM Fan'!I18)</f>
        <v/>
      </c>
    </row>
    <row r="32" spans="1:35" s="163" customFormat="1" ht="15" thickBot="1" x14ac:dyDescent="0.25">
      <c r="A32" s="510" t="str">
        <f>IF(OR('ECM Fan'!AB19=0,'ECM Fan'!AB19=""),"","Prescriptive")</f>
        <v/>
      </c>
      <c r="B32" s="510" t="str">
        <f t="shared" si="4"/>
        <v/>
      </c>
      <c r="C32" s="501" t="str">
        <f>IF(A32="","",'ECM Fan'!H19)</f>
        <v/>
      </c>
      <c r="D32" s="520" t="str">
        <f t="shared" si="1"/>
        <v/>
      </c>
      <c r="F32" s="520" t="str">
        <f>IF(A32="","",'ECM Fan'!AG19)</f>
        <v/>
      </c>
      <c r="G32" s="501" t="str">
        <f>IF(A32="","",'ECM Fan'!D19)</f>
        <v/>
      </c>
      <c r="H32" s="501" t="str">
        <f>IF(A32="","",'ECM Fan'!E19)</f>
        <v/>
      </c>
      <c r="K32" s="529" t="str">
        <f>IF(A32="","",'ECM Fan'!G19)</f>
        <v/>
      </c>
      <c r="L32" s="501" t="str">
        <f>IF(A32="","",IF('ECM Fan'!F19="SP","Shaded-Pole (SP)", "Permanent-Split Capacitor (PSC)"))</f>
        <v/>
      </c>
      <c r="M32" s="520" t="str">
        <f>IF(A32="","",'ECM Fan'!J19)</f>
        <v/>
      </c>
      <c r="N32" s="501" t="str">
        <f>IF(A32="","",IF('ECM Fan'!K19="", "", 'ECM Fan'!K19))</f>
        <v/>
      </c>
      <c r="Q32" s="516" t="str">
        <f>IF(A32="","",'ECM Fan'!AC19)</f>
        <v/>
      </c>
      <c r="R32" s="518" t="str">
        <f>IF(A32="","",'ECM Fan'!AB19)</f>
        <v/>
      </c>
      <c r="U32" s="501" t="str">
        <f>IF(A32="","",'Project Summary'!$C$14)</f>
        <v/>
      </c>
      <c r="W32" s="523" t="str">
        <f>IF(A32="","",'ECM Fan'!L19)</f>
        <v/>
      </c>
      <c r="X32" s="523" t="str">
        <f>IF(A32="","",'ECM Fan'!N19)</f>
        <v/>
      </c>
      <c r="Y32" s="516" t="str">
        <f>IF($A32="","",'ECM Fan'!AE19)</f>
        <v/>
      </c>
      <c r="Z32" s="516" t="str">
        <f>IF($A32="","",'ECM Fan'!AF19)</f>
        <v/>
      </c>
      <c r="AA32" s="513" t="str">
        <f>IF($A32="","",'Project Summary'!$C$9)</f>
        <v/>
      </c>
      <c r="AB32" s="520" t="str">
        <f t="shared" si="2"/>
        <v/>
      </c>
      <c r="AC32" s="526" t="str">
        <f>IF($A32="","",'ECM Fan'!T19)</f>
        <v/>
      </c>
      <c r="AD32" s="526" t="str">
        <f>IF($A32="","",'ECM Fan'!U19)</f>
        <v/>
      </c>
      <c r="AG32" s="501" t="str">
        <f>IF($A32="","",'ECM Fan'!I19)</f>
        <v/>
      </c>
    </row>
    <row r="33" spans="1:30" s="164" customFormat="1" x14ac:dyDescent="0.2">
      <c r="A33" s="509" t="str">
        <f>IF(OR('VSD Kitchen Fan'!K10=0,'VSD Kitchen Fan'!K10=""),"","Prescriptive")</f>
        <v/>
      </c>
      <c r="B33" s="509" t="str">
        <f>IF(A33="","","VSDKitchenfan")</f>
        <v/>
      </c>
      <c r="C33" s="514" t="str">
        <f>IF(A33="","",'VSD Kitchen Fan'!G10)</f>
        <v/>
      </c>
      <c r="D33" s="521" t="str">
        <f t="shared" si="1"/>
        <v/>
      </c>
      <c r="F33" s="521" t="str">
        <f>IF(A33="","",'VSD Kitchen Fan'!P10)</f>
        <v/>
      </c>
      <c r="G33" s="514" t="str">
        <f>IF(A33="","",'VSD Kitchen Fan'!D10)</f>
        <v/>
      </c>
      <c r="H33" s="514" t="str">
        <f>IF(A33="","",'VSD Kitchen Fan'!E10)</f>
        <v/>
      </c>
      <c r="K33" s="527" t="str">
        <f>IF(A33="","",'VSD Kitchen Fan'!F10)</f>
        <v/>
      </c>
      <c r="N33" s="514" t="str">
        <f>IF(A33="","",'VSD Kitchen Fan'!H10)</f>
        <v/>
      </c>
      <c r="Q33" s="515" t="str">
        <f>IF(A33="","",'VSD Kitchen Fan'!L10)</f>
        <v/>
      </c>
      <c r="R33" s="517" t="str">
        <f>IF(A33="","",'VSD Kitchen Fan'!K10)</f>
        <v/>
      </c>
      <c r="U33" s="514" t="str">
        <f>IF(A33="","",'Project Summary'!$C$14)</f>
        <v/>
      </c>
      <c r="Y33" s="515" t="str">
        <f>IF($A33="","",'VSD Kitchen Fan'!M10)</f>
        <v/>
      </c>
      <c r="Z33" s="515" t="str">
        <f>IF($A33="","",'VSD Kitchen Fan'!N10)</f>
        <v/>
      </c>
      <c r="AA33" s="512" t="str">
        <f>IF($A33="","",'Project Summary'!$C$9)</f>
        <v/>
      </c>
      <c r="AB33" s="519" t="str">
        <f t="shared" si="2"/>
        <v/>
      </c>
      <c r="AC33" s="524" t="str">
        <f>IF($A33="","",'VSD Kitchen Fan'!I10)</f>
        <v/>
      </c>
      <c r="AD33" s="524" t="str">
        <f>IF($A33="","",'VSD Kitchen Fan'!J10)</f>
        <v/>
      </c>
    </row>
    <row r="34" spans="1:30" x14ac:dyDescent="0.2">
      <c r="A34" s="508" t="str">
        <f>IF(OR('VSD Kitchen Fan'!K11=0,'VSD Kitchen Fan'!K11=""),"","Prescriptive")</f>
        <v/>
      </c>
      <c r="B34" s="508" t="str">
        <f t="shared" ref="B34:B42" si="5">IF(A34="","","VSDKitchenfan")</f>
        <v/>
      </c>
      <c r="C34" s="500" t="str">
        <f>IF(A34="","",'VSD Kitchen Fan'!G11)</f>
        <v/>
      </c>
      <c r="D34" s="519" t="str">
        <f t="shared" si="1"/>
        <v/>
      </c>
      <c r="F34" s="519" t="str">
        <f>IF(A34="","",'VSD Kitchen Fan'!P11)</f>
        <v/>
      </c>
      <c r="G34" s="500" t="str">
        <f>IF(A34="","",'VSD Kitchen Fan'!D11)</f>
        <v/>
      </c>
      <c r="H34" s="500" t="str">
        <f>IF(A34="","",'VSD Kitchen Fan'!E11)</f>
        <v/>
      </c>
      <c r="K34" s="528" t="str">
        <f>IF(A34="","",'VSD Kitchen Fan'!F11)</f>
        <v/>
      </c>
      <c r="N34" s="500" t="str">
        <f>IF(A34="","",'VSD Kitchen Fan'!H11)</f>
        <v/>
      </c>
      <c r="Q34" s="515" t="str">
        <f>IF(A34="","",'VSD Kitchen Fan'!L11)</f>
        <v/>
      </c>
      <c r="R34" s="517" t="str">
        <f>IF(A34="","",'VSD Kitchen Fan'!K11)</f>
        <v/>
      </c>
      <c r="U34" s="500" t="str">
        <f>IF(A34="","",'Project Summary'!$C$14)</f>
        <v/>
      </c>
      <c r="Y34" s="515" t="str">
        <f>IF($A34="","",'VSD Kitchen Fan'!M11)</f>
        <v/>
      </c>
      <c r="Z34" s="515" t="str">
        <f>IF($A34="","",'VSD Kitchen Fan'!N11)</f>
        <v/>
      </c>
      <c r="AA34" s="512" t="str">
        <f>IF($A34="","",'Project Summary'!$C$9)</f>
        <v/>
      </c>
      <c r="AB34" s="519" t="str">
        <f t="shared" si="2"/>
        <v/>
      </c>
      <c r="AC34" s="525" t="str">
        <f>IF($A34="","",'VSD Kitchen Fan'!I11)</f>
        <v/>
      </c>
      <c r="AD34" s="525" t="str">
        <f>IF($A34="","",'VSD Kitchen Fan'!J11)</f>
        <v/>
      </c>
    </row>
    <row r="35" spans="1:30" x14ac:dyDescent="0.2">
      <c r="A35" s="508" t="str">
        <f>IF(OR('VSD Kitchen Fan'!K12=0,'VSD Kitchen Fan'!K12=""),"","Prescriptive")</f>
        <v/>
      </c>
      <c r="B35" s="508" t="str">
        <f t="shared" si="5"/>
        <v/>
      </c>
      <c r="C35" s="500" t="str">
        <f>IF(A35="","",'VSD Kitchen Fan'!G12)</f>
        <v/>
      </c>
      <c r="D35" s="519" t="str">
        <f t="shared" si="1"/>
        <v/>
      </c>
      <c r="F35" s="519" t="str">
        <f>IF(A35="","",'VSD Kitchen Fan'!P12)</f>
        <v/>
      </c>
      <c r="G35" s="500" t="str">
        <f>IF(A35="","",'VSD Kitchen Fan'!D12)</f>
        <v/>
      </c>
      <c r="H35" s="500" t="str">
        <f>IF(A35="","",'VSD Kitchen Fan'!E12)</f>
        <v/>
      </c>
      <c r="K35" s="528" t="str">
        <f>IF(A35="","",'VSD Kitchen Fan'!F12)</f>
        <v/>
      </c>
      <c r="N35" s="500" t="str">
        <f>IF(A35="","",'VSD Kitchen Fan'!H12)</f>
        <v/>
      </c>
      <c r="Q35" s="515" t="str">
        <f>IF(A35="","",'VSD Kitchen Fan'!L12)</f>
        <v/>
      </c>
      <c r="R35" s="517" t="str">
        <f>IF(A35="","",'VSD Kitchen Fan'!K12)</f>
        <v/>
      </c>
      <c r="U35" s="500" t="str">
        <f>IF(A35="","",'Project Summary'!$C$14)</f>
        <v/>
      </c>
      <c r="Y35" s="515" t="str">
        <f>IF($A35="","",'VSD Kitchen Fan'!M12)</f>
        <v/>
      </c>
      <c r="Z35" s="515" t="str">
        <f>IF($A35="","",'VSD Kitchen Fan'!N12)</f>
        <v/>
      </c>
      <c r="AA35" s="512" t="str">
        <f>IF($A35="","",'Project Summary'!$C$9)</f>
        <v/>
      </c>
      <c r="AB35" s="519" t="str">
        <f t="shared" si="2"/>
        <v/>
      </c>
      <c r="AC35" s="525" t="str">
        <f>IF($A35="","",'VSD Kitchen Fan'!I12)</f>
        <v/>
      </c>
      <c r="AD35" s="525" t="str">
        <f>IF($A35="","",'VSD Kitchen Fan'!J12)</f>
        <v/>
      </c>
    </row>
    <row r="36" spans="1:30" x14ac:dyDescent="0.2">
      <c r="A36" s="508" t="str">
        <f>IF(OR('VSD Kitchen Fan'!K13=0,'VSD Kitchen Fan'!K13=""),"","Prescriptive")</f>
        <v/>
      </c>
      <c r="B36" s="508" t="str">
        <f t="shared" si="5"/>
        <v/>
      </c>
      <c r="C36" s="500" t="str">
        <f>IF(A36="","",'VSD Kitchen Fan'!G13)</f>
        <v/>
      </c>
      <c r="D36" s="519" t="str">
        <f t="shared" si="1"/>
        <v/>
      </c>
      <c r="F36" s="519" t="str">
        <f>IF(A36="","",'VSD Kitchen Fan'!P13)</f>
        <v/>
      </c>
      <c r="G36" s="500" t="str">
        <f>IF(A36="","",'VSD Kitchen Fan'!D13)</f>
        <v/>
      </c>
      <c r="H36" s="500" t="str">
        <f>IF(A36="","",'VSD Kitchen Fan'!E13)</f>
        <v/>
      </c>
      <c r="K36" s="528" t="str">
        <f>IF(A36="","",'VSD Kitchen Fan'!F13)</f>
        <v/>
      </c>
      <c r="N36" s="500" t="str">
        <f>IF(A36="","",'VSD Kitchen Fan'!H13)</f>
        <v/>
      </c>
      <c r="Q36" s="515" t="str">
        <f>IF(A36="","",'VSD Kitchen Fan'!L13)</f>
        <v/>
      </c>
      <c r="R36" s="517" t="str">
        <f>IF(A36="","",'VSD Kitchen Fan'!K13)</f>
        <v/>
      </c>
      <c r="U36" s="500" t="str">
        <f>IF(A36="","",'Project Summary'!$C$14)</f>
        <v/>
      </c>
      <c r="Y36" s="515" t="str">
        <f>IF($A36="","",'VSD Kitchen Fan'!M13)</f>
        <v/>
      </c>
      <c r="Z36" s="515" t="str">
        <f>IF($A36="","",'VSD Kitchen Fan'!N13)</f>
        <v/>
      </c>
      <c r="AA36" s="512" t="str">
        <f>IF($A36="","",'Project Summary'!$C$9)</f>
        <v/>
      </c>
      <c r="AB36" s="519" t="str">
        <f t="shared" si="2"/>
        <v/>
      </c>
      <c r="AC36" s="525" t="str">
        <f>IF($A36="","",'VSD Kitchen Fan'!I13)</f>
        <v/>
      </c>
      <c r="AD36" s="525" t="str">
        <f>IF($A36="","",'VSD Kitchen Fan'!J13)</f>
        <v/>
      </c>
    </row>
    <row r="37" spans="1:30" x14ac:dyDescent="0.2">
      <c r="A37" s="508" t="str">
        <f>IF(OR('VSD Kitchen Fan'!K14=0,'VSD Kitchen Fan'!K14=""),"","Prescriptive")</f>
        <v/>
      </c>
      <c r="B37" s="508" t="str">
        <f t="shared" si="5"/>
        <v/>
      </c>
      <c r="C37" s="500" t="str">
        <f>IF(A37="","",'VSD Kitchen Fan'!G14)</f>
        <v/>
      </c>
      <c r="D37" s="519" t="str">
        <f t="shared" si="1"/>
        <v/>
      </c>
      <c r="F37" s="519" t="str">
        <f>IF(A37="","",'VSD Kitchen Fan'!P14)</f>
        <v/>
      </c>
      <c r="G37" s="500" t="str">
        <f>IF(A37="","",'VSD Kitchen Fan'!D14)</f>
        <v/>
      </c>
      <c r="H37" s="500" t="str">
        <f>IF(A37="","",'VSD Kitchen Fan'!E14)</f>
        <v/>
      </c>
      <c r="K37" s="528" t="str">
        <f>IF(A37="","",'VSD Kitchen Fan'!F14)</f>
        <v/>
      </c>
      <c r="N37" s="500" t="str">
        <f>IF(A37="","",'VSD Kitchen Fan'!H14)</f>
        <v/>
      </c>
      <c r="Q37" s="515" t="str">
        <f>IF(A37="","",'VSD Kitchen Fan'!L14)</f>
        <v/>
      </c>
      <c r="R37" s="517" t="str">
        <f>IF(A37="","",'VSD Kitchen Fan'!K14)</f>
        <v/>
      </c>
      <c r="U37" s="500" t="str">
        <f>IF(A37="","",'Project Summary'!$C$14)</f>
        <v/>
      </c>
      <c r="Y37" s="515" t="str">
        <f>IF($A37="","",'VSD Kitchen Fan'!M14)</f>
        <v/>
      </c>
      <c r="Z37" s="515" t="str">
        <f>IF($A37="","",'VSD Kitchen Fan'!N14)</f>
        <v/>
      </c>
      <c r="AA37" s="512" t="str">
        <f>IF($A37="","",'Project Summary'!$C$9)</f>
        <v/>
      </c>
      <c r="AB37" s="519" t="str">
        <f t="shared" si="2"/>
        <v/>
      </c>
      <c r="AC37" s="525" t="str">
        <f>IF($A37="","",'VSD Kitchen Fan'!I14)</f>
        <v/>
      </c>
      <c r="AD37" s="525" t="str">
        <f>IF($A37="","",'VSD Kitchen Fan'!J14)</f>
        <v/>
      </c>
    </row>
    <row r="38" spans="1:30" x14ac:dyDescent="0.2">
      <c r="A38" s="508" t="str">
        <f>IF(OR('VSD Kitchen Fan'!K15=0,'VSD Kitchen Fan'!K15=""),"","Prescriptive")</f>
        <v/>
      </c>
      <c r="B38" s="508" t="str">
        <f t="shared" si="5"/>
        <v/>
      </c>
      <c r="C38" s="500" t="str">
        <f>IF(A38="","",'VSD Kitchen Fan'!G15)</f>
        <v/>
      </c>
      <c r="D38" s="519" t="str">
        <f t="shared" si="1"/>
        <v/>
      </c>
      <c r="F38" s="519" t="str">
        <f>IF(A38="","",'VSD Kitchen Fan'!P15)</f>
        <v/>
      </c>
      <c r="G38" s="500" t="str">
        <f>IF(A38="","",'VSD Kitchen Fan'!D15)</f>
        <v/>
      </c>
      <c r="H38" s="500" t="str">
        <f>IF(A38="","",'VSD Kitchen Fan'!E15)</f>
        <v/>
      </c>
      <c r="K38" s="528" t="str">
        <f>IF(A38="","",'VSD Kitchen Fan'!F15)</f>
        <v/>
      </c>
      <c r="N38" s="500" t="str">
        <f>IF(A38="","",'VSD Kitchen Fan'!H15)</f>
        <v/>
      </c>
      <c r="Q38" s="515" t="str">
        <f>IF(A38="","",'VSD Kitchen Fan'!L15)</f>
        <v/>
      </c>
      <c r="R38" s="517" t="str">
        <f>IF(A38="","",'VSD Kitchen Fan'!K15)</f>
        <v/>
      </c>
      <c r="U38" s="500" t="str">
        <f>IF(A38="","",'Project Summary'!$C$14)</f>
        <v/>
      </c>
      <c r="Y38" s="515" t="str">
        <f>IF($A38="","",'VSD Kitchen Fan'!M15)</f>
        <v/>
      </c>
      <c r="Z38" s="515" t="str">
        <f>IF($A38="","",'VSD Kitchen Fan'!N15)</f>
        <v/>
      </c>
      <c r="AA38" s="512" t="str">
        <f>IF($A38="","",'Project Summary'!$C$9)</f>
        <v/>
      </c>
      <c r="AB38" s="519" t="str">
        <f t="shared" si="2"/>
        <v/>
      </c>
      <c r="AC38" s="525" t="str">
        <f>IF($A38="","",'VSD Kitchen Fan'!I15)</f>
        <v/>
      </c>
      <c r="AD38" s="525" t="str">
        <f>IF($A38="","",'VSD Kitchen Fan'!J15)</f>
        <v/>
      </c>
    </row>
    <row r="39" spans="1:30" x14ac:dyDescent="0.2">
      <c r="A39" s="508" t="str">
        <f>IF(OR('VSD Kitchen Fan'!K16=0,'VSD Kitchen Fan'!K16=""),"","Prescriptive")</f>
        <v/>
      </c>
      <c r="B39" s="508" t="str">
        <f t="shared" si="5"/>
        <v/>
      </c>
      <c r="C39" s="500" t="str">
        <f>IF(A39="","",'VSD Kitchen Fan'!G16)</f>
        <v/>
      </c>
      <c r="D39" s="519" t="str">
        <f t="shared" si="1"/>
        <v/>
      </c>
      <c r="F39" s="519" t="str">
        <f>IF(A39="","",'VSD Kitchen Fan'!P16)</f>
        <v/>
      </c>
      <c r="G39" s="500" t="str">
        <f>IF(A39="","",'VSD Kitchen Fan'!D16)</f>
        <v/>
      </c>
      <c r="H39" s="500" t="str">
        <f>IF(A39="","",'VSD Kitchen Fan'!E16)</f>
        <v/>
      </c>
      <c r="K39" s="528" t="str">
        <f>IF(A39="","",'VSD Kitchen Fan'!F16)</f>
        <v/>
      </c>
      <c r="N39" s="500" t="str">
        <f>IF(A39="","",'VSD Kitchen Fan'!H16)</f>
        <v/>
      </c>
      <c r="Q39" s="515" t="str">
        <f>IF(A39="","",'VSD Kitchen Fan'!L16)</f>
        <v/>
      </c>
      <c r="R39" s="517" t="str">
        <f>IF(A39="","",'VSD Kitchen Fan'!K16)</f>
        <v/>
      </c>
      <c r="U39" s="500" t="str">
        <f>IF(A39="","",'Project Summary'!$C$14)</f>
        <v/>
      </c>
      <c r="Y39" s="515" t="str">
        <f>IF($A39="","",'VSD Kitchen Fan'!M16)</f>
        <v/>
      </c>
      <c r="Z39" s="515" t="str">
        <f>IF($A39="","",'VSD Kitchen Fan'!N16)</f>
        <v/>
      </c>
      <c r="AA39" s="512" t="str">
        <f>IF($A39="","",'Project Summary'!$C$9)</f>
        <v/>
      </c>
      <c r="AB39" s="519" t="str">
        <f t="shared" si="2"/>
        <v/>
      </c>
      <c r="AC39" s="525" t="str">
        <f>IF($A39="","",'VSD Kitchen Fan'!I16)</f>
        <v/>
      </c>
      <c r="AD39" s="525" t="str">
        <f>IF($A39="","",'VSD Kitchen Fan'!J16)</f>
        <v/>
      </c>
    </row>
    <row r="40" spans="1:30" x14ac:dyDescent="0.2">
      <c r="A40" s="508" t="str">
        <f>IF(OR('VSD Kitchen Fan'!K17=0,'VSD Kitchen Fan'!K17=""),"","Prescriptive")</f>
        <v/>
      </c>
      <c r="B40" s="508" t="str">
        <f t="shared" si="5"/>
        <v/>
      </c>
      <c r="C40" s="500" t="str">
        <f>IF(A40="","",'VSD Kitchen Fan'!G17)</f>
        <v/>
      </c>
      <c r="D40" s="519" t="str">
        <f t="shared" si="1"/>
        <v/>
      </c>
      <c r="F40" s="519" t="str">
        <f>IF(A40="","",'VSD Kitchen Fan'!P17)</f>
        <v/>
      </c>
      <c r="G40" s="500" t="str">
        <f>IF(A40="","",'VSD Kitchen Fan'!D17)</f>
        <v/>
      </c>
      <c r="H40" s="500" t="str">
        <f>IF(A40="","",'VSD Kitchen Fan'!E17)</f>
        <v/>
      </c>
      <c r="K40" s="528" t="str">
        <f>IF(A40="","",'VSD Kitchen Fan'!F17)</f>
        <v/>
      </c>
      <c r="N40" s="500" t="str">
        <f>IF(A40="","",'VSD Kitchen Fan'!H17)</f>
        <v/>
      </c>
      <c r="Q40" s="515" t="str">
        <f>IF(A40="","",'VSD Kitchen Fan'!L17)</f>
        <v/>
      </c>
      <c r="R40" s="517" t="str">
        <f>IF(A40="","",'VSD Kitchen Fan'!K17)</f>
        <v/>
      </c>
      <c r="U40" s="500" t="str">
        <f>IF(A40="","",'Project Summary'!$C$14)</f>
        <v/>
      </c>
      <c r="Y40" s="515" t="str">
        <f>IF($A40="","",'VSD Kitchen Fan'!M17)</f>
        <v/>
      </c>
      <c r="Z40" s="515" t="str">
        <f>IF($A40="","",'VSD Kitchen Fan'!N17)</f>
        <v/>
      </c>
      <c r="AA40" s="512" t="str">
        <f>IF($A40="","",'Project Summary'!$C$9)</f>
        <v/>
      </c>
      <c r="AB40" s="519" t="str">
        <f t="shared" si="2"/>
        <v/>
      </c>
      <c r="AC40" s="525" t="str">
        <f>IF($A40="","",'VSD Kitchen Fan'!I17)</f>
        <v/>
      </c>
      <c r="AD40" s="525" t="str">
        <f>IF($A40="","",'VSD Kitchen Fan'!J17)</f>
        <v/>
      </c>
    </row>
    <row r="41" spans="1:30" x14ac:dyDescent="0.2">
      <c r="A41" s="508" t="str">
        <f>IF(OR('VSD Kitchen Fan'!K18=0,'VSD Kitchen Fan'!K18=""),"","Prescriptive")</f>
        <v/>
      </c>
      <c r="B41" s="508" t="str">
        <f t="shared" si="5"/>
        <v/>
      </c>
      <c r="C41" s="500" t="str">
        <f>IF(A41="","",'VSD Kitchen Fan'!G18)</f>
        <v/>
      </c>
      <c r="D41" s="519" t="str">
        <f t="shared" si="1"/>
        <v/>
      </c>
      <c r="F41" s="519" t="str">
        <f>IF(A41="","",'VSD Kitchen Fan'!P18)</f>
        <v/>
      </c>
      <c r="G41" s="500" t="str">
        <f>IF(A41="","",'VSD Kitchen Fan'!D18)</f>
        <v/>
      </c>
      <c r="H41" s="500" t="str">
        <f>IF(A41="","",'VSD Kitchen Fan'!E18)</f>
        <v/>
      </c>
      <c r="K41" s="528" t="str">
        <f>IF(A41="","",'VSD Kitchen Fan'!F18)</f>
        <v/>
      </c>
      <c r="N41" s="500" t="str">
        <f>IF(A41="","",'VSD Kitchen Fan'!H18)</f>
        <v/>
      </c>
      <c r="Q41" s="515" t="str">
        <f>IF(A41="","",'VSD Kitchen Fan'!L18)</f>
        <v/>
      </c>
      <c r="R41" s="517" t="str">
        <f>IF(A41="","",'VSD Kitchen Fan'!K18)</f>
        <v/>
      </c>
      <c r="U41" s="500" t="str">
        <f>IF(A41="","",'Project Summary'!$C$14)</f>
        <v/>
      </c>
      <c r="Y41" s="515" t="str">
        <f>IF($A41="","",'VSD Kitchen Fan'!M18)</f>
        <v/>
      </c>
      <c r="Z41" s="515" t="str">
        <f>IF($A41="","",'VSD Kitchen Fan'!N18)</f>
        <v/>
      </c>
      <c r="AA41" s="512" t="str">
        <f>IF($A41="","",'Project Summary'!$C$9)</f>
        <v/>
      </c>
      <c r="AB41" s="519" t="str">
        <f t="shared" si="2"/>
        <v/>
      </c>
      <c r="AC41" s="525" t="str">
        <f>IF($A41="","",'VSD Kitchen Fan'!I18)</f>
        <v/>
      </c>
      <c r="AD41" s="525" t="str">
        <f>IF($A41="","",'VSD Kitchen Fan'!J18)</f>
        <v/>
      </c>
    </row>
    <row r="42" spans="1:30" s="163" customFormat="1" ht="15" thickBot="1" x14ac:dyDescent="0.25">
      <c r="A42" s="510" t="str">
        <f>IF(OR('VSD Kitchen Fan'!K19=0,'VSD Kitchen Fan'!K19=""),"","Prescriptive")</f>
        <v/>
      </c>
      <c r="B42" s="510" t="str">
        <f t="shared" si="5"/>
        <v/>
      </c>
      <c r="C42" s="501" t="str">
        <f>IF(A42="","",'VSD Kitchen Fan'!G19)</f>
        <v/>
      </c>
      <c r="D42" s="520" t="str">
        <f t="shared" si="1"/>
        <v/>
      </c>
      <c r="F42" s="520" t="str">
        <f>IF(A42="","",'VSD Kitchen Fan'!P19)</f>
        <v/>
      </c>
      <c r="G42" s="501" t="str">
        <f>IF(A42="","",'VSD Kitchen Fan'!D19)</f>
        <v/>
      </c>
      <c r="H42" s="501" t="str">
        <f>IF(A42="","",'VSD Kitchen Fan'!E19)</f>
        <v/>
      </c>
      <c r="K42" s="529" t="str">
        <f>IF(A42="","",'VSD Kitchen Fan'!F19)</f>
        <v/>
      </c>
      <c r="N42" s="501" t="str">
        <f>IF(A42="","",'VSD Kitchen Fan'!H19)</f>
        <v/>
      </c>
      <c r="Q42" s="516" t="str">
        <f>IF(A42="","",'VSD Kitchen Fan'!L19)</f>
        <v/>
      </c>
      <c r="R42" s="518" t="str">
        <f>IF(A42="","",'VSD Kitchen Fan'!K19)</f>
        <v/>
      </c>
      <c r="U42" s="501" t="str">
        <f>IF(A42="","",'Project Summary'!$C$14)</f>
        <v/>
      </c>
      <c r="Y42" s="516" t="str">
        <f>IF($A42="","",'VSD Kitchen Fan'!M19)</f>
        <v/>
      </c>
      <c r="Z42" s="516" t="str">
        <f>IF($A42="","",'VSD Kitchen Fan'!N19)</f>
        <v/>
      </c>
      <c r="AA42" s="513" t="str">
        <f>IF($A42="","",'Project Summary'!$C$9)</f>
        <v/>
      </c>
      <c r="AB42" s="520" t="str">
        <f t="shared" si="2"/>
        <v/>
      </c>
      <c r="AC42" s="525" t="str">
        <f>IF($A42="","",'VSD Kitchen Fan'!I19)</f>
        <v/>
      </c>
      <c r="AD42" s="525" t="str">
        <f>IF($A42="","",'VSD Kitchen Fan'!J19)</f>
        <v/>
      </c>
    </row>
    <row r="43" spans="1:30" s="164" customFormat="1" x14ac:dyDescent="0.2">
      <c r="A43" s="509" t="str">
        <f>IF(OR('ECM Circulator Pump'!T10=0,'ECM Circulator Pump'!T10=""),"","Prescriptive")</f>
        <v/>
      </c>
      <c r="B43" s="509" t="str">
        <f>IF(A43="","","ECMCirculatorPump")</f>
        <v/>
      </c>
      <c r="C43" s="514" t="str">
        <f>IF(A43="","",'ECM Circulator Pump'!G10)</f>
        <v/>
      </c>
      <c r="D43" s="521" t="str">
        <f t="shared" si="1"/>
        <v/>
      </c>
      <c r="F43" s="521" t="str">
        <f>IF(A43="","",'ECM Circulator Pump'!Y10)</f>
        <v/>
      </c>
      <c r="G43" s="514" t="str">
        <f>IF(A43="","",'ECM Circulator Pump'!D10)</f>
        <v/>
      </c>
      <c r="H43" s="514" t="str">
        <f>IF(A43="","",'ECM Circulator Pump'!E10)</f>
        <v/>
      </c>
      <c r="K43" s="527" t="str">
        <f>IF(A43="","",'ECM Circulator Pump'!F10)</f>
        <v/>
      </c>
      <c r="M43" s="521" t="str">
        <f>IF(A43="","",0.85)</f>
        <v/>
      </c>
      <c r="N43" s="532" t="str">
        <f>IF(A43="","",IF('ECM Circulator Pump'!O10= "", "", 'ECM Circulator Pump'!O10))</f>
        <v/>
      </c>
      <c r="P43" s="532" t="str">
        <f>IF(A43="","",IF('ECM Circulator Pump'!I10= "", "", 'ECM Circulator Pump'!I10))</f>
        <v/>
      </c>
      <c r="Q43" s="531" t="str">
        <f>IF(A43="","",'ECM Circulator Pump'!U10)</f>
        <v/>
      </c>
      <c r="R43" s="530" t="str">
        <f>IF(A43="","",'ECM Circulator Pump'!T10)</f>
        <v/>
      </c>
      <c r="U43" s="514" t="str">
        <f>IF(A43="","",'Project Summary'!$C$14)</f>
        <v/>
      </c>
      <c r="Y43" s="515" t="str">
        <f>IF($A43="","",'ECM Circulator Pump'!V10)</f>
        <v/>
      </c>
      <c r="Z43" s="515" t="str">
        <f>IF($A43="","",'ECM Circulator Pump'!W10)</f>
        <v/>
      </c>
      <c r="AA43" s="512" t="str">
        <f>IF($A43="","",'Project Summary'!$C$9)</f>
        <v/>
      </c>
      <c r="AB43" s="519" t="str">
        <f t="shared" si="2"/>
        <v/>
      </c>
      <c r="AC43" s="535" t="str">
        <f>IF($A43="","",'ECM Circulator Pump'!P10)</f>
        <v/>
      </c>
      <c r="AD43" s="535" t="str">
        <f>IF($A43="","",'ECM Circulator Pump'!Q10)</f>
        <v/>
      </c>
    </row>
    <row r="44" spans="1:30" x14ac:dyDescent="0.2">
      <c r="A44" s="508" t="str">
        <f>IF(OR('ECM Circulator Pump'!T11=0,'ECM Circulator Pump'!T11=""),"","Prescriptive")</f>
        <v/>
      </c>
      <c r="B44" s="508" t="str">
        <f t="shared" ref="B44:B52" si="6">IF(A44="","","ECMCirculatorPump")</f>
        <v/>
      </c>
      <c r="C44" s="500" t="str">
        <f>IF(A44="","",'ECM Circulator Pump'!G11)</f>
        <v/>
      </c>
      <c r="D44" s="519" t="str">
        <f t="shared" si="1"/>
        <v/>
      </c>
      <c r="F44" s="519" t="str">
        <f>IF(A44="","",'ECM Circulator Pump'!Y11)</f>
        <v/>
      </c>
      <c r="G44" s="500" t="str">
        <f>IF(A44="","",'ECM Circulator Pump'!D11)</f>
        <v/>
      </c>
      <c r="H44" s="500" t="str">
        <f>IF(A44="","",'ECM Circulator Pump'!E11)</f>
        <v/>
      </c>
      <c r="K44" s="528" t="str">
        <f>IF(A44="","",'ECM Circulator Pump'!F11)</f>
        <v/>
      </c>
      <c r="M44" s="519" t="str">
        <f t="shared" ref="M44:M52" si="7">IF(A44="","",0.85)</f>
        <v/>
      </c>
      <c r="N44" s="533" t="str">
        <f>IF(A44="","",IF('ECM Circulator Pump'!O11= "", "", 'ECM Circulator Pump'!O11))</f>
        <v/>
      </c>
      <c r="P44" s="533" t="str">
        <f>IF(A44="","",IF('ECM Circulator Pump'!I11= "", "", 'ECM Circulator Pump'!I11))</f>
        <v/>
      </c>
      <c r="Q44" s="531" t="str">
        <f>IF(A44="","",'ECM Circulator Pump'!U11)</f>
        <v/>
      </c>
      <c r="R44" s="517" t="str">
        <f>IF(A44="","",'ECM Circulator Pump'!T11)</f>
        <v/>
      </c>
      <c r="U44" s="500" t="str">
        <f>IF(A44="","",'Project Summary'!$C$14)</f>
        <v/>
      </c>
      <c r="Y44" s="515" t="str">
        <f>IF($A44="","",'ECM Circulator Pump'!V11)</f>
        <v/>
      </c>
      <c r="Z44" s="515" t="str">
        <f>IF($A44="","",'ECM Circulator Pump'!W11)</f>
        <v/>
      </c>
      <c r="AA44" s="512" t="str">
        <f>IF($A44="","",'Project Summary'!$C$9)</f>
        <v/>
      </c>
      <c r="AB44" s="519" t="str">
        <f t="shared" si="2"/>
        <v/>
      </c>
      <c r="AC44" s="536" t="str">
        <f>IF($A44="","",'ECM Circulator Pump'!P11)</f>
        <v/>
      </c>
      <c r="AD44" s="536" t="str">
        <f>IF($A44="","",'ECM Circulator Pump'!Q11)</f>
        <v/>
      </c>
    </row>
    <row r="45" spans="1:30" x14ac:dyDescent="0.2">
      <c r="A45" s="508" t="str">
        <f>IF(OR('ECM Circulator Pump'!T12=0,'ECM Circulator Pump'!T12=""),"","Prescriptive")</f>
        <v/>
      </c>
      <c r="B45" s="508" t="str">
        <f t="shared" si="6"/>
        <v/>
      </c>
      <c r="C45" s="500" t="str">
        <f>IF(A45="","",'ECM Circulator Pump'!G12)</f>
        <v/>
      </c>
      <c r="D45" s="519" t="str">
        <f t="shared" si="1"/>
        <v/>
      </c>
      <c r="F45" s="519" t="str">
        <f>IF(A45="","",'ECM Circulator Pump'!Y12)</f>
        <v/>
      </c>
      <c r="G45" s="500" t="str">
        <f>IF(A45="","",'ECM Circulator Pump'!D12)</f>
        <v/>
      </c>
      <c r="H45" s="500" t="str">
        <f>IF(A45="","",'ECM Circulator Pump'!E12)</f>
        <v/>
      </c>
      <c r="K45" s="528" t="str">
        <f>IF(A45="","",'ECM Circulator Pump'!F12)</f>
        <v/>
      </c>
      <c r="M45" s="519" t="str">
        <f t="shared" si="7"/>
        <v/>
      </c>
      <c r="N45" s="533" t="str">
        <f>IF(A45="","",IF('ECM Circulator Pump'!O12= "", "", 'ECM Circulator Pump'!O12))</f>
        <v/>
      </c>
      <c r="P45" s="533" t="str">
        <f>IF(A45="","",IF('ECM Circulator Pump'!I12= "", "", 'ECM Circulator Pump'!I12))</f>
        <v/>
      </c>
      <c r="Q45" s="515" t="str">
        <f>IF(A45="","",'ECM Circulator Pump'!U12)</f>
        <v/>
      </c>
      <c r="R45" s="517" t="str">
        <f>IF(A45="","",'ECM Circulator Pump'!T12)</f>
        <v/>
      </c>
      <c r="U45" s="500" t="str">
        <f>IF(A45="","",'Project Summary'!$C$14)</f>
        <v/>
      </c>
      <c r="Y45" s="515" t="str">
        <f>IF($A45="","",'ECM Circulator Pump'!V12)</f>
        <v/>
      </c>
      <c r="Z45" s="515" t="str">
        <f>IF($A45="","",'ECM Circulator Pump'!W12)</f>
        <v/>
      </c>
      <c r="AA45" s="512" t="str">
        <f>IF($A45="","",'Project Summary'!$C$9)</f>
        <v/>
      </c>
      <c r="AB45" s="519" t="str">
        <f t="shared" si="2"/>
        <v/>
      </c>
      <c r="AC45" s="536" t="str">
        <f>IF($A45="","",'ECM Circulator Pump'!P12)</f>
        <v/>
      </c>
      <c r="AD45" s="536" t="str">
        <f>IF($A45="","",'ECM Circulator Pump'!Q12)</f>
        <v/>
      </c>
    </row>
    <row r="46" spans="1:30" x14ac:dyDescent="0.2">
      <c r="A46" s="508" t="str">
        <f>IF(OR('ECM Circulator Pump'!T13=0,'ECM Circulator Pump'!T13=""),"","Prescriptive")</f>
        <v/>
      </c>
      <c r="B46" s="508" t="str">
        <f t="shared" si="6"/>
        <v/>
      </c>
      <c r="C46" s="500" t="str">
        <f>IF(A46="","",'ECM Circulator Pump'!G13)</f>
        <v/>
      </c>
      <c r="D46" s="519" t="str">
        <f t="shared" si="1"/>
        <v/>
      </c>
      <c r="F46" s="519" t="str">
        <f>IF(A46="","",'ECM Circulator Pump'!Y13)</f>
        <v/>
      </c>
      <c r="G46" s="500" t="str">
        <f>IF(A46="","",'ECM Circulator Pump'!D13)</f>
        <v/>
      </c>
      <c r="H46" s="500" t="str">
        <f>IF(A46="","",'ECM Circulator Pump'!E13)</f>
        <v/>
      </c>
      <c r="K46" s="528" t="str">
        <f>IF(A46="","",'ECM Circulator Pump'!F13)</f>
        <v/>
      </c>
      <c r="M46" s="519" t="str">
        <f t="shared" si="7"/>
        <v/>
      </c>
      <c r="N46" s="533" t="str">
        <f>IF(A46="","",IF('ECM Circulator Pump'!O13= "", "", 'ECM Circulator Pump'!O13))</f>
        <v/>
      </c>
      <c r="P46" s="533" t="str">
        <f>IF(A46="","",IF('ECM Circulator Pump'!I13= "", "", 'ECM Circulator Pump'!I13))</f>
        <v/>
      </c>
      <c r="Q46" s="515" t="str">
        <f>IF(A46="","",'ECM Circulator Pump'!U13)</f>
        <v/>
      </c>
      <c r="R46" s="517" t="str">
        <f>IF(A46="","",'ECM Circulator Pump'!T13)</f>
        <v/>
      </c>
      <c r="U46" s="500" t="str">
        <f>IF(A46="","",'Project Summary'!$C$14)</f>
        <v/>
      </c>
      <c r="Y46" s="515" t="str">
        <f>IF($A46="","",'ECM Circulator Pump'!V13)</f>
        <v/>
      </c>
      <c r="Z46" s="515" t="str">
        <f>IF($A46="","",'ECM Circulator Pump'!W13)</f>
        <v/>
      </c>
      <c r="AA46" s="512" t="str">
        <f>IF($A46="","",'Project Summary'!$C$9)</f>
        <v/>
      </c>
      <c r="AB46" s="519" t="str">
        <f t="shared" si="2"/>
        <v/>
      </c>
      <c r="AC46" s="536" t="str">
        <f>IF($A46="","",'ECM Circulator Pump'!P13)</f>
        <v/>
      </c>
      <c r="AD46" s="536" t="str">
        <f>IF($A46="","",'ECM Circulator Pump'!Q13)</f>
        <v/>
      </c>
    </row>
    <row r="47" spans="1:30" x14ac:dyDescent="0.2">
      <c r="A47" s="508" t="str">
        <f>IF(OR('ECM Circulator Pump'!T14=0,'ECM Circulator Pump'!T14=""),"","Prescriptive")</f>
        <v/>
      </c>
      <c r="B47" s="508" t="str">
        <f t="shared" si="6"/>
        <v/>
      </c>
      <c r="C47" s="500" t="str">
        <f>IF(A47="","",'ECM Circulator Pump'!G14)</f>
        <v/>
      </c>
      <c r="D47" s="519" t="str">
        <f t="shared" si="1"/>
        <v/>
      </c>
      <c r="F47" s="519" t="str">
        <f>IF(A47="","",'ECM Circulator Pump'!Y14)</f>
        <v/>
      </c>
      <c r="G47" s="500" t="str">
        <f>IF(A47="","",'ECM Circulator Pump'!D14)</f>
        <v/>
      </c>
      <c r="H47" s="500" t="str">
        <f>IF(A47="","",'ECM Circulator Pump'!E14)</f>
        <v/>
      </c>
      <c r="K47" s="528" t="str">
        <f>IF(A47="","",'ECM Circulator Pump'!F14)</f>
        <v/>
      </c>
      <c r="M47" s="519" t="str">
        <f t="shared" si="7"/>
        <v/>
      </c>
      <c r="N47" s="533" t="str">
        <f>IF(A47="","",IF('ECM Circulator Pump'!O14= "", "", 'ECM Circulator Pump'!O14))</f>
        <v/>
      </c>
      <c r="P47" s="533" t="str">
        <f>IF(A47="","",IF('ECM Circulator Pump'!I14= "", "", 'ECM Circulator Pump'!I14))</f>
        <v/>
      </c>
      <c r="Q47" s="515" t="str">
        <f>IF(A47="","",'ECM Circulator Pump'!U14)</f>
        <v/>
      </c>
      <c r="R47" s="517" t="str">
        <f>IF(A47="","",'ECM Circulator Pump'!T14)</f>
        <v/>
      </c>
      <c r="U47" s="500" t="str">
        <f>IF(A47="","",'Project Summary'!$C$14)</f>
        <v/>
      </c>
      <c r="Y47" s="515" t="str">
        <f>IF($A47="","",'ECM Circulator Pump'!V14)</f>
        <v/>
      </c>
      <c r="Z47" s="515" t="str">
        <f>IF($A47="","",'ECM Circulator Pump'!W14)</f>
        <v/>
      </c>
      <c r="AA47" s="512" t="str">
        <f>IF($A47="","",'Project Summary'!$C$9)</f>
        <v/>
      </c>
      <c r="AB47" s="519" t="str">
        <f t="shared" si="2"/>
        <v/>
      </c>
      <c r="AC47" s="536" t="str">
        <f>IF($A47="","",'ECM Circulator Pump'!P14)</f>
        <v/>
      </c>
      <c r="AD47" s="536" t="str">
        <f>IF($A47="","",'ECM Circulator Pump'!Q14)</f>
        <v/>
      </c>
    </row>
    <row r="48" spans="1:30" x14ac:dyDescent="0.2">
      <c r="A48" s="508" t="str">
        <f>IF(OR('ECM Circulator Pump'!T15=0,'ECM Circulator Pump'!T15=""),"","Prescriptive")</f>
        <v/>
      </c>
      <c r="B48" s="508" t="str">
        <f t="shared" si="6"/>
        <v/>
      </c>
      <c r="C48" s="500" t="str">
        <f>IF(A48="","",'ECM Circulator Pump'!G15)</f>
        <v/>
      </c>
      <c r="D48" s="519" t="str">
        <f t="shared" si="1"/>
        <v/>
      </c>
      <c r="F48" s="519" t="str">
        <f>IF(A48="","",'ECM Circulator Pump'!Y15)</f>
        <v/>
      </c>
      <c r="G48" s="500" t="str">
        <f>IF(A48="","",'ECM Circulator Pump'!D15)</f>
        <v/>
      </c>
      <c r="H48" s="500" t="str">
        <f>IF(A48="","",'ECM Circulator Pump'!E15)</f>
        <v/>
      </c>
      <c r="K48" s="528" t="str">
        <f>IF(A48="","",'ECM Circulator Pump'!F15)</f>
        <v/>
      </c>
      <c r="M48" s="519" t="str">
        <f t="shared" si="7"/>
        <v/>
      </c>
      <c r="N48" s="533" t="str">
        <f>IF(A48="","",IF('ECM Circulator Pump'!O15= "", "", 'ECM Circulator Pump'!O15))</f>
        <v/>
      </c>
      <c r="P48" s="533" t="str">
        <f>IF(A48="","",IF('ECM Circulator Pump'!I15= "", "", 'ECM Circulator Pump'!I15))</f>
        <v/>
      </c>
      <c r="Q48" s="515" t="str">
        <f>IF(A48="","",'ECM Circulator Pump'!U15)</f>
        <v/>
      </c>
      <c r="R48" s="517" t="str">
        <f>IF(A48="","",'ECM Circulator Pump'!T15)</f>
        <v/>
      </c>
      <c r="U48" s="500" t="str">
        <f>IF(A48="","",'Project Summary'!$C$14)</f>
        <v/>
      </c>
      <c r="Y48" s="515" t="str">
        <f>IF($A48="","",'ECM Circulator Pump'!V15)</f>
        <v/>
      </c>
      <c r="Z48" s="515" t="str">
        <f>IF($A48="","",'ECM Circulator Pump'!W15)</f>
        <v/>
      </c>
      <c r="AA48" s="512" t="str">
        <f>IF($A48="","",'Project Summary'!$C$9)</f>
        <v/>
      </c>
      <c r="AB48" s="519" t="str">
        <f t="shared" si="2"/>
        <v/>
      </c>
      <c r="AC48" s="536" t="str">
        <f>IF($A48="","",'ECM Circulator Pump'!P15)</f>
        <v/>
      </c>
      <c r="AD48" s="536" t="str">
        <f>IF($A48="","",'ECM Circulator Pump'!Q15)</f>
        <v/>
      </c>
    </row>
    <row r="49" spans="1:30" x14ac:dyDescent="0.2">
      <c r="A49" s="508" t="str">
        <f>IF(OR('ECM Circulator Pump'!T16=0,'ECM Circulator Pump'!T16=""),"","Prescriptive")</f>
        <v/>
      </c>
      <c r="B49" s="508" t="str">
        <f t="shared" si="6"/>
        <v/>
      </c>
      <c r="C49" s="500" t="str">
        <f>IF(A49="","",'ECM Circulator Pump'!G16)</f>
        <v/>
      </c>
      <c r="D49" s="519" t="str">
        <f t="shared" si="1"/>
        <v/>
      </c>
      <c r="F49" s="519" t="str">
        <f>IF(A49="","",'ECM Circulator Pump'!Y16)</f>
        <v/>
      </c>
      <c r="G49" s="500" t="str">
        <f>IF(A49="","",'ECM Circulator Pump'!D16)</f>
        <v/>
      </c>
      <c r="H49" s="500" t="str">
        <f>IF(A49="","",'ECM Circulator Pump'!E16)</f>
        <v/>
      </c>
      <c r="K49" s="528" t="str">
        <f>IF(A49="","",'ECM Circulator Pump'!F16)</f>
        <v/>
      </c>
      <c r="M49" s="519" t="str">
        <f t="shared" si="7"/>
        <v/>
      </c>
      <c r="N49" s="533" t="str">
        <f>IF(A49="","",IF('ECM Circulator Pump'!O16= "", "", 'ECM Circulator Pump'!O16))</f>
        <v/>
      </c>
      <c r="P49" s="533" t="str">
        <f>IF(A49="","",IF('ECM Circulator Pump'!I16= "", "", 'ECM Circulator Pump'!I16))</f>
        <v/>
      </c>
      <c r="Q49" s="515" t="str">
        <f>IF(A49="","",'ECM Circulator Pump'!U16)</f>
        <v/>
      </c>
      <c r="R49" s="517" t="str">
        <f>IF(A49="","",'ECM Circulator Pump'!T16)</f>
        <v/>
      </c>
      <c r="U49" s="500" t="str">
        <f>IF(A49="","",'Project Summary'!$C$14)</f>
        <v/>
      </c>
      <c r="Y49" s="515" t="str">
        <f>IF($A49="","",'ECM Circulator Pump'!V16)</f>
        <v/>
      </c>
      <c r="Z49" s="515" t="str">
        <f>IF($A49="","",'ECM Circulator Pump'!W16)</f>
        <v/>
      </c>
      <c r="AA49" s="512" t="str">
        <f>IF($A49="","",'Project Summary'!$C$9)</f>
        <v/>
      </c>
      <c r="AB49" s="519" t="str">
        <f t="shared" si="2"/>
        <v/>
      </c>
      <c r="AC49" s="536" t="str">
        <f>IF($A49="","",'ECM Circulator Pump'!P16)</f>
        <v/>
      </c>
      <c r="AD49" s="536" t="str">
        <f>IF($A49="","",'ECM Circulator Pump'!Q16)</f>
        <v/>
      </c>
    </row>
    <row r="50" spans="1:30" x14ac:dyDescent="0.2">
      <c r="A50" s="508" t="str">
        <f>IF(OR('ECM Circulator Pump'!T17=0,'ECM Circulator Pump'!T17=""),"","Prescriptive")</f>
        <v/>
      </c>
      <c r="B50" s="508" t="str">
        <f t="shared" si="6"/>
        <v/>
      </c>
      <c r="C50" s="500" t="str">
        <f>IF(A50="","",'ECM Circulator Pump'!G17)</f>
        <v/>
      </c>
      <c r="D50" s="519" t="str">
        <f t="shared" si="1"/>
        <v/>
      </c>
      <c r="F50" s="519" t="str">
        <f>IF(A50="","",'ECM Circulator Pump'!Y17)</f>
        <v/>
      </c>
      <c r="G50" s="500" t="str">
        <f>IF(A50="","",'ECM Circulator Pump'!D17)</f>
        <v/>
      </c>
      <c r="H50" s="500" t="str">
        <f>IF(A50="","",'ECM Circulator Pump'!E17)</f>
        <v/>
      </c>
      <c r="K50" s="528" t="str">
        <f>IF(A50="","",'ECM Circulator Pump'!F17)</f>
        <v/>
      </c>
      <c r="M50" s="519" t="str">
        <f t="shared" si="7"/>
        <v/>
      </c>
      <c r="N50" s="533" t="str">
        <f>IF(A50="","",IF('ECM Circulator Pump'!O17= "", "", 'ECM Circulator Pump'!O17))</f>
        <v/>
      </c>
      <c r="P50" s="533" t="str">
        <f>IF(A50="","",IF('ECM Circulator Pump'!I17= "", "", 'ECM Circulator Pump'!I17))</f>
        <v/>
      </c>
      <c r="Q50" s="515" t="str">
        <f>IF(A50="","",'ECM Circulator Pump'!U17)</f>
        <v/>
      </c>
      <c r="R50" s="517" t="str">
        <f>IF(A50="","",'ECM Circulator Pump'!T17)</f>
        <v/>
      </c>
      <c r="U50" s="500" t="str">
        <f>IF(A50="","",'Project Summary'!$C$14)</f>
        <v/>
      </c>
      <c r="Y50" s="515" t="str">
        <f>IF($A50="","",'ECM Circulator Pump'!V17)</f>
        <v/>
      </c>
      <c r="Z50" s="515" t="str">
        <f>IF($A50="","",'ECM Circulator Pump'!W17)</f>
        <v/>
      </c>
      <c r="AA50" s="512" t="str">
        <f>IF($A50="","",'Project Summary'!$C$9)</f>
        <v/>
      </c>
      <c r="AB50" s="519" t="str">
        <f t="shared" si="2"/>
        <v/>
      </c>
      <c r="AC50" s="536" t="str">
        <f>IF($A50="","",'ECM Circulator Pump'!P17)</f>
        <v/>
      </c>
      <c r="AD50" s="536" t="str">
        <f>IF($A50="","",'ECM Circulator Pump'!Q17)</f>
        <v/>
      </c>
    </row>
    <row r="51" spans="1:30" x14ac:dyDescent="0.2">
      <c r="A51" s="508" t="str">
        <f>IF(OR('ECM Circulator Pump'!T18=0,'ECM Circulator Pump'!T18=""),"","Prescriptive")</f>
        <v/>
      </c>
      <c r="B51" s="508" t="str">
        <f t="shared" si="6"/>
        <v/>
      </c>
      <c r="C51" s="500" t="str">
        <f>IF(A51="","",'ECM Circulator Pump'!G18)</f>
        <v/>
      </c>
      <c r="D51" s="519" t="str">
        <f t="shared" si="1"/>
        <v/>
      </c>
      <c r="F51" s="519" t="str">
        <f>IF(A51="","",'ECM Circulator Pump'!Y18)</f>
        <v/>
      </c>
      <c r="G51" s="500" t="str">
        <f>IF(A51="","",'ECM Circulator Pump'!D18)</f>
        <v/>
      </c>
      <c r="H51" s="500" t="str">
        <f>IF(A51="","",'ECM Circulator Pump'!E18)</f>
        <v/>
      </c>
      <c r="K51" s="528" t="str">
        <f>IF(A51="","",'ECM Circulator Pump'!F18)</f>
        <v/>
      </c>
      <c r="M51" s="519" t="str">
        <f t="shared" si="7"/>
        <v/>
      </c>
      <c r="N51" s="533" t="str">
        <f>IF(A51="","",IF('ECM Circulator Pump'!O18= "", "", 'ECM Circulator Pump'!O18))</f>
        <v/>
      </c>
      <c r="P51" s="533" t="str">
        <f>IF(A51="","",IF('ECM Circulator Pump'!I18= "", "", 'ECM Circulator Pump'!I18))</f>
        <v/>
      </c>
      <c r="Q51" s="515" t="str">
        <f>IF(A51="","",'ECM Circulator Pump'!U18)</f>
        <v/>
      </c>
      <c r="R51" s="517" t="str">
        <f>IF(A51="","",'ECM Circulator Pump'!T18)</f>
        <v/>
      </c>
      <c r="U51" s="500" t="str">
        <f>IF(A51="","",'Project Summary'!$C$14)</f>
        <v/>
      </c>
      <c r="Y51" s="515" t="str">
        <f>IF($A51="","",'ECM Circulator Pump'!V18)</f>
        <v/>
      </c>
      <c r="Z51" s="515" t="str">
        <f>IF($A51="","",'ECM Circulator Pump'!W18)</f>
        <v/>
      </c>
      <c r="AA51" s="512" t="str">
        <f>IF($A51="","",'Project Summary'!$C$9)</f>
        <v/>
      </c>
      <c r="AB51" s="519" t="str">
        <f t="shared" si="2"/>
        <v/>
      </c>
      <c r="AC51" s="536" t="str">
        <f>IF($A51="","",'ECM Circulator Pump'!P18)</f>
        <v/>
      </c>
      <c r="AD51" s="536" t="str">
        <f>IF($A51="","",'ECM Circulator Pump'!Q18)</f>
        <v/>
      </c>
    </row>
    <row r="52" spans="1:30" s="163" customFormat="1" ht="15" thickBot="1" x14ac:dyDescent="0.25">
      <c r="A52" s="510" t="str">
        <f>IF(OR('ECM Circulator Pump'!T19=0,'ECM Circulator Pump'!T19=""),"","Prescriptive")</f>
        <v/>
      </c>
      <c r="B52" s="510" t="str">
        <f t="shared" si="6"/>
        <v/>
      </c>
      <c r="C52" s="501" t="str">
        <f>IF(A52="","",'ECM Circulator Pump'!G19)</f>
        <v/>
      </c>
      <c r="D52" s="520" t="str">
        <f t="shared" si="1"/>
        <v/>
      </c>
      <c r="F52" s="520" t="str">
        <f>IF(A52="","",'ECM Circulator Pump'!Y19)</f>
        <v/>
      </c>
      <c r="G52" s="501" t="str">
        <f>IF(A52="","",'ECM Circulator Pump'!D19)</f>
        <v/>
      </c>
      <c r="H52" s="501" t="str">
        <f>IF(A52="","",'ECM Circulator Pump'!E19)</f>
        <v/>
      </c>
      <c r="K52" s="529" t="str">
        <f>IF(A52="","",'ECM Circulator Pump'!F19)</f>
        <v/>
      </c>
      <c r="M52" s="520" t="str">
        <f t="shared" si="7"/>
        <v/>
      </c>
      <c r="N52" s="533" t="str">
        <f>IF(A52="","",IF('ECM Circulator Pump'!O19= "", "", 'ECM Circulator Pump'!O19))</f>
        <v/>
      </c>
      <c r="P52" s="534" t="str">
        <f>IF(A52="","",IF('ECM Circulator Pump'!I19= "", "", 'ECM Circulator Pump'!I19))</f>
        <v/>
      </c>
      <c r="Q52" s="516" t="str">
        <f>IF(A52="","",'ECM Circulator Pump'!U19)</f>
        <v/>
      </c>
      <c r="R52" s="518" t="str">
        <f>IF(A52="","",'ECM Circulator Pump'!T19)</f>
        <v/>
      </c>
      <c r="U52" s="501" t="str">
        <f>IF(A52="","",'Project Summary'!$C$14)</f>
        <v/>
      </c>
      <c r="Y52" s="516" t="str">
        <f>IF($A52="","",'ECM Circulator Pump'!V19)</f>
        <v/>
      </c>
      <c r="Z52" s="516" t="str">
        <f>IF($A52="","",'ECM Circulator Pump'!W19)</f>
        <v/>
      </c>
      <c r="AA52" s="513" t="str">
        <f>IF($A52="","",'Project Summary'!$C$9)</f>
        <v/>
      </c>
      <c r="AB52" s="520" t="str">
        <f t="shared" si="2"/>
        <v/>
      </c>
      <c r="AC52" s="536" t="str">
        <f>IF($A52="","",'ECM Circulator Pump'!P19)</f>
        <v/>
      </c>
      <c r="AD52" s="536" t="str">
        <f>IF($A52="","",'ECM Circulator Pump'!Q19)</f>
        <v/>
      </c>
    </row>
    <row r="53" spans="1:30" s="164" customFormat="1" x14ac:dyDescent="0.2">
      <c r="A53" s="509" t="str">
        <f>IF(OR('High Efficiency Pumps'!T10=0,'High Efficiency Pumps'!T10=""),"","Prescriptive")</f>
        <v/>
      </c>
      <c r="B53" s="509" t="str">
        <f>IF(A53="","","HighEffPump")</f>
        <v/>
      </c>
      <c r="C53" s="514" t="str">
        <f>IF(A53="","",'High Efficiency Pumps'!I10)</f>
        <v/>
      </c>
      <c r="D53" s="521" t="str">
        <f t="shared" si="1"/>
        <v/>
      </c>
      <c r="F53" s="521" t="str">
        <f>IF(A53="","",'High Efficiency Pumps'!Y10)</f>
        <v/>
      </c>
      <c r="G53" s="514" t="str">
        <f>IF(A53="","",'High Efficiency Pumps'!D10)</f>
        <v/>
      </c>
      <c r="H53" s="514" t="str">
        <f>IF(A53="","",'High Efficiency Pumps'!E10)</f>
        <v/>
      </c>
      <c r="K53" s="527" t="str">
        <f>IF(A53="","",'High Efficiency Pumps'!K10)</f>
        <v/>
      </c>
      <c r="M53" s="521" t="str">
        <f>IF(A53="","",'High Efficiency Pumps'!L10)</f>
        <v/>
      </c>
      <c r="N53" s="532" t="str">
        <f>IF(A53="","",'High Efficiency Pumps'!M10)</f>
        <v/>
      </c>
      <c r="P53" s="533" t="str">
        <f>IF(A53="","",'High Efficiency Pumps'!G10)</f>
        <v/>
      </c>
      <c r="Q53" s="515" t="str">
        <f>IF(A53="","",'High Efficiency Pumps'!U10)</f>
        <v/>
      </c>
      <c r="R53" s="530" t="str">
        <f>IF(A53="","",'High Efficiency Pumps'!T10)</f>
        <v/>
      </c>
      <c r="U53" s="514" t="str">
        <f>IF(A53="","",'Project Summary'!$C$14)</f>
        <v/>
      </c>
      <c r="Y53" s="515" t="str">
        <f>IF($A53="","",'High Efficiency Pumps'!V10)</f>
        <v/>
      </c>
      <c r="Z53" s="515" t="str">
        <f>IF($A53="","",'High Efficiency Pumps'!W10)</f>
        <v/>
      </c>
      <c r="AA53" s="512" t="str">
        <f>IF($A53="","",'Project Summary'!$C$9)</f>
        <v/>
      </c>
      <c r="AB53" s="519" t="str">
        <f t="shared" si="2"/>
        <v/>
      </c>
      <c r="AC53" s="535" t="str">
        <f>IF($A53="","",'High Efficiency Pumps'!N10)</f>
        <v/>
      </c>
      <c r="AD53" s="535" t="str">
        <f>IF($A53="","",'High Efficiency Pumps'!O10)</f>
        <v/>
      </c>
    </row>
    <row r="54" spans="1:30" x14ac:dyDescent="0.2">
      <c r="A54" s="508" t="str">
        <f>IF(OR('High Efficiency Pumps'!T11=0,'High Efficiency Pumps'!T11=""),"","Prescriptive")</f>
        <v/>
      </c>
      <c r="B54" s="508" t="str">
        <f t="shared" ref="B54:B62" si="8">IF(A54="","","HighEffPump")</f>
        <v/>
      </c>
      <c r="C54" s="500" t="str">
        <f>IF(A54="","",'High Efficiency Pumps'!I11)</f>
        <v/>
      </c>
      <c r="D54" s="519" t="str">
        <f t="shared" si="1"/>
        <v/>
      </c>
      <c r="F54" s="519" t="str">
        <f>IF(A54="","",'High Efficiency Pumps'!Y11)</f>
        <v/>
      </c>
      <c r="G54" s="500" t="str">
        <f>IF(A54="","",'High Efficiency Pumps'!D11)</f>
        <v/>
      </c>
      <c r="H54" s="500" t="str">
        <f>IF(A54="","",'High Efficiency Pumps'!E11)</f>
        <v/>
      </c>
      <c r="K54" s="528" t="str">
        <f>IF(A54="","",'High Efficiency Pumps'!K11)</f>
        <v/>
      </c>
      <c r="M54" s="519" t="str">
        <f>IF(A54="","",'High Efficiency Pumps'!L11)</f>
        <v/>
      </c>
      <c r="N54" s="533" t="str">
        <f>IF(A54="","",'High Efficiency Pumps'!M11)</f>
        <v/>
      </c>
      <c r="P54" s="533" t="str">
        <f>IF(A54="","",'High Efficiency Pumps'!G11)</f>
        <v/>
      </c>
      <c r="Q54" s="515" t="str">
        <f>IF(A54="","",'High Efficiency Pumps'!U11)</f>
        <v/>
      </c>
      <c r="R54" s="517" t="str">
        <f>IF(A54="","",'High Efficiency Pumps'!T11)</f>
        <v/>
      </c>
      <c r="U54" s="500" t="str">
        <f>IF(A54="","",'Project Summary'!$C$14)</f>
        <v/>
      </c>
      <c r="Y54" s="515" t="str">
        <f>IF($A54="","",'High Efficiency Pumps'!V11)</f>
        <v/>
      </c>
      <c r="Z54" s="515" t="str">
        <f>IF($A54="","",'High Efficiency Pumps'!W11)</f>
        <v/>
      </c>
      <c r="AA54" s="512" t="str">
        <f>IF($A54="","",'Project Summary'!$C$9)</f>
        <v/>
      </c>
      <c r="AB54" s="519" t="str">
        <f t="shared" si="2"/>
        <v/>
      </c>
      <c r="AC54" s="536" t="str">
        <f>IF($A54="","",'High Efficiency Pumps'!N11)</f>
        <v/>
      </c>
      <c r="AD54" s="536" t="str">
        <f>IF($A54="","",'High Efficiency Pumps'!O11)</f>
        <v/>
      </c>
    </row>
    <row r="55" spans="1:30" x14ac:dyDescent="0.2">
      <c r="A55" s="508" t="str">
        <f>IF(OR('High Efficiency Pumps'!T12=0,'High Efficiency Pumps'!T12=""),"","Prescriptive")</f>
        <v/>
      </c>
      <c r="B55" s="508" t="str">
        <f t="shared" si="8"/>
        <v/>
      </c>
      <c r="C55" s="500" t="str">
        <f>IF(A55="","",'High Efficiency Pumps'!I12)</f>
        <v/>
      </c>
      <c r="D55" s="519" t="str">
        <f t="shared" si="1"/>
        <v/>
      </c>
      <c r="F55" s="519" t="str">
        <f>IF(A55="","",'High Efficiency Pumps'!Y12)</f>
        <v/>
      </c>
      <c r="G55" s="500" t="str">
        <f>IF(A55="","",'High Efficiency Pumps'!D12)</f>
        <v/>
      </c>
      <c r="H55" s="500" t="str">
        <f>IF(A55="","",'High Efficiency Pumps'!E12)</f>
        <v/>
      </c>
      <c r="K55" s="528" t="str">
        <f>IF(A55="","",'High Efficiency Pumps'!K12)</f>
        <v/>
      </c>
      <c r="M55" s="519" t="str">
        <f>IF(A55="","",'High Efficiency Pumps'!L12)</f>
        <v/>
      </c>
      <c r="N55" s="533" t="str">
        <f>IF(A55="","",'High Efficiency Pumps'!M12)</f>
        <v/>
      </c>
      <c r="P55" s="533" t="str">
        <f>IF(A55="","",'High Efficiency Pumps'!G12)</f>
        <v/>
      </c>
      <c r="Q55" s="515" t="str">
        <f>IF(A55="","",'High Efficiency Pumps'!U12)</f>
        <v/>
      </c>
      <c r="R55" s="517" t="str">
        <f>IF(A55="","",'High Efficiency Pumps'!T12)</f>
        <v/>
      </c>
      <c r="U55" s="500" t="str">
        <f>IF(A55="","",'Project Summary'!$C$14)</f>
        <v/>
      </c>
      <c r="Y55" s="515" t="str">
        <f>IF($A55="","",'High Efficiency Pumps'!V12)</f>
        <v/>
      </c>
      <c r="Z55" s="515" t="str">
        <f>IF($A55="","",'High Efficiency Pumps'!W12)</f>
        <v/>
      </c>
      <c r="AA55" s="512" t="str">
        <f>IF($A55="","",'Project Summary'!$C$9)</f>
        <v/>
      </c>
      <c r="AB55" s="519" t="str">
        <f t="shared" si="2"/>
        <v/>
      </c>
      <c r="AC55" s="536" t="str">
        <f>IF($A55="","",'High Efficiency Pumps'!N12)</f>
        <v/>
      </c>
      <c r="AD55" s="536" t="str">
        <f>IF($A55="","",'High Efficiency Pumps'!O12)</f>
        <v/>
      </c>
    </row>
    <row r="56" spans="1:30" x14ac:dyDescent="0.2">
      <c r="A56" s="508" t="str">
        <f>IF(OR('High Efficiency Pumps'!T13=0,'High Efficiency Pumps'!T13=""),"","Prescriptive")</f>
        <v/>
      </c>
      <c r="B56" s="508" t="str">
        <f t="shared" si="8"/>
        <v/>
      </c>
      <c r="C56" s="500" t="str">
        <f>IF(A56="","",'High Efficiency Pumps'!I13)</f>
        <v/>
      </c>
      <c r="D56" s="519" t="str">
        <f t="shared" si="1"/>
        <v/>
      </c>
      <c r="F56" s="519" t="str">
        <f>IF(A56="","",'High Efficiency Pumps'!Y13)</f>
        <v/>
      </c>
      <c r="G56" s="500" t="str">
        <f>IF(A56="","",'High Efficiency Pumps'!D13)</f>
        <v/>
      </c>
      <c r="H56" s="500" t="str">
        <f>IF(A56="","",'High Efficiency Pumps'!E13)</f>
        <v/>
      </c>
      <c r="K56" s="528" t="str">
        <f>IF(A56="","",'High Efficiency Pumps'!K13)</f>
        <v/>
      </c>
      <c r="M56" s="519" t="str">
        <f>IF(A56="","",'High Efficiency Pumps'!L13)</f>
        <v/>
      </c>
      <c r="N56" s="533" t="str">
        <f>IF(A56="","",'High Efficiency Pumps'!M13)</f>
        <v/>
      </c>
      <c r="P56" s="533" t="str">
        <f>IF(A56="","",'High Efficiency Pumps'!G13)</f>
        <v/>
      </c>
      <c r="Q56" s="515" t="str">
        <f>IF(A56="","",'High Efficiency Pumps'!U13)</f>
        <v/>
      </c>
      <c r="R56" s="517" t="str">
        <f>IF(A56="","",'High Efficiency Pumps'!T13)</f>
        <v/>
      </c>
      <c r="U56" s="500" t="str">
        <f>IF(A56="","",'Project Summary'!$C$14)</f>
        <v/>
      </c>
      <c r="Y56" s="515" t="str">
        <f>IF($A56="","",'High Efficiency Pumps'!V13)</f>
        <v/>
      </c>
      <c r="Z56" s="515" t="str">
        <f>IF($A56="","",'High Efficiency Pumps'!W13)</f>
        <v/>
      </c>
      <c r="AA56" s="512" t="str">
        <f>IF($A56="","",'Project Summary'!$C$9)</f>
        <v/>
      </c>
      <c r="AB56" s="519" t="str">
        <f t="shared" si="2"/>
        <v/>
      </c>
      <c r="AC56" s="536" t="str">
        <f>IF($A56="","",'High Efficiency Pumps'!N13)</f>
        <v/>
      </c>
      <c r="AD56" s="536" t="str">
        <f>IF($A56="","",'High Efficiency Pumps'!O13)</f>
        <v/>
      </c>
    </row>
    <row r="57" spans="1:30" x14ac:dyDescent="0.2">
      <c r="A57" s="508" t="str">
        <f>IF(OR('High Efficiency Pumps'!T14=0,'High Efficiency Pumps'!T14=""),"","Prescriptive")</f>
        <v/>
      </c>
      <c r="B57" s="508" t="str">
        <f t="shared" si="8"/>
        <v/>
      </c>
      <c r="C57" s="500" t="str">
        <f>IF(A57="","",'High Efficiency Pumps'!I14)</f>
        <v/>
      </c>
      <c r="D57" s="519" t="str">
        <f t="shared" si="1"/>
        <v/>
      </c>
      <c r="F57" s="519" t="str">
        <f>IF(A57="","",'High Efficiency Pumps'!Y14)</f>
        <v/>
      </c>
      <c r="G57" s="500" t="str">
        <f>IF(A57="","",'High Efficiency Pumps'!D14)</f>
        <v/>
      </c>
      <c r="H57" s="500" t="str">
        <f>IF(A57="","",'High Efficiency Pumps'!E14)</f>
        <v/>
      </c>
      <c r="K57" s="528" t="str">
        <f>IF(A57="","",'High Efficiency Pumps'!K14)</f>
        <v/>
      </c>
      <c r="M57" s="519" t="str">
        <f>IF(A57="","",'High Efficiency Pumps'!L14)</f>
        <v/>
      </c>
      <c r="N57" s="533" t="str">
        <f>IF(A57="","",'High Efficiency Pumps'!M14)</f>
        <v/>
      </c>
      <c r="P57" s="533" t="str">
        <f>IF(A57="","",'High Efficiency Pumps'!G14)</f>
        <v/>
      </c>
      <c r="Q57" s="515" t="str">
        <f>IF(A57="","",'High Efficiency Pumps'!U14)</f>
        <v/>
      </c>
      <c r="R57" s="517" t="str">
        <f>IF(A57="","",'High Efficiency Pumps'!T14)</f>
        <v/>
      </c>
      <c r="U57" s="500" t="str">
        <f>IF(A57="","",'Project Summary'!$C$14)</f>
        <v/>
      </c>
      <c r="Y57" s="515" t="str">
        <f>IF($A57="","",'High Efficiency Pumps'!V14)</f>
        <v/>
      </c>
      <c r="Z57" s="515" t="str">
        <f>IF($A57="","",'High Efficiency Pumps'!W14)</f>
        <v/>
      </c>
      <c r="AA57" s="512" t="str">
        <f>IF($A57="","",'Project Summary'!$C$9)</f>
        <v/>
      </c>
      <c r="AB57" s="519" t="str">
        <f t="shared" si="2"/>
        <v/>
      </c>
      <c r="AC57" s="536" t="str">
        <f>IF($A57="","",'High Efficiency Pumps'!N14)</f>
        <v/>
      </c>
      <c r="AD57" s="536" t="str">
        <f>IF($A57="","",'High Efficiency Pumps'!O14)</f>
        <v/>
      </c>
    </row>
    <row r="58" spans="1:30" x14ac:dyDescent="0.2">
      <c r="A58" s="508" t="str">
        <f>IF(OR('High Efficiency Pumps'!T15=0,'High Efficiency Pumps'!T15=""),"","Prescriptive")</f>
        <v/>
      </c>
      <c r="B58" s="508" t="str">
        <f t="shared" si="8"/>
        <v/>
      </c>
      <c r="C58" s="500" t="str">
        <f>IF(A58="","",'High Efficiency Pumps'!I15)</f>
        <v/>
      </c>
      <c r="D58" s="519" t="str">
        <f t="shared" si="1"/>
        <v/>
      </c>
      <c r="F58" s="519" t="str">
        <f>IF(A58="","",'High Efficiency Pumps'!Y15)</f>
        <v/>
      </c>
      <c r="G58" s="500" t="str">
        <f>IF(A58="","",'High Efficiency Pumps'!D15)</f>
        <v/>
      </c>
      <c r="H58" s="500" t="str">
        <f>IF(A58="","",'High Efficiency Pumps'!E15)</f>
        <v/>
      </c>
      <c r="K58" s="528" t="str">
        <f>IF(A58="","",'High Efficiency Pumps'!K15)</f>
        <v/>
      </c>
      <c r="M58" s="519" t="str">
        <f>IF(A58="","",'High Efficiency Pumps'!L15)</f>
        <v/>
      </c>
      <c r="N58" s="533" t="str">
        <f>IF(A58="","",'High Efficiency Pumps'!M15)</f>
        <v/>
      </c>
      <c r="P58" s="533" t="str">
        <f>IF(A58="","",'High Efficiency Pumps'!G15)</f>
        <v/>
      </c>
      <c r="Q58" s="515" t="str">
        <f>IF(A58="","",'High Efficiency Pumps'!U15)</f>
        <v/>
      </c>
      <c r="R58" s="517" t="str">
        <f>IF(A58="","",'High Efficiency Pumps'!T15)</f>
        <v/>
      </c>
      <c r="U58" s="500" t="str">
        <f>IF(A58="","",'Project Summary'!$C$14)</f>
        <v/>
      </c>
      <c r="Y58" s="515" t="str">
        <f>IF($A58="","",'High Efficiency Pumps'!V15)</f>
        <v/>
      </c>
      <c r="Z58" s="515" t="str">
        <f>IF($A58="","",'High Efficiency Pumps'!W15)</f>
        <v/>
      </c>
      <c r="AA58" s="512" t="str">
        <f>IF($A58="","",'Project Summary'!$C$9)</f>
        <v/>
      </c>
      <c r="AB58" s="519" t="str">
        <f t="shared" si="2"/>
        <v/>
      </c>
      <c r="AC58" s="536" t="str">
        <f>IF($A58="","",'High Efficiency Pumps'!N15)</f>
        <v/>
      </c>
      <c r="AD58" s="536" t="str">
        <f>IF($A58="","",'High Efficiency Pumps'!O15)</f>
        <v/>
      </c>
    </row>
    <row r="59" spans="1:30" x14ac:dyDescent="0.2">
      <c r="A59" s="508" t="str">
        <f>IF(OR('High Efficiency Pumps'!T16=0,'High Efficiency Pumps'!T16=""),"","Prescriptive")</f>
        <v/>
      </c>
      <c r="B59" s="508" t="str">
        <f t="shared" si="8"/>
        <v/>
      </c>
      <c r="C59" s="500" t="str">
        <f>IF(A59="","",'High Efficiency Pumps'!I16)</f>
        <v/>
      </c>
      <c r="D59" s="519" t="str">
        <f t="shared" si="1"/>
        <v/>
      </c>
      <c r="F59" s="519" t="str">
        <f>IF(A59="","",'High Efficiency Pumps'!Y16)</f>
        <v/>
      </c>
      <c r="G59" s="500" t="str">
        <f>IF(A59="","",'High Efficiency Pumps'!D16)</f>
        <v/>
      </c>
      <c r="H59" s="500" t="str">
        <f>IF(A59="","",'High Efficiency Pumps'!E16)</f>
        <v/>
      </c>
      <c r="K59" s="528" t="str">
        <f>IF(A59="","",'High Efficiency Pumps'!K16)</f>
        <v/>
      </c>
      <c r="M59" s="519" t="str">
        <f>IF(A59="","",'High Efficiency Pumps'!L16)</f>
        <v/>
      </c>
      <c r="N59" s="533" t="str">
        <f>IF(A59="","",'High Efficiency Pumps'!M16)</f>
        <v/>
      </c>
      <c r="P59" s="533" t="str">
        <f>IF(A59="","",'High Efficiency Pumps'!G16)</f>
        <v/>
      </c>
      <c r="Q59" s="515" t="str">
        <f>IF(A59="","",'High Efficiency Pumps'!U16)</f>
        <v/>
      </c>
      <c r="R59" s="517" t="str">
        <f>IF(A59="","",'High Efficiency Pumps'!T16)</f>
        <v/>
      </c>
      <c r="U59" s="500" t="str">
        <f>IF(A59="","",'Project Summary'!$C$14)</f>
        <v/>
      </c>
      <c r="Y59" s="515" t="str">
        <f>IF($A59="","",'High Efficiency Pumps'!V16)</f>
        <v/>
      </c>
      <c r="Z59" s="515" t="str">
        <f>IF($A59="","",'High Efficiency Pumps'!W16)</f>
        <v/>
      </c>
      <c r="AA59" s="512" t="str">
        <f>IF($A59="","",'Project Summary'!$C$9)</f>
        <v/>
      </c>
      <c r="AB59" s="519" t="str">
        <f t="shared" si="2"/>
        <v/>
      </c>
      <c r="AC59" s="536" t="str">
        <f>IF($A59="","",'High Efficiency Pumps'!N16)</f>
        <v/>
      </c>
      <c r="AD59" s="536" t="str">
        <f>IF($A59="","",'High Efficiency Pumps'!O16)</f>
        <v/>
      </c>
    </row>
    <row r="60" spans="1:30" x14ac:dyDescent="0.2">
      <c r="A60" s="508" t="str">
        <f>IF(OR('High Efficiency Pumps'!T17=0,'High Efficiency Pumps'!T17=""),"","Prescriptive")</f>
        <v/>
      </c>
      <c r="B60" s="508" t="str">
        <f t="shared" si="8"/>
        <v/>
      </c>
      <c r="C60" s="500" t="str">
        <f>IF(A60="","",'High Efficiency Pumps'!I17)</f>
        <v/>
      </c>
      <c r="D60" s="519" t="str">
        <f t="shared" si="1"/>
        <v/>
      </c>
      <c r="F60" s="519" t="str">
        <f>IF(A60="","",'High Efficiency Pumps'!Y17)</f>
        <v/>
      </c>
      <c r="G60" s="500" t="str">
        <f>IF(A60="","",'High Efficiency Pumps'!D17)</f>
        <v/>
      </c>
      <c r="H60" s="500" t="str">
        <f>IF(A60="","",'High Efficiency Pumps'!E17)</f>
        <v/>
      </c>
      <c r="K60" s="528" t="str">
        <f>IF(A60="","",'High Efficiency Pumps'!K17)</f>
        <v/>
      </c>
      <c r="M60" s="519" t="str">
        <f>IF(A60="","",'High Efficiency Pumps'!L17)</f>
        <v/>
      </c>
      <c r="N60" s="533" t="str">
        <f>IF(A60="","",'High Efficiency Pumps'!M17)</f>
        <v/>
      </c>
      <c r="P60" s="533" t="str">
        <f>IF(A60="","",'High Efficiency Pumps'!G17)</f>
        <v/>
      </c>
      <c r="Q60" s="515" t="str">
        <f>IF(A60="","",'High Efficiency Pumps'!U17)</f>
        <v/>
      </c>
      <c r="R60" s="517" t="str">
        <f>IF(A60="","",'High Efficiency Pumps'!T17)</f>
        <v/>
      </c>
      <c r="U60" s="500" t="str">
        <f>IF(A60="","",'Project Summary'!$C$14)</f>
        <v/>
      </c>
      <c r="Y60" s="515" t="str">
        <f>IF($A60="","",'High Efficiency Pumps'!V17)</f>
        <v/>
      </c>
      <c r="Z60" s="515" t="str">
        <f>IF($A60="","",'High Efficiency Pumps'!W17)</f>
        <v/>
      </c>
      <c r="AA60" s="512" t="str">
        <f>IF($A60="","",'Project Summary'!$C$9)</f>
        <v/>
      </c>
      <c r="AB60" s="519" t="str">
        <f t="shared" si="2"/>
        <v/>
      </c>
      <c r="AC60" s="536" t="str">
        <f>IF($A60="","",'High Efficiency Pumps'!N17)</f>
        <v/>
      </c>
      <c r="AD60" s="536" t="str">
        <f>IF($A60="","",'High Efficiency Pumps'!O17)</f>
        <v/>
      </c>
    </row>
    <row r="61" spans="1:30" x14ac:dyDescent="0.2">
      <c r="A61" s="508" t="str">
        <f>IF(OR('High Efficiency Pumps'!T18=0,'High Efficiency Pumps'!T18=""),"","Prescriptive")</f>
        <v/>
      </c>
      <c r="B61" s="508" t="str">
        <f t="shared" si="8"/>
        <v/>
      </c>
      <c r="C61" s="500" t="str">
        <f>IF(A61="","",'High Efficiency Pumps'!I18)</f>
        <v/>
      </c>
      <c r="D61" s="519" t="str">
        <f t="shared" si="1"/>
        <v/>
      </c>
      <c r="F61" s="519" t="str">
        <f>IF(A61="","",'High Efficiency Pumps'!Y18)</f>
        <v/>
      </c>
      <c r="G61" s="500" t="str">
        <f>IF(A61="","",'High Efficiency Pumps'!D18)</f>
        <v/>
      </c>
      <c r="H61" s="500" t="str">
        <f>IF(A61="","",'High Efficiency Pumps'!E18)</f>
        <v/>
      </c>
      <c r="K61" s="528" t="str">
        <f>IF(A61="","",'High Efficiency Pumps'!K18)</f>
        <v/>
      </c>
      <c r="M61" s="519" t="str">
        <f>IF(A61="","",'High Efficiency Pumps'!L18)</f>
        <v/>
      </c>
      <c r="N61" s="533" t="str">
        <f>IF(A61="","",'High Efficiency Pumps'!M18)</f>
        <v/>
      </c>
      <c r="P61" s="533" t="str">
        <f>IF(A61="","",'High Efficiency Pumps'!G18)</f>
        <v/>
      </c>
      <c r="Q61" s="515" t="str">
        <f>IF(A61="","",'High Efficiency Pumps'!U18)</f>
        <v/>
      </c>
      <c r="R61" s="517" t="str">
        <f>IF(A61="","",'High Efficiency Pumps'!T18)</f>
        <v/>
      </c>
      <c r="U61" s="500" t="str">
        <f>IF(A61="","",'Project Summary'!$C$14)</f>
        <v/>
      </c>
      <c r="Y61" s="515" t="str">
        <f>IF($A61="","",'High Efficiency Pumps'!V18)</f>
        <v/>
      </c>
      <c r="Z61" s="515" t="str">
        <f>IF($A61="","",'High Efficiency Pumps'!W18)</f>
        <v/>
      </c>
      <c r="AA61" s="512" t="str">
        <f>IF($A61="","",'Project Summary'!$C$9)</f>
        <v/>
      </c>
      <c r="AB61" s="519" t="str">
        <f t="shared" si="2"/>
        <v/>
      </c>
      <c r="AC61" s="536" t="str">
        <f>IF($A61="","",'High Efficiency Pumps'!N18)</f>
        <v/>
      </c>
      <c r="AD61" s="536" t="str">
        <f>IF($A61="","",'High Efficiency Pumps'!O18)</f>
        <v/>
      </c>
    </row>
    <row r="62" spans="1:30" s="163" customFormat="1" ht="15" thickBot="1" x14ac:dyDescent="0.25">
      <c r="A62" s="508" t="str">
        <f>IF(OR('High Efficiency Pumps'!T19=0,'High Efficiency Pumps'!T19=""),"","Prescriptive")</f>
        <v/>
      </c>
      <c r="B62" s="508" t="str">
        <f t="shared" si="8"/>
        <v/>
      </c>
      <c r="C62" s="501" t="str">
        <f>IF(A62="","",'High Efficiency Pumps'!I19)</f>
        <v/>
      </c>
      <c r="D62" s="520" t="str">
        <f t="shared" si="1"/>
        <v/>
      </c>
      <c r="F62" s="520" t="str">
        <f>IF(A62="","",'High Efficiency Pumps'!Y19)</f>
        <v/>
      </c>
      <c r="G62" s="501" t="str">
        <f>IF(A62="","",'High Efficiency Pumps'!D19)</f>
        <v/>
      </c>
      <c r="H62" s="501" t="str">
        <f>IF(A62="","",'High Efficiency Pumps'!E19)</f>
        <v/>
      </c>
      <c r="K62" s="529" t="str">
        <f>IF(A62="","",'High Efficiency Pumps'!K19)</f>
        <v/>
      </c>
      <c r="M62" s="520" t="str">
        <f>IF(A62="","",'High Efficiency Pumps'!L19)</f>
        <v/>
      </c>
      <c r="N62" s="534" t="str">
        <f>IF(A62="","",'High Efficiency Pumps'!M19)</f>
        <v/>
      </c>
      <c r="P62" s="534" t="str">
        <f>IF(A62="","",'High Efficiency Pumps'!G19)</f>
        <v/>
      </c>
      <c r="Q62" s="516" t="str">
        <f>IF(A62="","",'High Efficiency Pumps'!U19)</f>
        <v/>
      </c>
      <c r="R62" s="518" t="str">
        <f>IF(A62="","",'High Efficiency Pumps'!T19)</f>
        <v/>
      </c>
      <c r="U62" s="501" t="str">
        <f>IF(A62="","",'Project Summary'!$C$14)</f>
        <v/>
      </c>
      <c r="Y62" s="516" t="str">
        <f>IF($A62="","",'High Efficiency Pumps'!V19)</f>
        <v/>
      </c>
      <c r="Z62" s="516" t="str">
        <f>IF($A62="","",'High Efficiency Pumps'!W19)</f>
        <v/>
      </c>
      <c r="AA62" s="513" t="str">
        <f>IF($A62="","",'Project Summary'!$C$9)</f>
        <v/>
      </c>
      <c r="AB62" s="520" t="str">
        <f t="shared" si="2"/>
        <v/>
      </c>
      <c r="AC62" s="537" t="str">
        <f>IF($A62="","",'High Efficiency Pumps'!N19)</f>
        <v/>
      </c>
      <c r="AD62" s="537" t="str">
        <f>IF($A62="","",'High Efficiency Pumps'!O19)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tabColor theme="0" tint="-0.14999847407452621"/>
  </sheetPr>
  <dimension ref="A2:I27"/>
  <sheetViews>
    <sheetView topLeftCell="A12" workbookViewId="0">
      <selection activeCell="B27" sqref="B27"/>
    </sheetView>
  </sheetViews>
  <sheetFormatPr defaultColWidth="8.75" defaultRowHeight="14.25" x14ac:dyDescent="0.2"/>
  <cols>
    <col min="1" max="1" width="3.75" style="7" customWidth="1"/>
    <col min="2" max="2" width="8.875" style="7" customWidth="1"/>
    <col min="3" max="3" width="13.625" style="7" customWidth="1"/>
    <col min="4" max="4" width="19.25" style="7" customWidth="1"/>
    <col min="5" max="5" width="68" style="8" customWidth="1"/>
    <col min="6" max="6" width="34" style="7" customWidth="1"/>
    <col min="7" max="7" width="8.75" style="1"/>
    <col min="8" max="8" width="18.125" style="1" customWidth="1"/>
    <col min="9" max="9" width="14.125" style="1" customWidth="1"/>
    <col min="10" max="16384" width="8.75" style="1"/>
  </cols>
  <sheetData>
    <row r="2" spans="1:9" ht="20.25" x14ac:dyDescent="0.2">
      <c r="B2" s="712" t="s">
        <v>41</v>
      </c>
      <c r="C2" s="712"/>
      <c r="D2" s="712"/>
      <c r="E2" s="712"/>
      <c r="F2" s="712"/>
    </row>
    <row r="4" spans="1:9" ht="15" x14ac:dyDescent="0.2">
      <c r="B4" s="21" t="s">
        <v>461</v>
      </c>
      <c r="D4" s="22" t="s">
        <v>462</v>
      </c>
      <c r="E4" s="23" t="s">
        <v>463</v>
      </c>
      <c r="F4" s="22"/>
    </row>
    <row r="5" spans="1:9" ht="15" x14ac:dyDescent="0.25">
      <c r="B5" s="21" t="s">
        <v>464</v>
      </c>
      <c r="D5" s="24" t="s">
        <v>465</v>
      </c>
      <c r="E5" s="25" t="s">
        <v>466</v>
      </c>
      <c r="F5" s="24"/>
      <c r="H5" s="365" t="s">
        <v>467</v>
      </c>
      <c r="I5" s="149">
        <f>B25</f>
        <v>4.12</v>
      </c>
    </row>
    <row r="6" spans="1:9" ht="25.5" customHeight="1" x14ac:dyDescent="0.25">
      <c r="H6" s="365" t="s">
        <v>468</v>
      </c>
      <c r="I6" s="364">
        <f>MAX(C:C)</f>
        <v>46156</v>
      </c>
    </row>
    <row r="7" spans="1:9" s="10" customFormat="1" ht="15" x14ac:dyDescent="0.25">
      <c r="A7" s="9"/>
      <c r="B7" s="12" t="s">
        <v>104</v>
      </c>
      <c r="C7" s="13" t="s">
        <v>44</v>
      </c>
      <c r="D7" s="13" t="s">
        <v>469</v>
      </c>
      <c r="E7" s="14" t="s">
        <v>470</v>
      </c>
      <c r="F7" s="15" t="s">
        <v>471</v>
      </c>
    </row>
    <row r="8" spans="1:9" ht="28.5" customHeight="1" x14ac:dyDescent="0.2">
      <c r="B8" s="16">
        <v>1</v>
      </c>
      <c r="C8" s="17">
        <v>42480</v>
      </c>
      <c r="D8" s="17" t="s">
        <v>472</v>
      </c>
      <c r="E8" s="18" t="s">
        <v>473</v>
      </c>
      <c r="F8" s="19" t="s">
        <v>474</v>
      </c>
    </row>
    <row r="9" spans="1:9" ht="36" customHeight="1" x14ac:dyDescent="0.2">
      <c r="B9" s="16">
        <v>1.1000000000000001</v>
      </c>
      <c r="C9" s="17">
        <v>42751</v>
      </c>
      <c r="D9" s="20" t="s">
        <v>475</v>
      </c>
      <c r="E9" s="18" t="s">
        <v>476</v>
      </c>
      <c r="F9" s="19" t="s">
        <v>477</v>
      </c>
    </row>
    <row r="10" spans="1:9" ht="28.5" customHeight="1" x14ac:dyDescent="0.2">
      <c r="B10" s="16">
        <v>2</v>
      </c>
      <c r="C10" s="17">
        <v>42822</v>
      </c>
      <c r="D10" s="20" t="s">
        <v>478</v>
      </c>
      <c r="E10" s="18" t="s">
        <v>479</v>
      </c>
      <c r="F10" s="19" t="s">
        <v>480</v>
      </c>
    </row>
    <row r="11" spans="1:9" ht="28.5" customHeight="1" x14ac:dyDescent="0.2">
      <c r="B11" s="435">
        <v>3</v>
      </c>
      <c r="C11" s="436">
        <v>43297</v>
      </c>
      <c r="D11" s="437" t="s">
        <v>481</v>
      </c>
      <c r="E11" s="438" t="s">
        <v>482</v>
      </c>
      <c r="F11" s="437" t="s">
        <v>483</v>
      </c>
    </row>
    <row r="12" spans="1:9" ht="28.5" customHeight="1" x14ac:dyDescent="0.2">
      <c r="B12" s="435">
        <v>3</v>
      </c>
      <c r="C12" s="436">
        <v>43434</v>
      </c>
      <c r="D12" s="437" t="s">
        <v>484</v>
      </c>
      <c r="E12" s="438"/>
      <c r="F12" s="437" t="s">
        <v>462</v>
      </c>
    </row>
    <row r="13" spans="1:9" ht="28.5" customHeight="1" x14ac:dyDescent="0.2">
      <c r="B13" s="435">
        <v>4</v>
      </c>
      <c r="C13" s="436">
        <v>44348</v>
      </c>
      <c r="D13" s="437" t="s">
        <v>485</v>
      </c>
      <c r="E13" s="438" t="s">
        <v>486</v>
      </c>
      <c r="F13" s="437" t="s">
        <v>487</v>
      </c>
    </row>
    <row r="14" spans="1:9" ht="28.5" customHeight="1" x14ac:dyDescent="0.2">
      <c r="B14" s="435">
        <v>4.0999999999999996</v>
      </c>
      <c r="C14" s="436">
        <v>44558</v>
      </c>
      <c r="D14" s="437" t="s">
        <v>488</v>
      </c>
      <c r="E14" s="438" t="s">
        <v>489</v>
      </c>
      <c r="F14" s="437" t="s">
        <v>490</v>
      </c>
    </row>
    <row r="15" spans="1:9" ht="28.5" customHeight="1" x14ac:dyDescent="0.2">
      <c r="B15" s="435">
        <v>4.2</v>
      </c>
      <c r="C15" s="436">
        <v>44663</v>
      </c>
      <c r="D15" s="437" t="s">
        <v>491</v>
      </c>
      <c r="E15" s="438" t="s">
        <v>492</v>
      </c>
      <c r="F15" s="437" t="s">
        <v>493</v>
      </c>
    </row>
    <row r="16" spans="1:9" ht="28.5" customHeight="1" x14ac:dyDescent="0.2">
      <c r="B16" s="435">
        <v>4.3</v>
      </c>
      <c r="C16" s="436">
        <v>44937</v>
      </c>
      <c r="D16" s="437" t="s">
        <v>491</v>
      </c>
      <c r="E16" s="438" t="s">
        <v>494</v>
      </c>
      <c r="F16" s="437" t="s">
        <v>493</v>
      </c>
    </row>
    <row r="17" spans="2:6" ht="28.5" customHeight="1" x14ac:dyDescent="0.2">
      <c r="B17" s="435">
        <v>4.4000000000000004</v>
      </c>
      <c r="C17" s="436">
        <v>45065</v>
      </c>
      <c r="D17" s="438" t="s">
        <v>495</v>
      </c>
      <c r="E17" s="438" t="s">
        <v>496</v>
      </c>
      <c r="F17" s="437" t="s">
        <v>497</v>
      </c>
    </row>
    <row r="18" spans="2:6" ht="28.5" customHeight="1" x14ac:dyDescent="0.2">
      <c r="B18" s="435" t="s">
        <v>498</v>
      </c>
      <c r="C18" s="436">
        <v>45163</v>
      </c>
      <c r="D18" s="437" t="s">
        <v>499</v>
      </c>
      <c r="E18" s="438" t="s">
        <v>500</v>
      </c>
      <c r="F18" s="437" t="s">
        <v>501</v>
      </c>
    </row>
    <row r="19" spans="2:6" ht="28.5" customHeight="1" x14ac:dyDescent="0.2">
      <c r="B19" s="435">
        <v>4.5</v>
      </c>
      <c r="C19" s="436">
        <v>45205</v>
      </c>
      <c r="D19" s="437" t="s">
        <v>502</v>
      </c>
      <c r="E19" s="438" t="s">
        <v>503</v>
      </c>
      <c r="F19" s="437" t="s">
        <v>493</v>
      </c>
    </row>
    <row r="20" spans="2:6" ht="28.5" customHeight="1" x14ac:dyDescent="0.2">
      <c r="B20" s="435">
        <v>4.5999999999999996</v>
      </c>
      <c r="C20" s="436">
        <v>45295</v>
      </c>
      <c r="D20" s="437" t="s">
        <v>491</v>
      </c>
      <c r="E20" s="438" t="s">
        <v>504</v>
      </c>
      <c r="F20" s="437" t="s">
        <v>505</v>
      </c>
    </row>
    <row r="21" spans="2:6" ht="28.5" customHeight="1" x14ac:dyDescent="0.2">
      <c r="B21" s="435">
        <v>4.7</v>
      </c>
      <c r="C21" s="436">
        <v>45505</v>
      </c>
      <c r="D21" s="437" t="s">
        <v>506</v>
      </c>
      <c r="E21" s="438" t="s">
        <v>507</v>
      </c>
      <c r="F21" s="437" t="s">
        <v>508</v>
      </c>
    </row>
    <row r="22" spans="2:6" ht="28.5" customHeight="1" x14ac:dyDescent="0.2">
      <c r="B22" s="435">
        <v>4.8</v>
      </c>
      <c r="C22" s="436">
        <v>45692</v>
      </c>
      <c r="D22" s="437" t="s">
        <v>509</v>
      </c>
      <c r="E22" s="438" t="s">
        <v>510</v>
      </c>
      <c r="F22" s="437" t="s">
        <v>511</v>
      </c>
    </row>
    <row r="23" spans="2:6" ht="28.5" customHeight="1" x14ac:dyDescent="0.2">
      <c r="B23" s="435">
        <v>4.9000000000000004</v>
      </c>
      <c r="C23" s="436">
        <v>45717</v>
      </c>
      <c r="D23" s="437" t="s">
        <v>512</v>
      </c>
      <c r="E23" s="438" t="s">
        <v>513</v>
      </c>
      <c r="F23" s="437" t="s">
        <v>508</v>
      </c>
    </row>
    <row r="24" spans="2:6" ht="28.5" customHeight="1" x14ac:dyDescent="0.2">
      <c r="B24" s="435">
        <v>4.1100000000000003</v>
      </c>
      <c r="C24" s="436">
        <v>45749</v>
      </c>
      <c r="D24" s="437" t="s">
        <v>514</v>
      </c>
      <c r="E24" s="438" t="s">
        <v>515</v>
      </c>
      <c r="F24" s="437" t="s">
        <v>508</v>
      </c>
    </row>
    <row r="25" spans="2:6" ht="28.5" customHeight="1" x14ac:dyDescent="0.2">
      <c r="B25" s="439">
        <v>4.12</v>
      </c>
      <c r="C25" s="440">
        <v>45883</v>
      </c>
      <c r="D25" s="439" t="s">
        <v>516</v>
      </c>
      <c r="E25" s="441" t="s">
        <v>517</v>
      </c>
      <c r="F25" s="439" t="s">
        <v>518</v>
      </c>
    </row>
    <row r="26" spans="2:6" ht="28.5" customHeight="1" x14ac:dyDescent="0.2">
      <c r="B26" s="568" t="s">
        <v>519</v>
      </c>
      <c r="C26" s="569">
        <v>46100</v>
      </c>
      <c r="D26" s="568" t="s">
        <v>520</v>
      </c>
      <c r="E26" s="570" t="s">
        <v>521</v>
      </c>
      <c r="F26" s="568" t="s">
        <v>522</v>
      </c>
    </row>
    <row r="27" spans="2:6" ht="42.75" x14ac:dyDescent="0.2">
      <c r="B27" s="435">
        <v>5</v>
      </c>
      <c r="C27" s="436">
        <v>46156</v>
      </c>
      <c r="D27" s="437" t="s">
        <v>576</v>
      </c>
      <c r="E27" s="438" t="s">
        <v>577</v>
      </c>
      <c r="F27" s="437" t="s">
        <v>575</v>
      </c>
    </row>
  </sheetData>
  <mergeCells count="1">
    <mergeCell ref="B2:F2"/>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52DE5-55B1-467C-93F2-8EA6D96EAACF}">
  <sheetPr>
    <tabColor rgb="FFC00000"/>
  </sheetPr>
  <dimension ref="A1:Z37"/>
  <sheetViews>
    <sheetView showGridLines="0" zoomScale="85" zoomScaleNormal="145" workbookViewId="0">
      <selection activeCell="F3" sqref="F3"/>
    </sheetView>
  </sheetViews>
  <sheetFormatPr defaultRowHeight="14.25" x14ac:dyDescent="0.2"/>
  <cols>
    <col min="1" max="1" width="3.25" customWidth="1"/>
    <col min="2" max="2" width="15.125" customWidth="1"/>
    <col min="4" max="4" width="16.75" customWidth="1"/>
    <col min="5" max="5" width="12.625" customWidth="1"/>
    <col min="6" max="6" width="4.25" customWidth="1"/>
    <col min="7" max="7" width="3.5" customWidth="1"/>
    <col min="13" max="13" width="2.5" customWidth="1"/>
    <col min="14" max="14" width="2.75" customWidth="1"/>
    <col min="20" max="20" width="3.125" customWidth="1"/>
  </cols>
  <sheetData>
    <row r="1" spans="1:26" ht="46.5" customHeight="1" x14ac:dyDescent="0.2">
      <c r="A1" s="633"/>
      <c r="B1" s="633"/>
      <c r="C1" s="633"/>
      <c r="D1" s="633"/>
      <c r="E1" s="633"/>
      <c r="F1" s="633"/>
      <c r="G1" s="633"/>
      <c r="H1" s="633"/>
      <c r="I1" s="633"/>
      <c r="J1" s="633"/>
      <c r="K1" s="633"/>
      <c r="L1" s="633"/>
      <c r="M1" s="633"/>
      <c r="N1" s="633"/>
      <c r="O1" s="633"/>
      <c r="P1" s="633"/>
      <c r="Q1" s="633"/>
      <c r="R1" s="633"/>
      <c r="S1" s="633"/>
      <c r="T1" s="633"/>
      <c r="U1" s="633"/>
      <c r="V1" s="633"/>
      <c r="W1" s="633"/>
      <c r="X1" s="633"/>
      <c r="Y1" s="633"/>
      <c r="Z1" s="633"/>
    </row>
    <row r="2" spans="1:26" ht="15.75" thickBot="1" x14ac:dyDescent="0.3">
      <c r="H2" s="539"/>
    </row>
    <row r="3" spans="1:26" ht="20.65" customHeight="1" thickBot="1" x14ac:dyDescent="0.3">
      <c r="B3" s="713" t="s">
        <v>562</v>
      </c>
      <c r="C3" s="714"/>
      <c r="D3" s="715"/>
      <c r="E3" s="540" t="s">
        <v>571</v>
      </c>
      <c r="F3" s="539" t="str">
        <f>_xlfn.XLOOKUP(CR_Utility,B7:B9,E7:E9,0)</f>
        <v>PPL Electric</v>
      </c>
      <c r="G3" s="539"/>
      <c r="H3" s="539"/>
    </row>
    <row r="4" spans="1:26" ht="15.75" thickBot="1" x14ac:dyDescent="0.3">
      <c r="G4" s="541"/>
      <c r="H4" s="542"/>
      <c r="I4" s="543"/>
      <c r="J4" s="543"/>
      <c r="K4" s="543"/>
      <c r="L4" s="543"/>
      <c r="M4" s="543"/>
      <c r="N4" s="541"/>
      <c r="O4" s="543"/>
      <c r="P4" s="543"/>
      <c r="Q4" s="543"/>
      <c r="R4" s="543"/>
      <c r="S4" s="543"/>
      <c r="T4" s="544"/>
    </row>
    <row r="5" spans="1:26" ht="15" x14ac:dyDescent="0.25">
      <c r="B5" s="716" t="s">
        <v>564</v>
      </c>
      <c r="C5" s="717"/>
      <c r="D5" s="718"/>
      <c r="G5" s="545"/>
      <c r="H5" s="719" t="s">
        <v>565</v>
      </c>
      <c r="I5" s="719"/>
      <c r="J5" s="719"/>
      <c r="K5" s="719"/>
      <c r="L5" s="719"/>
      <c r="N5" s="545"/>
      <c r="O5" s="719" t="s">
        <v>566</v>
      </c>
      <c r="P5" s="719"/>
      <c r="Q5" s="719"/>
      <c r="R5" s="719"/>
      <c r="S5" s="719"/>
      <c r="T5" s="546"/>
    </row>
    <row r="6" spans="1:26" ht="15.75" thickBot="1" x14ac:dyDescent="0.3">
      <c r="B6" s="547" t="s">
        <v>567</v>
      </c>
      <c r="C6" s="548" t="s">
        <v>568</v>
      </c>
      <c r="D6" s="549" t="s">
        <v>569</v>
      </c>
      <c r="G6" s="545"/>
      <c r="H6" s="539" t="s">
        <v>570</v>
      </c>
      <c r="M6" s="539"/>
      <c r="N6" s="550"/>
      <c r="O6" s="539" t="s">
        <v>570</v>
      </c>
      <c r="T6" s="546"/>
    </row>
    <row r="7" spans="1:26" ht="15" thickTop="1" x14ac:dyDescent="0.2">
      <c r="B7" s="551" t="s">
        <v>571</v>
      </c>
      <c r="C7" s="552">
        <v>0.1</v>
      </c>
      <c r="D7" s="553">
        <v>0</v>
      </c>
      <c r="E7" t="s">
        <v>587</v>
      </c>
      <c r="G7" s="545"/>
      <c r="H7" s="554"/>
      <c r="I7" s="554"/>
      <c r="J7" s="554"/>
      <c r="K7" s="554"/>
      <c r="L7" s="554"/>
      <c r="N7" s="545"/>
      <c r="T7" s="546"/>
    </row>
    <row r="8" spans="1:26" x14ac:dyDescent="0.2">
      <c r="B8" s="551" t="s">
        <v>563</v>
      </c>
      <c r="C8" s="555">
        <v>0.1</v>
      </c>
      <c r="D8" s="556">
        <v>0</v>
      </c>
      <c r="E8" t="s">
        <v>563</v>
      </c>
      <c r="G8" s="545"/>
      <c r="H8" s="554"/>
      <c r="I8" s="554"/>
      <c r="J8" s="554"/>
      <c r="K8" s="554"/>
      <c r="L8" s="554"/>
      <c r="N8" s="545"/>
      <c r="T8" s="546"/>
    </row>
    <row r="9" spans="1:26" ht="15" thickBot="1" x14ac:dyDescent="0.25">
      <c r="B9" s="557" t="s">
        <v>572</v>
      </c>
      <c r="C9" s="558">
        <v>0.04</v>
      </c>
      <c r="D9" s="559">
        <v>250</v>
      </c>
      <c r="E9" t="s">
        <v>588</v>
      </c>
      <c r="G9" s="545"/>
      <c r="H9" s="554"/>
      <c r="I9" s="554"/>
      <c r="J9" s="554"/>
      <c r="K9" s="554"/>
      <c r="L9" s="554"/>
      <c r="N9" s="545"/>
      <c r="T9" s="546"/>
    </row>
    <row r="10" spans="1:26" x14ac:dyDescent="0.2">
      <c r="G10" s="545"/>
      <c r="H10" s="554"/>
      <c r="I10" s="554"/>
      <c r="J10" s="554"/>
      <c r="K10" s="554"/>
      <c r="L10" s="554"/>
      <c r="N10" s="545"/>
      <c r="T10" s="546"/>
    </row>
    <row r="11" spans="1:26" x14ac:dyDescent="0.2">
      <c r="G11" s="545"/>
      <c r="H11" s="554"/>
      <c r="I11" s="554"/>
      <c r="J11" s="554"/>
      <c r="K11" s="554"/>
      <c r="L11" s="554"/>
      <c r="N11" s="545"/>
      <c r="T11" s="546"/>
    </row>
    <row r="12" spans="1:26" x14ac:dyDescent="0.2">
      <c r="G12" s="545"/>
      <c r="H12" s="554"/>
      <c r="I12" s="554"/>
      <c r="J12" s="554"/>
      <c r="K12" s="554"/>
      <c r="L12" s="554"/>
      <c r="N12" s="545"/>
      <c r="T12" s="546"/>
    </row>
    <row r="13" spans="1:26" x14ac:dyDescent="0.2">
      <c r="G13" s="545"/>
      <c r="H13" s="554"/>
      <c r="I13" s="554"/>
      <c r="J13" s="554"/>
      <c r="K13" s="554"/>
      <c r="L13" s="554"/>
      <c r="N13" s="545"/>
      <c r="T13" s="546"/>
    </row>
    <row r="14" spans="1:26" x14ac:dyDescent="0.2">
      <c r="G14" s="545"/>
      <c r="H14" s="554"/>
      <c r="I14" s="554"/>
      <c r="J14" s="554"/>
      <c r="K14" s="554"/>
      <c r="L14" s="554"/>
      <c r="N14" s="545"/>
      <c r="T14" s="546"/>
    </row>
    <row r="15" spans="1:26" x14ac:dyDescent="0.2">
      <c r="G15" s="545"/>
      <c r="H15" s="554"/>
      <c r="I15" s="554"/>
      <c r="J15" s="554"/>
      <c r="K15" s="554"/>
      <c r="L15" s="554"/>
      <c r="N15" s="545"/>
      <c r="T15" s="546"/>
    </row>
    <row r="16" spans="1:26" ht="15" x14ac:dyDescent="0.25">
      <c r="G16" s="545"/>
      <c r="H16" s="539" t="s">
        <v>573</v>
      </c>
      <c r="N16" s="545"/>
      <c r="O16" s="539" t="s">
        <v>573</v>
      </c>
      <c r="T16" s="546"/>
    </row>
    <row r="17" spans="7:20" x14ac:dyDescent="0.2">
      <c r="G17" s="545"/>
      <c r="H17" s="560"/>
      <c r="I17" s="560"/>
      <c r="J17" s="560"/>
      <c r="K17" s="560"/>
      <c r="L17" s="560"/>
      <c r="N17" s="545"/>
      <c r="T17" s="546"/>
    </row>
    <row r="18" spans="7:20" x14ac:dyDescent="0.2">
      <c r="G18" s="545"/>
      <c r="H18" s="560"/>
      <c r="I18" s="560"/>
      <c r="J18" s="560"/>
      <c r="K18" s="560"/>
      <c r="L18" s="560"/>
      <c r="N18" s="545"/>
      <c r="T18" s="546"/>
    </row>
    <row r="19" spans="7:20" x14ac:dyDescent="0.2">
      <c r="G19" s="545"/>
      <c r="H19" s="560"/>
      <c r="I19" s="560"/>
      <c r="J19" s="560"/>
      <c r="K19" s="560"/>
      <c r="L19" s="560"/>
      <c r="N19" s="545"/>
      <c r="T19" s="546"/>
    </row>
    <row r="20" spans="7:20" x14ac:dyDescent="0.2">
      <c r="G20" s="545"/>
      <c r="H20" s="560"/>
      <c r="I20" s="560"/>
      <c r="J20" s="560"/>
      <c r="K20" s="560"/>
      <c r="L20" s="560"/>
      <c r="N20" s="545"/>
      <c r="T20" s="546"/>
    </row>
    <row r="21" spans="7:20" x14ac:dyDescent="0.2">
      <c r="G21" s="545"/>
      <c r="H21" s="560"/>
      <c r="I21" s="560"/>
      <c r="J21" s="560"/>
      <c r="K21" s="560"/>
      <c r="L21" s="560"/>
      <c r="N21" s="545"/>
      <c r="T21" s="546"/>
    </row>
    <row r="22" spans="7:20" x14ac:dyDescent="0.2">
      <c r="G22" s="545"/>
      <c r="H22" s="560"/>
      <c r="I22" s="560"/>
      <c r="J22" s="560"/>
      <c r="K22" s="560"/>
      <c r="L22" s="560"/>
      <c r="N22" s="545"/>
      <c r="T22" s="546"/>
    </row>
    <row r="23" spans="7:20" x14ac:dyDescent="0.2">
      <c r="G23" s="545"/>
      <c r="H23" s="560"/>
      <c r="I23" s="560"/>
      <c r="J23" s="560"/>
      <c r="K23" s="560"/>
      <c r="L23" s="560"/>
      <c r="N23" s="545"/>
      <c r="T23" s="546"/>
    </row>
    <row r="24" spans="7:20" x14ac:dyDescent="0.2">
      <c r="G24" s="545"/>
      <c r="H24" s="560"/>
      <c r="I24" s="560"/>
      <c r="J24" s="560"/>
      <c r="K24" s="560"/>
      <c r="L24" s="560"/>
      <c r="N24" s="545"/>
      <c r="T24" s="546"/>
    </row>
    <row r="25" spans="7:20" x14ac:dyDescent="0.2">
      <c r="G25" s="545"/>
      <c r="H25" s="560"/>
      <c r="I25" s="560"/>
      <c r="J25" s="560"/>
      <c r="K25" s="560"/>
      <c r="L25" s="560"/>
      <c r="N25" s="545"/>
      <c r="T25" s="546"/>
    </row>
    <row r="26" spans="7:20" ht="15" x14ac:dyDescent="0.25">
      <c r="G26" s="545"/>
      <c r="H26" s="539" t="s">
        <v>574</v>
      </c>
      <c r="N26" s="545"/>
      <c r="O26" s="539" t="s">
        <v>574</v>
      </c>
      <c r="T26" s="546"/>
    </row>
    <row r="27" spans="7:20" x14ac:dyDescent="0.2">
      <c r="G27" s="545"/>
      <c r="H27" s="561"/>
      <c r="I27" s="561"/>
      <c r="J27" s="561"/>
      <c r="K27" s="561"/>
      <c r="L27" s="561"/>
      <c r="N27" s="545"/>
      <c r="T27" s="546"/>
    </row>
    <row r="28" spans="7:20" x14ac:dyDescent="0.2">
      <c r="G28" s="545"/>
      <c r="H28" s="561"/>
      <c r="I28" s="561"/>
      <c r="J28" s="561"/>
      <c r="K28" s="561"/>
      <c r="L28" s="561"/>
      <c r="N28" s="545"/>
      <c r="T28" s="546"/>
    </row>
    <row r="29" spans="7:20" x14ac:dyDescent="0.2">
      <c r="G29" s="545"/>
      <c r="H29" s="561"/>
      <c r="I29" s="561"/>
      <c r="J29" s="561"/>
      <c r="K29" s="561"/>
      <c r="L29" s="561"/>
      <c r="N29" s="545"/>
      <c r="T29" s="546"/>
    </row>
    <row r="30" spans="7:20" x14ac:dyDescent="0.2">
      <c r="G30" s="545"/>
      <c r="H30" s="561"/>
      <c r="I30" s="561"/>
      <c r="J30" s="561"/>
      <c r="K30" s="561"/>
      <c r="L30" s="561"/>
      <c r="N30" s="545"/>
      <c r="T30" s="546"/>
    </row>
    <row r="31" spans="7:20" x14ac:dyDescent="0.2">
      <c r="G31" s="545"/>
      <c r="H31" s="561"/>
      <c r="I31" s="561"/>
      <c r="J31" s="561"/>
      <c r="K31" s="561"/>
      <c r="L31" s="561"/>
      <c r="N31" s="545"/>
      <c r="T31" s="546"/>
    </row>
    <row r="32" spans="7:20" x14ac:dyDescent="0.2">
      <c r="G32" s="545"/>
      <c r="H32" s="561"/>
      <c r="I32" s="561"/>
      <c r="J32" s="561"/>
      <c r="K32" s="561"/>
      <c r="L32" s="561"/>
      <c r="N32" s="545"/>
      <c r="T32" s="546"/>
    </row>
    <row r="33" spans="7:20" x14ac:dyDescent="0.2">
      <c r="G33" s="545"/>
      <c r="H33" s="561"/>
      <c r="I33" s="561"/>
      <c r="J33" s="561"/>
      <c r="K33" s="561"/>
      <c r="L33" s="561"/>
      <c r="N33" s="545"/>
      <c r="T33" s="546"/>
    </row>
    <row r="34" spans="7:20" x14ac:dyDescent="0.2">
      <c r="G34" s="545"/>
      <c r="H34" s="561"/>
      <c r="I34" s="561"/>
      <c r="J34" s="561"/>
      <c r="K34" s="561"/>
      <c r="L34" s="561"/>
      <c r="N34" s="545"/>
      <c r="T34" s="546"/>
    </row>
    <row r="35" spans="7:20" x14ac:dyDescent="0.2">
      <c r="G35" s="545"/>
      <c r="H35" s="561"/>
      <c r="I35" s="561"/>
      <c r="J35" s="561"/>
      <c r="K35" s="561"/>
      <c r="L35" s="561"/>
      <c r="N35" s="545"/>
      <c r="T35" s="546"/>
    </row>
    <row r="36" spans="7:20" ht="9" customHeight="1" x14ac:dyDescent="0.2">
      <c r="G36" s="545"/>
      <c r="N36" s="545"/>
      <c r="T36" s="546"/>
    </row>
    <row r="37" spans="7:20" ht="6.6" customHeight="1" x14ac:dyDescent="0.2">
      <c r="G37" s="562"/>
      <c r="H37" s="563"/>
      <c r="I37" s="563"/>
      <c r="J37" s="563"/>
      <c r="K37" s="563"/>
      <c r="L37" s="563"/>
      <c r="M37" s="563"/>
      <c r="N37" s="562"/>
      <c r="O37" s="563"/>
      <c r="P37" s="563"/>
      <c r="Q37" s="563"/>
      <c r="R37" s="563"/>
      <c r="S37" s="563"/>
      <c r="T37" s="564"/>
    </row>
  </sheetData>
  <mergeCells count="9">
    <mergeCell ref="V1:Z1"/>
    <mergeCell ref="B3:D3"/>
    <mergeCell ref="B5:D5"/>
    <mergeCell ref="H5:L5"/>
    <mergeCell ref="O5:S5"/>
    <mergeCell ref="A1:E1"/>
    <mergeCell ref="F1:J1"/>
    <mergeCell ref="K1:P1"/>
    <mergeCell ref="Q1:U1"/>
  </mergeCells>
  <conditionalFormatting sqref="A1:Z1">
    <cfRule type="expression" dxfId="2" priority="1">
      <formula>$E$3="FirstEnergy"</formula>
    </cfRule>
    <cfRule type="expression" dxfId="1" priority="2">
      <formula>$E$3="PECO"</formula>
    </cfRule>
    <cfRule type="expression" dxfId="0" priority="3">
      <formula>$E$3="PPL"</formula>
    </cfRule>
  </conditionalFormatting>
  <dataValidations count="2">
    <dataValidation type="list" allowBlank="1" showInputMessage="1" showErrorMessage="1" sqref="E3" xr:uid="{0DBA438D-43A6-49E6-ADB0-4CFD8F6043AF}">
      <formula1>"PPL, PECO, FirstEnergy"</formula1>
    </dataValidation>
    <dataValidation allowBlank="1" showInputMessage="1" showErrorMessage="1" prompt="Incentives are referenced on the inventory tab, in column AF" sqref="B5:D5" xr:uid="{790A320D-59F3-4D62-9A2D-D4501417E211}"/>
  </dataValidations>
  <pageMargins left="0.7" right="0.7" top="0.75" bottom="0.75" header="0.3" footer="0.3"/>
  <drawing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B49FC-E65C-4EDC-9C5A-BCC81896A0F8}">
  <sheetPr codeName="Sheet13">
    <tabColor theme="0" tint="-0.14999847407452621"/>
  </sheetPr>
  <dimension ref="A1:AI27"/>
  <sheetViews>
    <sheetView workbookViewId="0">
      <selection activeCell="O2" sqref="O2"/>
    </sheetView>
  </sheetViews>
  <sheetFormatPr defaultRowHeight="14.25" x14ac:dyDescent="0.2"/>
  <sheetData>
    <row r="1" spans="1:35" ht="27.75" thickBot="1" x14ac:dyDescent="0.25">
      <c r="A1" s="138" t="s">
        <v>523</v>
      </c>
      <c r="B1" s="139" t="s">
        <v>274</v>
      </c>
      <c r="C1" s="139" t="s">
        <v>18</v>
      </c>
      <c r="D1" s="139" t="s">
        <v>20</v>
      </c>
      <c r="E1" s="139" t="s">
        <v>10</v>
      </c>
      <c r="F1" s="139" t="s">
        <v>8</v>
      </c>
      <c r="G1" s="139" t="s">
        <v>6</v>
      </c>
      <c r="H1" s="139" t="s">
        <v>16</v>
      </c>
      <c r="I1" s="139" t="s">
        <v>4</v>
      </c>
      <c r="J1" s="139" t="s">
        <v>14</v>
      </c>
      <c r="K1" s="139" t="s">
        <v>12</v>
      </c>
      <c r="M1" s="138" t="s">
        <v>523</v>
      </c>
      <c r="N1" s="139" t="s">
        <v>274</v>
      </c>
      <c r="O1" s="139" t="s">
        <v>18</v>
      </c>
      <c r="P1" s="139" t="s">
        <v>20</v>
      </c>
      <c r="Q1" s="139" t="s">
        <v>10</v>
      </c>
      <c r="R1" s="139" t="s">
        <v>8</v>
      </c>
      <c r="S1" s="139" t="s">
        <v>6</v>
      </c>
      <c r="T1" s="139" t="s">
        <v>16</v>
      </c>
      <c r="U1" s="139" t="s">
        <v>4</v>
      </c>
      <c r="V1" s="139" t="s">
        <v>14</v>
      </c>
      <c r="W1" s="139" t="s">
        <v>12</v>
      </c>
      <c r="Y1" s="138" t="s">
        <v>523</v>
      </c>
      <c r="Z1" s="139" t="s">
        <v>274</v>
      </c>
      <c r="AA1" s="139" t="s">
        <v>18</v>
      </c>
      <c r="AB1" s="139" t="s">
        <v>20</v>
      </c>
      <c r="AC1" s="139" t="s">
        <v>10</v>
      </c>
      <c r="AD1" s="139" t="s">
        <v>8</v>
      </c>
      <c r="AE1" s="139" t="s">
        <v>6</v>
      </c>
      <c r="AF1" s="139" t="s">
        <v>16</v>
      </c>
      <c r="AG1" s="139" t="s">
        <v>4</v>
      </c>
      <c r="AH1" s="139" t="s">
        <v>14</v>
      </c>
      <c r="AI1" s="139" t="s">
        <v>12</v>
      </c>
    </row>
    <row r="2" spans="1:35" ht="15" thickBot="1" x14ac:dyDescent="0.25">
      <c r="A2" s="143" t="s">
        <v>219</v>
      </c>
      <c r="B2" s="140" t="s">
        <v>524</v>
      </c>
      <c r="C2" s="141">
        <v>0.43</v>
      </c>
      <c r="D2" s="141">
        <v>0.3</v>
      </c>
      <c r="E2" s="141">
        <v>0.24</v>
      </c>
      <c r="F2" s="141">
        <v>0.32</v>
      </c>
      <c r="G2" s="141">
        <v>0.44</v>
      </c>
      <c r="H2" s="141">
        <v>0.47</v>
      </c>
      <c r="I2" s="141">
        <v>0.42</v>
      </c>
      <c r="J2" s="141">
        <v>0.38</v>
      </c>
      <c r="K2" s="141">
        <v>0.44</v>
      </c>
      <c r="M2" s="143" t="s">
        <v>219</v>
      </c>
      <c r="N2" s="140" t="s">
        <v>93</v>
      </c>
      <c r="O2" s="142">
        <v>6042</v>
      </c>
      <c r="P2" s="142">
        <v>6054</v>
      </c>
      <c r="Q2" s="142">
        <v>6126</v>
      </c>
      <c r="R2" s="142">
        <v>6139</v>
      </c>
      <c r="S2" s="142">
        <v>5860</v>
      </c>
      <c r="T2" s="142">
        <v>5966</v>
      </c>
      <c r="U2" s="142">
        <v>5982</v>
      </c>
      <c r="V2" s="142">
        <v>5876</v>
      </c>
      <c r="W2" s="142">
        <v>5905</v>
      </c>
      <c r="Y2" s="143" t="s">
        <v>219</v>
      </c>
      <c r="Z2" s="140" t="s">
        <v>524</v>
      </c>
      <c r="AA2" s="141">
        <v>0.43</v>
      </c>
      <c r="AB2" s="141">
        <v>0.3</v>
      </c>
      <c r="AC2" s="141">
        <v>0.24</v>
      </c>
      <c r="AD2" s="141">
        <v>0.32</v>
      </c>
      <c r="AE2" s="141">
        <v>0.44</v>
      </c>
      <c r="AF2" s="141">
        <v>0.47</v>
      </c>
      <c r="AG2" s="141">
        <v>0.42</v>
      </c>
      <c r="AH2" s="141">
        <v>0.38</v>
      </c>
      <c r="AI2" s="141">
        <v>0.44</v>
      </c>
    </row>
    <row r="3" spans="1:35" ht="15" thickBot="1" x14ac:dyDescent="0.25">
      <c r="A3" s="143" t="s">
        <v>219</v>
      </c>
      <c r="B3" s="140" t="s">
        <v>93</v>
      </c>
      <c r="C3" s="142">
        <v>6042</v>
      </c>
      <c r="D3" s="142">
        <v>6054</v>
      </c>
      <c r="E3" s="142">
        <v>6126</v>
      </c>
      <c r="F3" s="142">
        <v>6139</v>
      </c>
      <c r="G3" s="142">
        <v>5860</v>
      </c>
      <c r="H3" s="142">
        <v>5966</v>
      </c>
      <c r="I3" s="142">
        <v>5982</v>
      </c>
      <c r="J3" s="142">
        <v>5876</v>
      </c>
      <c r="K3" s="142">
        <v>5905</v>
      </c>
      <c r="M3" s="143" t="s">
        <v>224</v>
      </c>
      <c r="N3" s="140" t="s">
        <v>93</v>
      </c>
      <c r="O3" s="142">
        <v>4380</v>
      </c>
      <c r="P3" s="142">
        <v>4583</v>
      </c>
      <c r="Q3" s="142">
        <v>4718</v>
      </c>
      <c r="R3" s="142">
        <v>4572</v>
      </c>
      <c r="S3" s="142">
        <v>4313</v>
      </c>
      <c r="T3" s="142">
        <v>4384</v>
      </c>
      <c r="U3" s="142">
        <v>4415</v>
      </c>
      <c r="V3" s="142">
        <v>4490</v>
      </c>
      <c r="W3" s="142">
        <v>4377</v>
      </c>
      <c r="Y3" s="143" t="s">
        <v>224</v>
      </c>
      <c r="Z3" s="140" t="s">
        <v>524</v>
      </c>
      <c r="AA3" s="141">
        <v>0.12</v>
      </c>
      <c r="AB3" s="141">
        <v>0.08</v>
      </c>
      <c r="AC3" s="141">
        <v>7.0000000000000007E-2</v>
      </c>
      <c r="AD3" s="141">
        <v>0.09</v>
      </c>
      <c r="AE3" s="141">
        <v>0.17</v>
      </c>
      <c r="AF3" s="141">
        <v>0.18</v>
      </c>
      <c r="AG3" s="141">
        <v>0.18</v>
      </c>
      <c r="AH3" s="141">
        <v>0.12</v>
      </c>
      <c r="AI3" s="141">
        <v>0.15</v>
      </c>
    </row>
    <row r="4" spans="1:35" ht="15" thickBot="1" x14ac:dyDescent="0.25">
      <c r="A4" s="143" t="s">
        <v>224</v>
      </c>
      <c r="B4" s="140" t="s">
        <v>524</v>
      </c>
      <c r="C4" s="141">
        <v>0.12</v>
      </c>
      <c r="D4" s="141">
        <v>0.08</v>
      </c>
      <c r="E4" s="141">
        <v>7.0000000000000007E-2</v>
      </c>
      <c r="F4" s="141">
        <v>0.09</v>
      </c>
      <c r="G4" s="141">
        <v>0.17</v>
      </c>
      <c r="H4" s="141">
        <v>0.18</v>
      </c>
      <c r="I4" s="141">
        <v>0.18</v>
      </c>
      <c r="J4" s="141">
        <v>0.12</v>
      </c>
      <c r="K4" s="141">
        <v>0.15</v>
      </c>
      <c r="M4" s="143" t="s">
        <v>227</v>
      </c>
      <c r="N4" s="140" t="s">
        <v>93</v>
      </c>
      <c r="O4" s="142">
        <v>6708</v>
      </c>
      <c r="P4" s="142">
        <v>6764</v>
      </c>
      <c r="Q4" s="142">
        <v>6810</v>
      </c>
      <c r="R4" s="142">
        <v>6738</v>
      </c>
      <c r="S4" s="142">
        <v>6692</v>
      </c>
      <c r="T4" s="142">
        <v>6669</v>
      </c>
      <c r="U4" s="142">
        <v>6718</v>
      </c>
      <c r="V4" s="142">
        <v>6725</v>
      </c>
      <c r="W4" s="142">
        <v>6710</v>
      </c>
      <c r="Y4" s="143" t="s">
        <v>227</v>
      </c>
      <c r="Z4" s="140" t="s">
        <v>524</v>
      </c>
      <c r="AA4" s="141">
        <v>0.24</v>
      </c>
      <c r="AB4" s="141">
        <v>0.21</v>
      </c>
      <c r="AC4" s="141">
        <v>0.19</v>
      </c>
      <c r="AD4" s="141">
        <v>0.22</v>
      </c>
      <c r="AE4" s="141">
        <v>0.24</v>
      </c>
      <c r="AF4" s="141">
        <v>0.26</v>
      </c>
      <c r="AG4" s="141">
        <v>0.28999999999999998</v>
      </c>
      <c r="AH4" s="141">
        <v>0.21</v>
      </c>
      <c r="AI4" s="141">
        <v>0.24</v>
      </c>
    </row>
    <row r="5" spans="1:35" ht="15" thickBot="1" x14ac:dyDescent="0.25">
      <c r="A5" s="143" t="s">
        <v>224</v>
      </c>
      <c r="B5" s="140" t="s">
        <v>93</v>
      </c>
      <c r="C5" s="142">
        <v>4380</v>
      </c>
      <c r="D5" s="142">
        <v>4583</v>
      </c>
      <c r="E5" s="142">
        <v>4718</v>
      </c>
      <c r="F5" s="142">
        <v>4572</v>
      </c>
      <c r="G5" s="142">
        <v>4313</v>
      </c>
      <c r="H5" s="142">
        <v>4384</v>
      </c>
      <c r="I5" s="142">
        <v>4415</v>
      </c>
      <c r="J5" s="142">
        <v>4490</v>
      </c>
      <c r="K5" s="142">
        <v>4377</v>
      </c>
      <c r="M5" s="143" t="s">
        <v>228</v>
      </c>
      <c r="N5" s="140" t="s">
        <v>93</v>
      </c>
      <c r="O5" s="142">
        <v>8760</v>
      </c>
      <c r="P5" s="142">
        <v>8760</v>
      </c>
      <c r="Q5" s="142">
        <v>8760</v>
      </c>
      <c r="R5" s="142">
        <v>8760</v>
      </c>
      <c r="S5" s="142">
        <v>8760</v>
      </c>
      <c r="T5" s="142">
        <v>8760</v>
      </c>
      <c r="U5" s="142">
        <v>8760</v>
      </c>
      <c r="V5" s="142">
        <v>8760</v>
      </c>
      <c r="W5" s="142">
        <v>8760</v>
      </c>
      <c r="Y5" s="143" t="s">
        <v>228</v>
      </c>
      <c r="Z5" s="140" t="s">
        <v>524</v>
      </c>
      <c r="AA5" s="141">
        <v>0.43</v>
      </c>
      <c r="AB5" s="141">
        <v>0.24</v>
      </c>
      <c r="AC5" s="141">
        <v>0.28999999999999998</v>
      </c>
      <c r="AD5" s="141">
        <v>0.39</v>
      </c>
      <c r="AE5" s="141">
        <v>0.45</v>
      </c>
      <c r="AF5" s="141">
        <v>0.51</v>
      </c>
      <c r="AG5" s="141">
        <v>0.45</v>
      </c>
      <c r="AH5" s="141">
        <v>0.4</v>
      </c>
      <c r="AI5" s="141">
        <v>0.41</v>
      </c>
    </row>
    <row r="6" spans="1:35" ht="15" thickBot="1" x14ac:dyDescent="0.25">
      <c r="A6" s="143" t="s">
        <v>227</v>
      </c>
      <c r="B6" s="140" t="s">
        <v>524</v>
      </c>
      <c r="C6" s="141">
        <v>0.24</v>
      </c>
      <c r="D6" s="141">
        <v>0.21</v>
      </c>
      <c r="E6" s="141">
        <v>0.19</v>
      </c>
      <c r="F6" s="141">
        <v>0.22</v>
      </c>
      <c r="G6" s="141">
        <v>0.24</v>
      </c>
      <c r="H6" s="141">
        <v>0.26</v>
      </c>
      <c r="I6" s="141">
        <v>0.28999999999999998</v>
      </c>
      <c r="J6" s="141">
        <v>0.21</v>
      </c>
      <c r="K6" s="141">
        <v>0.24</v>
      </c>
      <c r="M6" s="143" t="s">
        <v>230</v>
      </c>
      <c r="N6" s="140" t="s">
        <v>93</v>
      </c>
      <c r="O6" s="142">
        <v>8760</v>
      </c>
      <c r="P6" s="142">
        <v>8760</v>
      </c>
      <c r="Q6" s="142">
        <v>8760</v>
      </c>
      <c r="R6" s="142">
        <v>8760</v>
      </c>
      <c r="S6" s="142">
        <v>8760</v>
      </c>
      <c r="T6" s="142">
        <v>8760</v>
      </c>
      <c r="U6" s="142">
        <v>8760</v>
      </c>
      <c r="V6" s="142">
        <v>8760</v>
      </c>
      <c r="W6" s="142">
        <v>8760</v>
      </c>
      <c r="Y6" s="143" t="s">
        <v>230</v>
      </c>
      <c r="Z6" s="140" t="s">
        <v>524</v>
      </c>
      <c r="AA6" s="141">
        <v>0.24</v>
      </c>
      <c r="AB6" s="141">
        <v>0.21</v>
      </c>
      <c r="AC6" s="141">
        <v>0.17</v>
      </c>
      <c r="AD6" s="141">
        <v>0.23</v>
      </c>
      <c r="AE6" s="141">
        <v>0.28999999999999998</v>
      </c>
      <c r="AF6" s="141">
        <v>0.31</v>
      </c>
      <c r="AG6" s="141">
        <v>0.28999999999999998</v>
      </c>
      <c r="AH6" s="141">
        <v>0.25</v>
      </c>
      <c r="AI6" s="141">
        <v>0.28000000000000003</v>
      </c>
    </row>
    <row r="7" spans="1:35" ht="15" thickBot="1" x14ac:dyDescent="0.25">
      <c r="A7" s="143" t="s">
        <v>227</v>
      </c>
      <c r="B7" s="140" t="s">
        <v>93</v>
      </c>
      <c r="C7" s="142">
        <v>6708</v>
      </c>
      <c r="D7" s="142">
        <v>6764</v>
      </c>
      <c r="E7" s="142">
        <v>6810</v>
      </c>
      <c r="F7" s="142">
        <v>6738</v>
      </c>
      <c r="G7" s="142">
        <v>6692</v>
      </c>
      <c r="H7" s="142">
        <v>6669</v>
      </c>
      <c r="I7" s="142">
        <v>6718</v>
      </c>
      <c r="J7" s="142">
        <v>6725</v>
      </c>
      <c r="K7" s="142">
        <v>6710</v>
      </c>
      <c r="M7" s="143" t="s">
        <v>232</v>
      </c>
      <c r="N7" s="140" t="s">
        <v>93</v>
      </c>
      <c r="O7" s="142">
        <v>3831</v>
      </c>
      <c r="P7" s="142">
        <v>3981</v>
      </c>
      <c r="Q7" s="142">
        <v>4080</v>
      </c>
      <c r="R7" s="142">
        <v>3977</v>
      </c>
      <c r="S7" s="142">
        <v>3769</v>
      </c>
      <c r="T7" s="142">
        <v>3838</v>
      </c>
      <c r="U7" s="142">
        <v>3869</v>
      </c>
      <c r="V7" s="142">
        <v>3902</v>
      </c>
      <c r="W7" s="142">
        <v>3829</v>
      </c>
      <c r="Y7" s="143" t="s">
        <v>232</v>
      </c>
      <c r="Z7" s="140" t="s">
        <v>524</v>
      </c>
      <c r="AA7" s="141">
        <v>0.48</v>
      </c>
      <c r="AB7" s="141">
        <v>0.34</v>
      </c>
      <c r="AC7" s="141">
        <v>0.28000000000000003</v>
      </c>
      <c r="AD7" s="141">
        <v>0.38</v>
      </c>
      <c r="AE7" s="141">
        <v>0.53</v>
      </c>
      <c r="AF7" s="141">
        <v>0.56999999999999995</v>
      </c>
      <c r="AG7" s="141">
        <v>0.5</v>
      </c>
      <c r="AH7" s="141">
        <v>0.43</v>
      </c>
      <c r="AI7" s="141">
        <v>0.46</v>
      </c>
    </row>
    <row r="8" spans="1:35" ht="15" thickBot="1" x14ac:dyDescent="0.25">
      <c r="A8" s="143" t="s">
        <v>228</v>
      </c>
      <c r="B8" s="140" t="s">
        <v>524</v>
      </c>
      <c r="C8" s="141">
        <v>0.43</v>
      </c>
      <c r="D8" s="141">
        <v>0.24</v>
      </c>
      <c r="E8" s="141">
        <v>0.28999999999999998</v>
      </c>
      <c r="F8" s="141">
        <v>0.39</v>
      </c>
      <c r="G8" s="141">
        <v>0.45</v>
      </c>
      <c r="H8" s="141">
        <v>0.51</v>
      </c>
      <c r="I8" s="141">
        <v>0.45</v>
      </c>
      <c r="J8" s="141">
        <v>0.4</v>
      </c>
      <c r="K8" s="141">
        <v>0.41</v>
      </c>
      <c r="M8" s="143" t="s">
        <v>234</v>
      </c>
      <c r="N8" s="140" t="s">
        <v>93</v>
      </c>
      <c r="O8" s="142">
        <v>5188</v>
      </c>
      <c r="P8" s="142">
        <v>5223</v>
      </c>
      <c r="Q8" s="142">
        <v>5248</v>
      </c>
      <c r="R8" s="142">
        <v>5217</v>
      </c>
      <c r="S8" s="142">
        <v>5172</v>
      </c>
      <c r="T8" s="142">
        <v>5186</v>
      </c>
      <c r="U8" s="142">
        <v>5201</v>
      </c>
      <c r="V8" s="142">
        <v>5207</v>
      </c>
      <c r="W8" s="142">
        <v>5184</v>
      </c>
      <c r="Y8" s="143" t="s">
        <v>234</v>
      </c>
      <c r="Z8" s="140" t="s">
        <v>524</v>
      </c>
      <c r="AA8" s="141">
        <v>0.53</v>
      </c>
      <c r="AB8" s="141">
        <v>0.38</v>
      </c>
      <c r="AC8" s="141">
        <v>0.34</v>
      </c>
      <c r="AD8" s="141">
        <v>0.45</v>
      </c>
      <c r="AE8" s="141">
        <v>0.6</v>
      </c>
      <c r="AF8" s="141">
        <v>0.72</v>
      </c>
      <c r="AG8" s="141">
        <v>0.56000000000000005</v>
      </c>
      <c r="AH8" s="141">
        <v>0.47</v>
      </c>
      <c r="AI8" s="141">
        <v>0.52</v>
      </c>
    </row>
    <row r="9" spans="1:35" ht="15" thickBot="1" x14ac:dyDescent="0.25">
      <c r="A9" s="143" t="s">
        <v>228</v>
      </c>
      <c r="B9" s="140" t="s">
        <v>93</v>
      </c>
      <c r="C9" s="142">
        <v>8760</v>
      </c>
      <c r="D9" s="142">
        <v>8760</v>
      </c>
      <c r="E9" s="142">
        <v>8760</v>
      </c>
      <c r="F9" s="142">
        <v>8760</v>
      </c>
      <c r="G9" s="142">
        <v>8760</v>
      </c>
      <c r="H9" s="142">
        <v>8760</v>
      </c>
      <c r="I9" s="142">
        <v>8760</v>
      </c>
      <c r="J9" s="142">
        <v>8760</v>
      </c>
      <c r="K9" s="142">
        <v>8760</v>
      </c>
      <c r="M9" s="143" t="s">
        <v>233</v>
      </c>
      <c r="N9" s="140" t="s">
        <v>93</v>
      </c>
      <c r="O9" s="142">
        <v>8760</v>
      </c>
      <c r="P9" s="142">
        <v>8760</v>
      </c>
      <c r="Q9" s="142">
        <v>8760</v>
      </c>
      <c r="R9" s="142">
        <v>8760</v>
      </c>
      <c r="S9" s="142">
        <v>8760</v>
      </c>
      <c r="T9" s="142">
        <v>8760</v>
      </c>
      <c r="U9" s="142">
        <v>8760</v>
      </c>
      <c r="V9" s="142">
        <v>8760</v>
      </c>
      <c r="W9" s="142">
        <v>8760</v>
      </c>
      <c r="Y9" s="143" t="s">
        <v>233</v>
      </c>
      <c r="Z9" s="140" t="s">
        <v>524</v>
      </c>
      <c r="AA9" s="141">
        <v>0.64</v>
      </c>
      <c r="AB9" s="141">
        <v>0.64</v>
      </c>
      <c r="AC9" s="141">
        <v>0.6</v>
      </c>
      <c r="AD9" s="141">
        <v>0.65</v>
      </c>
      <c r="AE9" s="141">
        <v>0.71</v>
      </c>
      <c r="AF9" s="141">
        <v>0.71</v>
      </c>
      <c r="AG9" s="141">
        <v>0.73</v>
      </c>
      <c r="AH9" s="141">
        <v>0.65</v>
      </c>
      <c r="AI9" s="141">
        <v>0.71</v>
      </c>
    </row>
    <row r="10" spans="1:35" ht="15" thickBot="1" x14ac:dyDescent="0.25">
      <c r="A10" s="143" t="s">
        <v>230</v>
      </c>
      <c r="B10" s="140" t="s">
        <v>524</v>
      </c>
      <c r="C10" s="141">
        <v>0.24</v>
      </c>
      <c r="D10" s="141">
        <v>0.21</v>
      </c>
      <c r="E10" s="141">
        <v>0.17</v>
      </c>
      <c r="F10" s="141">
        <v>0.23</v>
      </c>
      <c r="G10" s="141">
        <v>0.28999999999999998</v>
      </c>
      <c r="H10" s="141">
        <v>0.31</v>
      </c>
      <c r="I10" s="141">
        <v>0.28999999999999998</v>
      </c>
      <c r="J10" s="141">
        <v>0.25</v>
      </c>
      <c r="K10" s="141">
        <v>0.28000000000000003</v>
      </c>
      <c r="M10" s="143" t="s">
        <v>111</v>
      </c>
      <c r="N10" s="140" t="s">
        <v>93</v>
      </c>
      <c r="O10" s="142">
        <v>4195</v>
      </c>
      <c r="P10" s="142">
        <v>4473</v>
      </c>
      <c r="Q10" s="142">
        <v>4699</v>
      </c>
      <c r="R10" s="142">
        <v>4441</v>
      </c>
      <c r="S10" s="142">
        <v>4087</v>
      </c>
      <c r="T10" s="142">
        <v>4063</v>
      </c>
      <c r="U10" s="142">
        <v>4240</v>
      </c>
      <c r="V10" s="142">
        <v>4228</v>
      </c>
      <c r="W10" s="142">
        <v>4139</v>
      </c>
      <c r="Y10" s="143" t="s">
        <v>111</v>
      </c>
      <c r="Z10" s="140" t="s">
        <v>524</v>
      </c>
      <c r="AA10" s="141">
        <v>0.3</v>
      </c>
      <c r="AB10" s="141">
        <v>0.26</v>
      </c>
      <c r="AC10" s="141">
        <v>0.21</v>
      </c>
      <c r="AD10" s="141">
        <v>0.28000000000000003</v>
      </c>
      <c r="AE10" s="141">
        <v>0.37</v>
      </c>
      <c r="AF10" s="141">
        <v>0.39</v>
      </c>
      <c r="AG10" s="141">
        <v>0.35</v>
      </c>
      <c r="AH10" s="141">
        <v>0.32</v>
      </c>
      <c r="AI10" s="141">
        <v>0.34</v>
      </c>
    </row>
    <row r="11" spans="1:35" ht="15" thickBot="1" x14ac:dyDescent="0.25">
      <c r="A11" s="143" t="s">
        <v>230</v>
      </c>
      <c r="B11" s="140" t="s">
        <v>93</v>
      </c>
      <c r="C11" s="142">
        <v>8760</v>
      </c>
      <c r="D11" s="142">
        <v>8760</v>
      </c>
      <c r="E11" s="142">
        <v>8760</v>
      </c>
      <c r="F11" s="142">
        <v>8760</v>
      </c>
      <c r="G11" s="142">
        <v>8760</v>
      </c>
      <c r="H11" s="142">
        <v>8760</v>
      </c>
      <c r="I11" s="142">
        <v>8760</v>
      </c>
      <c r="J11" s="142">
        <v>8760</v>
      </c>
      <c r="K11" s="142">
        <v>8760</v>
      </c>
      <c r="M11" s="143" t="s">
        <v>237</v>
      </c>
      <c r="N11" s="140" t="s">
        <v>93</v>
      </c>
      <c r="O11" s="142">
        <v>6282</v>
      </c>
      <c r="P11" s="142">
        <v>2680</v>
      </c>
      <c r="Q11" s="142">
        <v>6487</v>
      </c>
      <c r="R11" s="142">
        <v>6365</v>
      </c>
      <c r="S11" s="142">
        <v>6252</v>
      </c>
      <c r="T11" s="142">
        <v>6226</v>
      </c>
      <c r="U11" s="142">
        <v>6300</v>
      </c>
      <c r="V11" s="142">
        <v>6315</v>
      </c>
      <c r="W11" s="142">
        <v>6286</v>
      </c>
      <c r="Y11" s="143" t="s">
        <v>237</v>
      </c>
      <c r="Z11" s="140" t="s">
        <v>524</v>
      </c>
      <c r="AA11" s="141">
        <v>0.38</v>
      </c>
      <c r="AB11" s="141">
        <v>0.19</v>
      </c>
      <c r="AC11" s="141">
        <v>0.28000000000000003</v>
      </c>
      <c r="AD11" s="141">
        <v>0.37</v>
      </c>
      <c r="AE11" s="141">
        <v>0.42</v>
      </c>
      <c r="AF11" s="141">
        <v>0.5</v>
      </c>
      <c r="AG11" s="141">
        <v>0.49</v>
      </c>
      <c r="AH11" s="141">
        <v>0.39</v>
      </c>
      <c r="AI11" s="141">
        <v>0.45</v>
      </c>
    </row>
    <row r="12" spans="1:35" ht="15" thickBot="1" x14ac:dyDescent="0.25">
      <c r="A12" s="143" t="s">
        <v>232</v>
      </c>
      <c r="B12" s="140" t="s">
        <v>524</v>
      </c>
      <c r="C12" s="141">
        <v>0.48</v>
      </c>
      <c r="D12" s="141">
        <v>0.34</v>
      </c>
      <c r="E12" s="141">
        <v>0.28000000000000003</v>
      </c>
      <c r="F12" s="141">
        <v>0.38</v>
      </c>
      <c r="G12" s="141">
        <v>0.53</v>
      </c>
      <c r="H12" s="141">
        <v>0.56999999999999995</v>
      </c>
      <c r="I12" s="141">
        <v>0.5</v>
      </c>
      <c r="J12" s="141">
        <v>0.43</v>
      </c>
      <c r="K12" s="141">
        <v>0.46</v>
      </c>
      <c r="M12" s="143" t="s">
        <v>236</v>
      </c>
      <c r="N12" s="140" t="s">
        <v>93</v>
      </c>
      <c r="O12" s="142">
        <v>5137</v>
      </c>
      <c r="P12" s="142">
        <v>5188</v>
      </c>
      <c r="Q12" s="142">
        <v>5234</v>
      </c>
      <c r="R12" s="142">
        <v>5158</v>
      </c>
      <c r="S12" s="142">
        <v>5108</v>
      </c>
      <c r="T12" s="142">
        <v>5092</v>
      </c>
      <c r="U12" s="142">
        <v>5146</v>
      </c>
      <c r="V12" s="142">
        <v>5149</v>
      </c>
      <c r="W12" s="142">
        <v>5134</v>
      </c>
      <c r="Y12" s="143" t="s">
        <v>236</v>
      </c>
      <c r="Z12" s="140" t="s">
        <v>524</v>
      </c>
      <c r="AA12" s="141">
        <v>0.5</v>
      </c>
      <c r="AB12" s="141">
        <v>0.4</v>
      </c>
      <c r="AC12" s="141">
        <v>0.36</v>
      </c>
      <c r="AD12" s="141">
        <v>0.44</v>
      </c>
      <c r="AE12" s="141">
        <v>0.53</v>
      </c>
      <c r="AF12" s="141">
        <v>0.56000000000000005</v>
      </c>
      <c r="AG12" s="141">
        <v>0.54</v>
      </c>
      <c r="AH12" s="141">
        <v>0.45</v>
      </c>
      <c r="AI12" s="141">
        <v>0.49</v>
      </c>
    </row>
    <row r="13" spans="1:35" ht="15" thickBot="1" x14ac:dyDescent="0.25">
      <c r="A13" s="143" t="s">
        <v>232</v>
      </c>
      <c r="B13" s="140" t="s">
        <v>93</v>
      </c>
      <c r="C13" s="142">
        <v>3831</v>
      </c>
      <c r="D13" s="142">
        <v>3981</v>
      </c>
      <c r="E13" s="142">
        <v>4080</v>
      </c>
      <c r="F13" s="142">
        <v>3977</v>
      </c>
      <c r="G13" s="142">
        <v>3769</v>
      </c>
      <c r="H13" s="142">
        <v>3838</v>
      </c>
      <c r="I13" s="142">
        <v>3869</v>
      </c>
      <c r="J13" s="142">
        <v>3902</v>
      </c>
      <c r="K13" s="142">
        <v>3829</v>
      </c>
      <c r="M13" s="143" t="s">
        <v>238</v>
      </c>
      <c r="N13" s="140" t="s">
        <v>93</v>
      </c>
      <c r="O13" s="142">
        <v>5037</v>
      </c>
      <c r="P13" s="142">
        <v>5189</v>
      </c>
      <c r="Q13" s="142">
        <v>5259</v>
      </c>
      <c r="R13" s="142">
        <v>5222</v>
      </c>
      <c r="S13" s="142">
        <v>4980</v>
      </c>
      <c r="T13" s="142">
        <v>5168</v>
      </c>
      <c r="U13" s="142">
        <v>5110</v>
      </c>
      <c r="V13" s="142">
        <v>5188</v>
      </c>
      <c r="W13" s="142">
        <v>5028</v>
      </c>
      <c r="Y13" s="143" t="s">
        <v>238</v>
      </c>
      <c r="Z13" s="140" t="s">
        <v>524</v>
      </c>
      <c r="AA13" s="141">
        <v>0.18</v>
      </c>
      <c r="AB13" s="141">
        <v>0.11</v>
      </c>
      <c r="AC13" s="141">
        <v>0.1</v>
      </c>
      <c r="AD13" s="141">
        <v>0.13</v>
      </c>
      <c r="AE13" s="141">
        <v>0.24</v>
      </c>
      <c r="AF13" s="141">
        <v>0.3</v>
      </c>
      <c r="AG13" s="141">
        <v>0.23</v>
      </c>
      <c r="AH13" s="141">
        <v>0.15</v>
      </c>
      <c r="AI13" s="141">
        <v>0.2</v>
      </c>
    </row>
    <row r="14" spans="1:35" ht="15" thickBot="1" x14ac:dyDescent="0.25">
      <c r="A14" s="143" t="s">
        <v>234</v>
      </c>
      <c r="B14" s="140" t="s">
        <v>524</v>
      </c>
      <c r="C14" s="141">
        <v>0.53</v>
      </c>
      <c r="D14" s="141">
        <v>0.38</v>
      </c>
      <c r="E14" s="141">
        <v>0.34</v>
      </c>
      <c r="F14" s="141">
        <v>0.45</v>
      </c>
      <c r="G14" s="141">
        <v>0.6</v>
      </c>
      <c r="H14" s="141">
        <v>0.72</v>
      </c>
      <c r="I14" s="141">
        <v>0.56000000000000005</v>
      </c>
      <c r="J14" s="141">
        <v>0.47</v>
      </c>
      <c r="K14" s="141">
        <v>0.52</v>
      </c>
      <c r="M14" s="143" t="s">
        <v>239</v>
      </c>
      <c r="N14" s="140" t="s">
        <v>93</v>
      </c>
      <c r="O14" s="142">
        <v>4041</v>
      </c>
      <c r="P14" s="142">
        <v>4041</v>
      </c>
      <c r="Q14" s="142">
        <v>4041</v>
      </c>
      <c r="R14" s="142">
        <v>4041</v>
      </c>
      <c r="S14" s="142">
        <v>4041</v>
      </c>
      <c r="T14" s="142">
        <v>4041</v>
      </c>
      <c r="U14" s="142">
        <v>4041</v>
      </c>
      <c r="V14" s="142">
        <v>4041</v>
      </c>
      <c r="W14" s="142">
        <v>4041</v>
      </c>
      <c r="Y14" s="143" t="s">
        <v>239</v>
      </c>
      <c r="Z14" s="140" t="s">
        <v>524</v>
      </c>
      <c r="AA14" s="141">
        <v>0.5</v>
      </c>
      <c r="AB14" s="141">
        <v>0.46</v>
      </c>
      <c r="AC14" s="141">
        <v>0.43</v>
      </c>
      <c r="AD14" s="141">
        <v>0.48</v>
      </c>
      <c r="AE14" s="141">
        <v>0.52</v>
      </c>
      <c r="AF14" s="141">
        <v>0.53</v>
      </c>
      <c r="AG14" s="141">
        <v>0.51</v>
      </c>
      <c r="AH14" s="141">
        <v>0.48</v>
      </c>
      <c r="AI14" s="141">
        <v>0.51</v>
      </c>
    </row>
    <row r="15" spans="1:35" ht="15" thickBot="1" x14ac:dyDescent="0.25">
      <c r="A15" s="143" t="s">
        <v>234</v>
      </c>
      <c r="B15" s="140" t="s">
        <v>93</v>
      </c>
      <c r="C15" s="142">
        <v>5188</v>
      </c>
      <c r="D15" s="142">
        <v>5223</v>
      </c>
      <c r="E15" s="142">
        <v>5248</v>
      </c>
      <c r="F15" s="142">
        <v>5217</v>
      </c>
      <c r="G15" s="142">
        <v>5172</v>
      </c>
      <c r="H15" s="142">
        <v>5186</v>
      </c>
      <c r="I15" s="142">
        <v>5201</v>
      </c>
      <c r="J15" s="142">
        <v>5207</v>
      </c>
      <c r="K15" s="142">
        <v>5184</v>
      </c>
    </row>
    <row r="16" spans="1:35" ht="15" thickBot="1" x14ac:dyDescent="0.25">
      <c r="A16" s="143" t="s">
        <v>233</v>
      </c>
      <c r="B16" s="140" t="s">
        <v>524</v>
      </c>
      <c r="C16" s="141">
        <v>0.64</v>
      </c>
      <c r="D16" s="141">
        <v>0.64</v>
      </c>
      <c r="E16" s="141">
        <v>0.6</v>
      </c>
      <c r="F16" s="141">
        <v>0.65</v>
      </c>
      <c r="G16" s="141">
        <v>0.71</v>
      </c>
      <c r="H16" s="141">
        <v>0.71</v>
      </c>
      <c r="I16" s="141">
        <v>0.73</v>
      </c>
      <c r="J16" s="141">
        <v>0.65</v>
      </c>
      <c r="K16" s="141">
        <v>0.71</v>
      </c>
    </row>
    <row r="17" spans="1:11" ht="15" thickBot="1" x14ac:dyDescent="0.25">
      <c r="A17" s="143" t="s">
        <v>233</v>
      </c>
      <c r="B17" s="140" t="s">
        <v>93</v>
      </c>
      <c r="C17" s="142">
        <v>8760</v>
      </c>
      <c r="D17" s="142">
        <v>8760</v>
      </c>
      <c r="E17" s="142">
        <v>8760</v>
      </c>
      <c r="F17" s="142">
        <v>8760</v>
      </c>
      <c r="G17" s="142">
        <v>8760</v>
      </c>
      <c r="H17" s="142">
        <v>8760</v>
      </c>
      <c r="I17" s="142">
        <v>8760</v>
      </c>
      <c r="J17" s="142">
        <v>8760</v>
      </c>
      <c r="K17" s="142">
        <v>8760</v>
      </c>
    </row>
    <row r="18" spans="1:11" ht="15" thickBot="1" x14ac:dyDescent="0.25">
      <c r="A18" s="143" t="s">
        <v>111</v>
      </c>
      <c r="B18" s="140" t="s">
        <v>524</v>
      </c>
      <c r="C18" s="141">
        <v>0.3</v>
      </c>
      <c r="D18" s="141">
        <v>0.26</v>
      </c>
      <c r="E18" s="141">
        <v>0.21</v>
      </c>
      <c r="F18" s="141">
        <v>0.28000000000000003</v>
      </c>
      <c r="G18" s="141">
        <v>0.37</v>
      </c>
      <c r="H18" s="141">
        <v>0.39</v>
      </c>
      <c r="I18" s="141">
        <v>0.35</v>
      </c>
      <c r="J18" s="141">
        <v>0.32</v>
      </c>
      <c r="K18" s="141">
        <v>0.34</v>
      </c>
    </row>
    <row r="19" spans="1:11" ht="15" thickBot="1" x14ac:dyDescent="0.25">
      <c r="A19" s="143" t="s">
        <v>111</v>
      </c>
      <c r="B19" s="140" t="s">
        <v>93</v>
      </c>
      <c r="C19" s="142">
        <v>4195</v>
      </c>
      <c r="D19" s="142">
        <v>4473</v>
      </c>
      <c r="E19" s="142">
        <v>4699</v>
      </c>
      <c r="F19" s="142">
        <v>4441</v>
      </c>
      <c r="G19" s="142">
        <v>4087</v>
      </c>
      <c r="H19" s="142">
        <v>4063</v>
      </c>
      <c r="I19" s="142">
        <v>4240</v>
      </c>
      <c r="J19" s="142">
        <v>4228</v>
      </c>
      <c r="K19" s="142">
        <v>4139</v>
      </c>
    </row>
    <row r="20" spans="1:11" ht="15" thickBot="1" x14ac:dyDescent="0.25">
      <c r="A20" s="143" t="s">
        <v>237</v>
      </c>
      <c r="B20" s="140" t="s">
        <v>524</v>
      </c>
      <c r="C20" s="141">
        <v>0.38</v>
      </c>
      <c r="D20" s="141">
        <v>0.19</v>
      </c>
      <c r="E20" s="141">
        <v>0.28000000000000003</v>
      </c>
      <c r="F20" s="141">
        <v>0.37</v>
      </c>
      <c r="G20" s="141">
        <v>0.42</v>
      </c>
      <c r="H20" s="141">
        <v>0.5</v>
      </c>
      <c r="I20" s="141">
        <v>0.49</v>
      </c>
      <c r="J20" s="141">
        <v>0.39</v>
      </c>
      <c r="K20" s="141">
        <v>0.45</v>
      </c>
    </row>
    <row r="21" spans="1:11" ht="15" thickBot="1" x14ac:dyDescent="0.25">
      <c r="A21" s="143" t="s">
        <v>237</v>
      </c>
      <c r="B21" s="140" t="s">
        <v>93</v>
      </c>
      <c r="C21" s="142">
        <v>6282</v>
      </c>
      <c r="D21" s="142">
        <v>2680</v>
      </c>
      <c r="E21" s="142">
        <v>6487</v>
      </c>
      <c r="F21" s="142">
        <v>6365</v>
      </c>
      <c r="G21" s="142">
        <v>6252</v>
      </c>
      <c r="H21" s="142">
        <v>6226</v>
      </c>
      <c r="I21" s="142">
        <v>6300</v>
      </c>
      <c r="J21" s="142">
        <v>6315</v>
      </c>
      <c r="K21" s="142">
        <v>6286</v>
      </c>
    </row>
    <row r="22" spans="1:11" ht="15" thickBot="1" x14ac:dyDescent="0.25">
      <c r="A22" s="143" t="s">
        <v>236</v>
      </c>
      <c r="B22" s="140" t="s">
        <v>524</v>
      </c>
      <c r="C22" s="141">
        <v>0.5</v>
      </c>
      <c r="D22" s="141">
        <v>0.4</v>
      </c>
      <c r="E22" s="141">
        <v>0.36</v>
      </c>
      <c r="F22" s="141">
        <v>0.44</v>
      </c>
      <c r="G22" s="141">
        <v>0.53</v>
      </c>
      <c r="H22" s="141">
        <v>0.56000000000000005</v>
      </c>
      <c r="I22" s="141">
        <v>0.54</v>
      </c>
      <c r="J22" s="141">
        <v>0.45</v>
      </c>
      <c r="K22" s="141">
        <v>0.49</v>
      </c>
    </row>
    <row r="23" spans="1:11" ht="15" thickBot="1" x14ac:dyDescent="0.25">
      <c r="A23" s="143" t="s">
        <v>236</v>
      </c>
      <c r="B23" s="140" t="s">
        <v>93</v>
      </c>
      <c r="C23" s="142">
        <v>5137</v>
      </c>
      <c r="D23" s="142">
        <v>5188</v>
      </c>
      <c r="E23" s="142">
        <v>5234</v>
      </c>
      <c r="F23" s="142">
        <v>5158</v>
      </c>
      <c r="G23" s="142">
        <v>5108</v>
      </c>
      <c r="H23" s="142">
        <v>5092</v>
      </c>
      <c r="I23" s="142">
        <v>5146</v>
      </c>
      <c r="J23" s="142">
        <v>5149</v>
      </c>
      <c r="K23" s="142">
        <v>5134</v>
      </c>
    </row>
    <row r="24" spans="1:11" ht="15" thickBot="1" x14ac:dyDescent="0.25">
      <c r="A24" s="143" t="s">
        <v>238</v>
      </c>
      <c r="B24" s="140" t="s">
        <v>524</v>
      </c>
      <c r="C24" s="141">
        <v>0.18</v>
      </c>
      <c r="D24" s="141">
        <v>0.11</v>
      </c>
      <c r="E24" s="141">
        <v>0.1</v>
      </c>
      <c r="F24" s="141">
        <v>0.13</v>
      </c>
      <c r="G24" s="141">
        <v>0.24</v>
      </c>
      <c r="H24" s="141">
        <v>0.3</v>
      </c>
      <c r="I24" s="141">
        <v>0.23</v>
      </c>
      <c r="J24" s="141">
        <v>0.15</v>
      </c>
      <c r="K24" s="141">
        <v>0.2</v>
      </c>
    </row>
    <row r="25" spans="1:11" ht="15" thickBot="1" x14ac:dyDescent="0.25">
      <c r="A25" s="143" t="s">
        <v>238</v>
      </c>
      <c r="B25" s="140" t="s">
        <v>93</v>
      </c>
      <c r="C25" s="142">
        <v>5037</v>
      </c>
      <c r="D25" s="142">
        <v>5189</v>
      </c>
      <c r="E25" s="142">
        <v>5259</v>
      </c>
      <c r="F25" s="142">
        <v>5222</v>
      </c>
      <c r="G25" s="142">
        <v>4980</v>
      </c>
      <c r="H25" s="142">
        <v>5168</v>
      </c>
      <c r="I25" s="142">
        <v>5110</v>
      </c>
      <c r="J25" s="142">
        <v>5188</v>
      </c>
      <c r="K25" s="142">
        <v>5028</v>
      </c>
    </row>
    <row r="26" spans="1:11" ht="15" thickBot="1" x14ac:dyDescent="0.25">
      <c r="A26" s="143" t="s">
        <v>239</v>
      </c>
      <c r="B26" s="140" t="s">
        <v>524</v>
      </c>
      <c r="C26" s="141">
        <v>0.5</v>
      </c>
      <c r="D26" s="141">
        <v>0.46</v>
      </c>
      <c r="E26" s="141">
        <v>0.43</v>
      </c>
      <c r="F26" s="141">
        <v>0.48</v>
      </c>
      <c r="G26" s="141">
        <v>0.52</v>
      </c>
      <c r="H26" s="141">
        <v>0.53</v>
      </c>
      <c r="I26" s="141">
        <v>0.51</v>
      </c>
      <c r="J26" s="141">
        <v>0.48</v>
      </c>
      <c r="K26" s="141">
        <v>0.51</v>
      </c>
    </row>
    <row r="27" spans="1:11" ht="15" thickBot="1" x14ac:dyDescent="0.25">
      <c r="A27" s="143" t="s">
        <v>239</v>
      </c>
      <c r="B27" s="140" t="s">
        <v>93</v>
      </c>
      <c r="C27" s="142">
        <v>4041</v>
      </c>
      <c r="D27" s="142">
        <v>4041</v>
      </c>
      <c r="E27" s="142">
        <v>4041</v>
      </c>
      <c r="F27" s="142">
        <v>4041</v>
      </c>
      <c r="G27" s="142">
        <v>4041</v>
      </c>
      <c r="H27" s="142">
        <v>4041</v>
      </c>
      <c r="I27" s="142">
        <v>4041</v>
      </c>
      <c r="J27" s="142">
        <v>4041</v>
      </c>
      <c r="K27" s="142">
        <v>4041</v>
      </c>
    </row>
  </sheetData>
  <autoFilter ref="A1:K27" xr:uid="{9CFE1B41-C17D-40EA-ACA2-CF1C3830CAA3}"/>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3864F-F81A-46BC-85DA-94230C2CFA61}">
  <sheetPr codeName="Sheet14"/>
  <dimension ref="A1:AI17"/>
  <sheetViews>
    <sheetView topLeftCell="I1" workbookViewId="0">
      <selection activeCell="P26" sqref="P26"/>
    </sheetView>
  </sheetViews>
  <sheetFormatPr defaultRowHeight="14.25" x14ac:dyDescent="0.2"/>
  <sheetData>
    <row r="1" spans="1:35" ht="27.75" thickBot="1" x14ac:dyDescent="0.25">
      <c r="A1" s="138" t="s">
        <v>523</v>
      </c>
      <c r="B1" s="139" t="s">
        <v>274</v>
      </c>
      <c r="C1" s="139" t="s">
        <v>18</v>
      </c>
      <c r="D1" s="139" t="s">
        <v>20</v>
      </c>
      <c r="E1" s="139" t="s">
        <v>10</v>
      </c>
      <c r="F1" s="139" t="s">
        <v>8</v>
      </c>
      <c r="G1" s="139" t="s">
        <v>6</v>
      </c>
      <c r="H1" s="139" t="s">
        <v>16</v>
      </c>
      <c r="I1" s="139" t="s">
        <v>4</v>
      </c>
      <c r="J1" s="139" t="s">
        <v>14</v>
      </c>
      <c r="K1" s="139" t="s">
        <v>12</v>
      </c>
      <c r="M1" s="138" t="s">
        <v>523</v>
      </c>
      <c r="N1" s="139" t="s">
        <v>274</v>
      </c>
      <c r="O1" s="139" t="s">
        <v>18</v>
      </c>
      <c r="P1" s="139" t="s">
        <v>20</v>
      </c>
      <c r="Q1" s="139" t="s">
        <v>10</v>
      </c>
      <c r="R1" s="139" t="s">
        <v>8</v>
      </c>
      <c r="S1" s="139" t="s">
        <v>6</v>
      </c>
      <c r="T1" s="139" t="s">
        <v>16</v>
      </c>
      <c r="U1" s="139" t="s">
        <v>4</v>
      </c>
      <c r="V1" s="139" t="s">
        <v>14</v>
      </c>
      <c r="W1" s="139" t="s">
        <v>12</v>
      </c>
      <c r="Y1" s="138" t="s">
        <v>523</v>
      </c>
      <c r="Z1" s="139" t="s">
        <v>274</v>
      </c>
      <c r="AA1" s="139" t="s">
        <v>18</v>
      </c>
      <c r="AB1" s="139" t="s">
        <v>20</v>
      </c>
      <c r="AC1" s="139" t="s">
        <v>10</v>
      </c>
      <c r="AD1" s="139" t="s">
        <v>8</v>
      </c>
      <c r="AE1" s="139" t="s">
        <v>6</v>
      </c>
      <c r="AF1" s="139" t="s">
        <v>16</v>
      </c>
      <c r="AG1" s="139" t="s">
        <v>4</v>
      </c>
      <c r="AH1" s="139" t="s">
        <v>14</v>
      </c>
      <c r="AI1" s="139" t="s">
        <v>12</v>
      </c>
    </row>
    <row r="2" spans="1:35" ht="15" thickBot="1" x14ac:dyDescent="0.25">
      <c r="A2" s="143" t="s">
        <v>525</v>
      </c>
      <c r="B2" s="140" t="s">
        <v>524</v>
      </c>
      <c r="C2" s="141">
        <v>0.41</v>
      </c>
      <c r="D2" s="141">
        <v>0.27</v>
      </c>
      <c r="E2" s="141">
        <v>0.23</v>
      </c>
      <c r="F2" s="141">
        <v>0.3</v>
      </c>
      <c r="G2" s="141">
        <v>0.42</v>
      </c>
      <c r="H2" s="141">
        <v>0.45</v>
      </c>
      <c r="I2" s="141">
        <v>0.4</v>
      </c>
      <c r="J2" s="141">
        <v>0.33</v>
      </c>
      <c r="K2" s="141">
        <v>0.4</v>
      </c>
      <c r="M2" s="143" t="s">
        <v>219</v>
      </c>
      <c r="N2" s="140" t="s">
        <v>93</v>
      </c>
      <c r="O2" s="142">
        <v>4007</v>
      </c>
      <c r="P2" s="142">
        <v>3436</v>
      </c>
      <c r="Q2" s="142">
        <v>3096</v>
      </c>
      <c r="R2" s="142">
        <v>3641</v>
      </c>
      <c r="S2" s="142">
        <v>4057</v>
      </c>
      <c r="T2" s="142">
        <v>4311</v>
      </c>
      <c r="U2" s="142">
        <v>3916</v>
      </c>
      <c r="V2" s="142">
        <v>3828</v>
      </c>
      <c r="W2" s="142">
        <v>3872</v>
      </c>
      <c r="Y2" s="143" t="s">
        <v>219</v>
      </c>
      <c r="Z2" s="140" t="s">
        <v>524</v>
      </c>
      <c r="AA2" s="141">
        <v>0.41</v>
      </c>
      <c r="AB2" s="141">
        <v>0.27</v>
      </c>
      <c r="AC2" s="141">
        <v>0.23</v>
      </c>
      <c r="AD2" s="141">
        <v>0.3</v>
      </c>
      <c r="AE2" s="141">
        <v>0.42</v>
      </c>
      <c r="AF2" s="141">
        <v>0.45</v>
      </c>
      <c r="AG2" s="141">
        <v>0.4</v>
      </c>
      <c r="AH2" s="141">
        <v>0.33</v>
      </c>
      <c r="AI2" s="141">
        <v>0.4</v>
      </c>
    </row>
    <row r="3" spans="1:35" ht="15" thickBot="1" x14ac:dyDescent="0.25">
      <c r="A3" s="143" t="s">
        <v>525</v>
      </c>
      <c r="B3" s="140" t="s">
        <v>93</v>
      </c>
      <c r="C3" s="142">
        <v>4007</v>
      </c>
      <c r="D3" s="142">
        <v>3436</v>
      </c>
      <c r="E3" s="142">
        <v>3096</v>
      </c>
      <c r="F3" s="142">
        <v>3641</v>
      </c>
      <c r="G3" s="142">
        <v>4057</v>
      </c>
      <c r="H3" s="142">
        <v>4311</v>
      </c>
      <c r="I3" s="142">
        <v>3916</v>
      </c>
      <c r="J3" s="142">
        <v>3828</v>
      </c>
      <c r="K3" s="142">
        <v>3872</v>
      </c>
      <c r="M3" s="143" t="s">
        <v>224</v>
      </c>
      <c r="N3" s="140" t="s">
        <v>93</v>
      </c>
      <c r="O3" s="142">
        <v>2721</v>
      </c>
      <c r="P3" s="142">
        <v>1849</v>
      </c>
      <c r="Q3" s="142">
        <v>1631</v>
      </c>
      <c r="R3" s="142">
        <v>2175</v>
      </c>
      <c r="S3" s="142">
        <v>2730</v>
      </c>
      <c r="T3" s="142">
        <v>3505</v>
      </c>
      <c r="U3" s="142">
        <v>2676</v>
      </c>
      <c r="V3" s="142">
        <v>2310</v>
      </c>
      <c r="W3" s="142">
        <v>2573</v>
      </c>
      <c r="Y3" s="143" t="s">
        <v>224</v>
      </c>
      <c r="Z3" s="140" t="s">
        <v>524</v>
      </c>
      <c r="AA3" s="141">
        <v>0.1</v>
      </c>
      <c r="AB3" s="141">
        <v>0.08</v>
      </c>
      <c r="AC3" s="141">
        <v>7.0000000000000007E-2</v>
      </c>
      <c r="AD3" s="141">
        <v>0.09</v>
      </c>
      <c r="AE3" s="141">
        <v>0.18</v>
      </c>
      <c r="AF3" s="141">
        <v>0.18</v>
      </c>
      <c r="AG3" s="141">
        <v>0.17</v>
      </c>
      <c r="AH3" s="141">
        <v>0.12</v>
      </c>
      <c r="AI3" s="141">
        <v>0.16</v>
      </c>
    </row>
    <row r="4" spans="1:35" ht="15" thickBot="1" x14ac:dyDescent="0.25">
      <c r="A4" s="143" t="s">
        <v>224</v>
      </c>
      <c r="B4" s="140" t="s">
        <v>524</v>
      </c>
      <c r="C4" s="141">
        <v>0.1</v>
      </c>
      <c r="D4" s="141">
        <v>0.08</v>
      </c>
      <c r="E4" s="141">
        <v>7.0000000000000007E-2</v>
      </c>
      <c r="F4" s="141">
        <v>0.09</v>
      </c>
      <c r="G4" s="141">
        <v>0.18</v>
      </c>
      <c r="H4" s="141">
        <v>0.18</v>
      </c>
      <c r="I4" s="141">
        <v>0.17</v>
      </c>
      <c r="J4" s="141">
        <v>0.12</v>
      </c>
      <c r="K4" s="141">
        <v>0.16</v>
      </c>
      <c r="M4" s="143" t="s">
        <v>228</v>
      </c>
      <c r="N4" s="140" t="s">
        <v>93</v>
      </c>
      <c r="O4" s="142">
        <v>5588</v>
      </c>
      <c r="P4" s="142">
        <v>4801</v>
      </c>
      <c r="Q4" s="142">
        <v>4167</v>
      </c>
      <c r="R4" s="142">
        <v>5109</v>
      </c>
      <c r="S4" s="142">
        <v>5717</v>
      </c>
      <c r="T4" s="142">
        <v>6086</v>
      </c>
      <c r="U4" s="142">
        <v>5593</v>
      </c>
      <c r="V4" s="142">
        <v>5266</v>
      </c>
      <c r="W4" s="142">
        <v>5628</v>
      </c>
      <c r="Y4" s="143" t="s">
        <v>228</v>
      </c>
      <c r="Z4" s="140" t="s">
        <v>524</v>
      </c>
      <c r="AA4" s="141">
        <v>0.46</v>
      </c>
      <c r="AB4" s="141">
        <v>0.38</v>
      </c>
      <c r="AC4" s="141">
        <v>0.31</v>
      </c>
      <c r="AD4" s="141">
        <v>0.42</v>
      </c>
      <c r="AE4" s="141">
        <v>0.5</v>
      </c>
      <c r="AF4" s="141">
        <v>0.54</v>
      </c>
      <c r="AG4" s="141">
        <v>0.48</v>
      </c>
      <c r="AH4" s="141">
        <v>0.44</v>
      </c>
      <c r="AI4" s="141">
        <v>0.47</v>
      </c>
    </row>
    <row r="5" spans="1:35" ht="15" thickBot="1" x14ac:dyDescent="0.25">
      <c r="A5" s="143" t="s">
        <v>224</v>
      </c>
      <c r="B5" s="140" t="s">
        <v>93</v>
      </c>
      <c r="C5" s="142">
        <v>2721</v>
      </c>
      <c r="D5" s="142">
        <v>1849</v>
      </c>
      <c r="E5" s="142">
        <v>1631</v>
      </c>
      <c r="F5" s="142">
        <v>2175</v>
      </c>
      <c r="G5" s="142">
        <v>2730</v>
      </c>
      <c r="H5" s="142">
        <v>3505</v>
      </c>
      <c r="I5" s="142">
        <v>2676</v>
      </c>
      <c r="J5" s="142">
        <v>2310</v>
      </c>
      <c r="K5" s="142">
        <v>2573</v>
      </c>
      <c r="M5" s="143" t="s">
        <v>230</v>
      </c>
      <c r="N5" s="140" t="s">
        <v>93</v>
      </c>
      <c r="O5" s="142">
        <v>3892</v>
      </c>
      <c r="P5" s="142">
        <v>3093</v>
      </c>
      <c r="Q5" s="142">
        <v>2592</v>
      </c>
      <c r="R5" s="142">
        <v>3456</v>
      </c>
      <c r="S5" s="142">
        <v>4104</v>
      </c>
      <c r="T5" s="142">
        <v>4535</v>
      </c>
      <c r="U5" s="142">
        <v>3900</v>
      </c>
      <c r="V5" s="142">
        <v>3710</v>
      </c>
      <c r="W5" s="142">
        <v>3818</v>
      </c>
      <c r="Y5" s="143" t="s">
        <v>230</v>
      </c>
      <c r="Z5" s="140" t="s">
        <v>524</v>
      </c>
      <c r="AA5" s="141">
        <v>0.24</v>
      </c>
      <c r="AB5" s="141">
        <v>0.2</v>
      </c>
      <c r="AC5" s="141">
        <v>0.16</v>
      </c>
      <c r="AD5" s="141">
        <v>0.22</v>
      </c>
      <c r="AE5" s="141">
        <v>0.28000000000000003</v>
      </c>
      <c r="AF5" s="141">
        <v>0.3</v>
      </c>
      <c r="AG5" s="141">
        <v>0.28000000000000003</v>
      </c>
      <c r="AH5" s="141">
        <v>0.23</v>
      </c>
      <c r="AI5" s="141">
        <v>0.26</v>
      </c>
    </row>
    <row r="6" spans="1:35" ht="15" thickBot="1" x14ac:dyDescent="0.25">
      <c r="A6" s="143" t="s">
        <v>228</v>
      </c>
      <c r="B6" s="140" t="s">
        <v>524</v>
      </c>
      <c r="C6" s="141">
        <v>0.46</v>
      </c>
      <c r="D6" s="141">
        <v>0.38</v>
      </c>
      <c r="E6" s="141">
        <v>0.31</v>
      </c>
      <c r="F6" s="141">
        <v>0.42</v>
      </c>
      <c r="G6" s="141">
        <v>0.5</v>
      </c>
      <c r="H6" s="141">
        <v>0.54</v>
      </c>
      <c r="I6" s="141">
        <v>0.48</v>
      </c>
      <c r="J6" s="141">
        <v>0.44</v>
      </c>
      <c r="K6" s="141">
        <v>0.47</v>
      </c>
      <c r="M6" s="143" t="s">
        <v>232</v>
      </c>
      <c r="N6" s="140" t="s">
        <v>93</v>
      </c>
      <c r="O6" s="142">
        <v>1735</v>
      </c>
      <c r="P6" s="142">
        <v>1306</v>
      </c>
      <c r="Q6" s="142">
        <v>1086</v>
      </c>
      <c r="R6" s="142">
        <v>1448</v>
      </c>
      <c r="S6" s="142">
        <v>1742</v>
      </c>
      <c r="T6" s="142">
        <v>1891</v>
      </c>
      <c r="U6" s="142">
        <v>1606</v>
      </c>
      <c r="V6" s="142">
        <v>1558</v>
      </c>
      <c r="W6" s="142">
        <v>1633</v>
      </c>
      <c r="Y6" s="143" t="s">
        <v>232</v>
      </c>
      <c r="Z6" s="140" t="s">
        <v>524</v>
      </c>
      <c r="AA6" s="141">
        <v>0.53</v>
      </c>
      <c r="AB6" s="141">
        <v>0.4</v>
      </c>
      <c r="AC6" s="141">
        <v>0.32</v>
      </c>
      <c r="AD6" s="141">
        <v>0.43</v>
      </c>
      <c r="AE6" s="141">
        <v>0.53</v>
      </c>
      <c r="AF6" s="141">
        <v>0.57999999999999996</v>
      </c>
      <c r="AG6" s="141">
        <v>0.54</v>
      </c>
      <c r="AH6" s="141">
        <v>0.48</v>
      </c>
      <c r="AI6" s="141">
        <v>0.5</v>
      </c>
    </row>
    <row r="7" spans="1:35" ht="15" thickBot="1" x14ac:dyDescent="0.25">
      <c r="A7" s="143" t="s">
        <v>228</v>
      </c>
      <c r="B7" s="140" t="s">
        <v>93</v>
      </c>
      <c r="C7" s="142">
        <v>5588</v>
      </c>
      <c r="D7" s="142">
        <v>4801</v>
      </c>
      <c r="E7" s="142">
        <v>4167</v>
      </c>
      <c r="F7" s="142">
        <v>5109</v>
      </c>
      <c r="G7" s="142">
        <v>5717</v>
      </c>
      <c r="H7" s="142">
        <v>6086</v>
      </c>
      <c r="I7" s="142">
        <v>5593</v>
      </c>
      <c r="J7" s="142">
        <v>5266</v>
      </c>
      <c r="K7" s="142">
        <v>5628</v>
      </c>
      <c r="M7" s="143" t="s">
        <v>233</v>
      </c>
      <c r="N7" s="140" t="s">
        <v>93</v>
      </c>
      <c r="O7" s="142">
        <v>5845</v>
      </c>
      <c r="P7" s="142">
        <v>5042</v>
      </c>
      <c r="Q7" s="142">
        <v>4444</v>
      </c>
      <c r="R7" s="142">
        <v>5198</v>
      </c>
      <c r="S7" s="142">
        <v>6045</v>
      </c>
      <c r="T7" s="142">
        <v>6161</v>
      </c>
      <c r="U7" s="142">
        <v>5686</v>
      </c>
      <c r="V7" s="142">
        <v>5655</v>
      </c>
      <c r="W7" s="142">
        <v>5776</v>
      </c>
      <c r="Y7" s="143" t="s">
        <v>233</v>
      </c>
      <c r="Z7" s="140" t="s">
        <v>524</v>
      </c>
      <c r="AA7" s="141">
        <v>0.61</v>
      </c>
      <c r="AB7" s="141">
        <v>0.57999999999999996</v>
      </c>
      <c r="AC7" s="141">
        <v>0.53</v>
      </c>
      <c r="AD7" s="141">
        <v>0.6</v>
      </c>
      <c r="AE7" s="141">
        <v>0.66</v>
      </c>
      <c r="AF7" s="141">
        <v>0.67</v>
      </c>
      <c r="AG7" s="141">
        <v>0.69</v>
      </c>
      <c r="AH7" s="141">
        <v>0.59</v>
      </c>
      <c r="AI7" s="141">
        <v>0.66</v>
      </c>
    </row>
    <row r="8" spans="1:35" ht="15" thickBot="1" x14ac:dyDescent="0.25">
      <c r="A8" s="143" t="s">
        <v>230</v>
      </c>
      <c r="B8" s="140" t="s">
        <v>524</v>
      </c>
      <c r="C8" s="141">
        <v>0.24</v>
      </c>
      <c r="D8" s="141">
        <v>0.2</v>
      </c>
      <c r="E8" s="141">
        <v>0.16</v>
      </c>
      <c r="F8" s="141">
        <v>0.22</v>
      </c>
      <c r="G8" s="141">
        <v>0.28000000000000003</v>
      </c>
      <c r="H8" s="141">
        <v>0.3</v>
      </c>
      <c r="I8" s="141">
        <v>0.28000000000000003</v>
      </c>
      <c r="J8" s="141">
        <v>0.23</v>
      </c>
      <c r="K8" s="141">
        <v>0.26</v>
      </c>
      <c r="M8" s="143" t="s">
        <v>111</v>
      </c>
      <c r="N8" s="140" t="s">
        <v>93</v>
      </c>
      <c r="O8" s="142">
        <v>1789</v>
      </c>
      <c r="P8" s="142">
        <v>1402</v>
      </c>
      <c r="Q8" s="142">
        <v>1189</v>
      </c>
      <c r="R8" s="142">
        <v>1585</v>
      </c>
      <c r="S8" s="142">
        <v>1804</v>
      </c>
      <c r="T8" s="142">
        <v>2036</v>
      </c>
      <c r="U8" s="142">
        <v>1739</v>
      </c>
      <c r="V8" s="142">
        <v>1638</v>
      </c>
      <c r="W8" s="142">
        <v>1711</v>
      </c>
      <c r="Y8" s="143" t="s">
        <v>111</v>
      </c>
      <c r="Z8" s="140" t="s">
        <v>524</v>
      </c>
      <c r="AA8" s="141">
        <v>0.28999999999999998</v>
      </c>
      <c r="AB8" s="141">
        <v>0.25</v>
      </c>
      <c r="AC8" s="141">
        <v>0.2</v>
      </c>
      <c r="AD8" s="141">
        <v>0.27</v>
      </c>
      <c r="AE8" s="141">
        <v>0.35</v>
      </c>
      <c r="AF8" s="141">
        <v>0.36</v>
      </c>
      <c r="AG8" s="141">
        <v>0.33</v>
      </c>
      <c r="AH8" s="141">
        <v>0.28999999999999998</v>
      </c>
      <c r="AI8" s="141">
        <v>0.32</v>
      </c>
    </row>
    <row r="9" spans="1:35" ht="15" thickBot="1" x14ac:dyDescent="0.25">
      <c r="A9" s="143" t="s">
        <v>230</v>
      </c>
      <c r="B9" s="140" t="s">
        <v>93</v>
      </c>
      <c r="C9" s="142">
        <v>3892</v>
      </c>
      <c r="D9" s="142">
        <v>3093</v>
      </c>
      <c r="E9" s="142">
        <v>2592</v>
      </c>
      <c r="F9" s="142">
        <v>3456</v>
      </c>
      <c r="G9" s="142">
        <v>4104</v>
      </c>
      <c r="H9" s="142">
        <v>4535</v>
      </c>
      <c r="I9" s="142">
        <v>3900</v>
      </c>
      <c r="J9" s="142">
        <v>3710</v>
      </c>
      <c r="K9" s="142">
        <v>3818</v>
      </c>
      <c r="M9" s="143" t="s">
        <v>236</v>
      </c>
      <c r="N9" s="140" t="s">
        <v>93</v>
      </c>
      <c r="O9" s="142">
        <v>2957</v>
      </c>
      <c r="P9" s="142">
        <v>2416</v>
      </c>
      <c r="Q9" s="142">
        <v>2012</v>
      </c>
      <c r="R9" s="142">
        <v>2653</v>
      </c>
      <c r="S9" s="142">
        <v>3085</v>
      </c>
      <c r="T9" s="142">
        <v>3225</v>
      </c>
      <c r="U9" s="142">
        <v>2795</v>
      </c>
      <c r="V9" s="142">
        <v>2735</v>
      </c>
      <c r="W9" s="142">
        <v>2898</v>
      </c>
      <c r="Y9" s="143" t="s">
        <v>236</v>
      </c>
      <c r="Z9" s="140" t="s">
        <v>524</v>
      </c>
      <c r="AA9" s="141">
        <v>0.46</v>
      </c>
      <c r="AB9" s="141">
        <v>0.33</v>
      </c>
      <c r="AC9" s="141">
        <v>0.28000000000000003</v>
      </c>
      <c r="AD9" s="141">
        <v>0.38</v>
      </c>
      <c r="AE9" s="141">
        <v>0.53</v>
      </c>
      <c r="AF9" s="141">
        <v>0.54</v>
      </c>
      <c r="AG9" s="141">
        <v>0.47</v>
      </c>
      <c r="AH9" s="141">
        <v>0.42</v>
      </c>
      <c r="AI9" s="141">
        <v>0.47</v>
      </c>
    </row>
    <row r="10" spans="1:35" ht="15" thickBot="1" x14ac:dyDescent="0.25">
      <c r="A10" s="143" t="s">
        <v>232</v>
      </c>
      <c r="B10" s="140" t="s">
        <v>524</v>
      </c>
      <c r="C10" s="141">
        <v>0.53</v>
      </c>
      <c r="D10" s="141">
        <v>0.4</v>
      </c>
      <c r="E10" s="141">
        <v>0.32</v>
      </c>
      <c r="F10" s="141">
        <v>0.43</v>
      </c>
      <c r="G10" s="141">
        <v>0.53</v>
      </c>
      <c r="H10" s="141">
        <v>0.57999999999999996</v>
      </c>
      <c r="I10" s="141">
        <v>0.54</v>
      </c>
      <c r="J10" s="141">
        <v>0.48</v>
      </c>
      <c r="K10" s="141">
        <v>0.5</v>
      </c>
    </row>
    <row r="11" spans="1:35" ht="15" thickBot="1" x14ac:dyDescent="0.25">
      <c r="A11" s="143" t="s">
        <v>232</v>
      </c>
      <c r="B11" s="140" t="s">
        <v>93</v>
      </c>
      <c r="C11" s="142">
        <v>1735</v>
      </c>
      <c r="D11" s="142">
        <v>1306</v>
      </c>
      <c r="E11" s="142">
        <v>1086</v>
      </c>
      <c r="F11" s="142">
        <v>1448</v>
      </c>
      <c r="G11" s="142">
        <v>1742</v>
      </c>
      <c r="H11" s="142">
        <v>1891</v>
      </c>
      <c r="I11" s="142">
        <v>1606</v>
      </c>
      <c r="J11" s="142">
        <v>1558</v>
      </c>
      <c r="K11" s="142">
        <v>1633</v>
      </c>
    </row>
    <row r="12" spans="1:35" ht="15" thickBot="1" x14ac:dyDescent="0.25">
      <c r="A12" s="143" t="s">
        <v>233</v>
      </c>
      <c r="B12" s="140" t="s">
        <v>524</v>
      </c>
      <c r="C12" s="141">
        <v>0.61</v>
      </c>
      <c r="D12" s="141">
        <v>0.57999999999999996</v>
      </c>
      <c r="E12" s="141">
        <v>0.53</v>
      </c>
      <c r="F12" s="141">
        <v>0.6</v>
      </c>
      <c r="G12" s="141">
        <v>0.66</v>
      </c>
      <c r="H12" s="141">
        <v>0.67</v>
      </c>
      <c r="I12" s="141">
        <v>0.69</v>
      </c>
      <c r="J12" s="141">
        <v>0.59</v>
      </c>
      <c r="K12" s="141">
        <v>0.66</v>
      </c>
    </row>
    <row r="13" spans="1:35" ht="15" thickBot="1" x14ac:dyDescent="0.25">
      <c r="A13" s="143" t="s">
        <v>233</v>
      </c>
      <c r="B13" s="140" t="s">
        <v>93</v>
      </c>
      <c r="C13" s="142">
        <v>5845</v>
      </c>
      <c r="D13" s="142">
        <v>5042</v>
      </c>
      <c r="E13" s="142">
        <v>4444</v>
      </c>
      <c r="F13" s="142">
        <v>5198</v>
      </c>
      <c r="G13" s="142">
        <v>6045</v>
      </c>
      <c r="H13" s="142">
        <v>6161</v>
      </c>
      <c r="I13" s="142">
        <v>5686</v>
      </c>
      <c r="J13" s="142">
        <v>5655</v>
      </c>
      <c r="K13" s="142">
        <v>5776</v>
      </c>
    </row>
    <row r="14" spans="1:35" ht="15" thickBot="1" x14ac:dyDescent="0.25">
      <c r="A14" s="143" t="s">
        <v>111</v>
      </c>
      <c r="B14" s="140" t="s">
        <v>524</v>
      </c>
      <c r="C14" s="141">
        <v>0.28999999999999998</v>
      </c>
      <c r="D14" s="141">
        <v>0.25</v>
      </c>
      <c r="E14" s="141">
        <v>0.2</v>
      </c>
      <c r="F14" s="141">
        <v>0.27</v>
      </c>
      <c r="G14" s="141">
        <v>0.35</v>
      </c>
      <c r="H14" s="141">
        <v>0.36</v>
      </c>
      <c r="I14" s="141">
        <v>0.33</v>
      </c>
      <c r="J14" s="141">
        <v>0.28999999999999998</v>
      </c>
      <c r="K14" s="141">
        <v>0.32</v>
      </c>
    </row>
    <row r="15" spans="1:35" ht="15" thickBot="1" x14ac:dyDescent="0.25">
      <c r="A15" s="143" t="s">
        <v>111</v>
      </c>
      <c r="B15" s="140" t="s">
        <v>93</v>
      </c>
      <c r="C15" s="142">
        <v>1789</v>
      </c>
      <c r="D15" s="142">
        <v>1402</v>
      </c>
      <c r="E15" s="142">
        <v>1189</v>
      </c>
      <c r="F15" s="142">
        <v>1585</v>
      </c>
      <c r="G15" s="142">
        <v>1804</v>
      </c>
      <c r="H15" s="142">
        <v>2036</v>
      </c>
      <c r="I15" s="142">
        <v>1739</v>
      </c>
      <c r="J15" s="142">
        <v>1638</v>
      </c>
      <c r="K15" s="142">
        <v>1711</v>
      </c>
    </row>
    <row r="16" spans="1:35" ht="15" thickBot="1" x14ac:dyDescent="0.25">
      <c r="A16" s="143" t="s">
        <v>236</v>
      </c>
      <c r="B16" s="140" t="s">
        <v>524</v>
      </c>
      <c r="C16" s="141">
        <v>0.46</v>
      </c>
      <c r="D16" s="141">
        <v>0.33</v>
      </c>
      <c r="E16" s="141">
        <v>0.28000000000000003</v>
      </c>
      <c r="F16" s="141">
        <v>0.38</v>
      </c>
      <c r="G16" s="141">
        <v>0.53</v>
      </c>
      <c r="H16" s="141">
        <v>0.54</v>
      </c>
      <c r="I16" s="141">
        <v>0.47</v>
      </c>
      <c r="J16" s="141">
        <v>0.42</v>
      </c>
      <c r="K16" s="141">
        <v>0.47</v>
      </c>
    </row>
    <row r="17" spans="1:11" ht="15" thickBot="1" x14ac:dyDescent="0.25">
      <c r="A17" s="143" t="s">
        <v>236</v>
      </c>
      <c r="B17" s="140" t="s">
        <v>93</v>
      </c>
      <c r="C17" s="142">
        <v>2957</v>
      </c>
      <c r="D17" s="142">
        <v>2416</v>
      </c>
      <c r="E17" s="142">
        <v>2012</v>
      </c>
      <c r="F17" s="142">
        <v>2653</v>
      </c>
      <c r="G17" s="142">
        <v>3085</v>
      </c>
      <c r="H17" s="142">
        <v>3225</v>
      </c>
      <c r="I17" s="142">
        <v>2795</v>
      </c>
      <c r="J17" s="142">
        <v>2735</v>
      </c>
      <c r="K17" s="142">
        <v>2898</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63F49-9955-448D-862F-5C33E65F9355}">
  <sheetPr codeName="Sheet15"/>
  <dimension ref="A1:AI17"/>
  <sheetViews>
    <sheetView topLeftCell="M1" workbookViewId="0">
      <selection activeCell="Y2" sqref="Y2"/>
    </sheetView>
  </sheetViews>
  <sheetFormatPr defaultRowHeight="14.25" x14ac:dyDescent="0.2"/>
  <sheetData>
    <row r="1" spans="1:35" ht="27.75" thickBot="1" x14ac:dyDescent="0.25">
      <c r="A1" s="138" t="s">
        <v>523</v>
      </c>
      <c r="B1" s="139" t="s">
        <v>274</v>
      </c>
      <c r="C1" s="139" t="s">
        <v>18</v>
      </c>
      <c r="D1" s="139" t="s">
        <v>20</v>
      </c>
      <c r="E1" s="139" t="s">
        <v>10</v>
      </c>
      <c r="F1" s="139" t="s">
        <v>8</v>
      </c>
      <c r="G1" s="139" t="s">
        <v>6</v>
      </c>
      <c r="H1" s="139" t="s">
        <v>16</v>
      </c>
      <c r="I1" s="139" t="s">
        <v>4</v>
      </c>
      <c r="J1" s="139" t="s">
        <v>14</v>
      </c>
      <c r="K1" s="139" t="s">
        <v>12</v>
      </c>
      <c r="M1" s="138" t="s">
        <v>523</v>
      </c>
      <c r="N1" s="139" t="s">
        <v>274</v>
      </c>
      <c r="O1" s="139" t="s">
        <v>18</v>
      </c>
      <c r="P1" s="139" t="s">
        <v>20</v>
      </c>
      <c r="Q1" s="139" t="s">
        <v>10</v>
      </c>
      <c r="R1" s="139" t="s">
        <v>8</v>
      </c>
      <c r="S1" s="139" t="s">
        <v>6</v>
      </c>
      <c r="T1" s="139" t="s">
        <v>16</v>
      </c>
      <c r="U1" s="139" t="s">
        <v>4</v>
      </c>
      <c r="V1" s="139" t="s">
        <v>14</v>
      </c>
      <c r="W1" s="139" t="s">
        <v>12</v>
      </c>
      <c r="Y1" s="138" t="s">
        <v>523</v>
      </c>
      <c r="Z1" s="139" t="s">
        <v>274</v>
      </c>
      <c r="AA1" s="139" t="s">
        <v>18</v>
      </c>
      <c r="AB1" s="139" t="s">
        <v>20</v>
      </c>
      <c r="AC1" s="139" t="s">
        <v>10</v>
      </c>
      <c r="AD1" s="139" t="s">
        <v>8</v>
      </c>
      <c r="AE1" s="139" t="s">
        <v>6</v>
      </c>
      <c r="AF1" s="139" t="s">
        <v>16</v>
      </c>
      <c r="AG1" s="139" t="s">
        <v>4</v>
      </c>
      <c r="AH1" s="139" t="s">
        <v>14</v>
      </c>
      <c r="AI1" s="139" t="s">
        <v>12</v>
      </c>
    </row>
    <row r="2" spans="1:35" ht="15" thickBot="1" x14ac:dyDescent="0.25">
      <c r="A2" s="143" t="s">
        <v>525</v>
      </c>
      <c r="B2" s="140" t="s">
        <v>524</v>
      </c>
      <c r="C2" s="141">
        <v>0.41</v>
      </c>
      <c r="D2" s="141">
        <v>0.26</v>
      </c>
      <c r="E2" s="141">
        <v>0.23</v>
      </c>
      <c r="F2" s="141">
        <v>0.3</v>
      </c>
      <c r="G2" s="141">
        <v>0.42</v>
      </c>
      <c r="H2" s="141">
        <v>0.45</v>
      </c>
      <c r="I2" s="141">
        <v>0.4</v>
      </c>
      <c r="J2" s="141">
        <v>0.33</v>
      </c>
      <c r="K2" s="141">
        <v>0.39</v>
      </c>
      <c r="M2" s="143" t="s">
        <v>219</v>
      </c>
      <c r="N2" s="140" t="s">
        <v>93</v>
      </c>
      <c r="O2" s="142">
        <v>4006</v>
      </c>
      <c r="P2" s="142">
        <v>3435</v>
      </c>
      <c r="Q2" s="142">
        <v>3096</v>
      </c>
      <c r="R2" s="142">
        <v>3641</v>
      </c>
      <c r="S2" s="142">
        <v>4057</v>
      </c>
      <c r="T2" s="142">
        <v>4309</v>
      </c>
      <c r="U2" s="142">
        <v>3914</v>
      </c>
      <c r="V2" s="142">
        <v>3827</v>
      </c>
      <c r="W2" s="142">
        <v>3871</v>
      </c>
      <c r="Y2" s="143" t="s">
        <v>219</v>
      </c>
      <c r="Z2" s="140" t="s">
        <v>524</v>
      </c>
      <c r="AA2" s="141">
        <v>0.41</v>
      </c>
      <c r="AB2" s="141">
        <v>0.26</v>
      </c>
      <c r="AC2" s="141">
        <v>0.23</v>
      </c>
      <c r="AD2" s="141">
        <v>0.3</v>
      </c>
      <c r="AE2" s="141">
        <v>0.42</v>
      </c>
      <c r="AF2" s="141">
        <v>0.45</v>
      </c>
      <c r="AG2" s="141">
        <v>0.4</v>
      </c>
      <c r="AH2" s="141">
        <v>0.33</v>
      </c>
      <c r="AI2" s="141">
        <v>0.39</v>
      </c>
    </row>
    <row r="3" spans="1:35" ht="15" thickBot="1" x14ac:dyDescent="0.25">
      <c r="A3" s="143" t="s">
        <v>525</v>
      </c>
      <c r="B3" s="140" t="s">
        <v>93</v>
      </c>
      <c r="C3" s="142">
        <v>4006</v>
      </c>
      <c r="D3" s="142">
        <v>3435</v>
      </c>
      <c r="E3" s="142">
        <v>3096</v>
      </c>
      <c r="F3" s="142">
        <v>3641</v>
      </c>
      <c r="G3" s="142">
        <v>4057</v>
      </c>
      <c r="H3" s="142">
        <v>4309</v>
      </c>
      <c r="I3" s="142">
        <v>3914</v>
      </c>
      <c r="J3" s="142">
        <v>3827</v>
      </c>
      <c r="K3" s="142">
        <v>3871</v>
      </c>
      <c r="M3" s="143" t="s">
        <v>224</v>
      </c>
      <c r="N3" s="140" t="s">
        <v>93</v>
      </c>
      <c r="O3" s="142">
        <v>2742</v>
      </c>
      <c r="P3" s="142">
        <v>1851</v>
      </c>
      <c r="Q3" s="142">
        <v>1634</v>
      </c>
      <c r="R3" s="142">
        <v>2178</v>
      </c>
      <c r="S3" s="142">
        <v>2744</v>
      </c>
      <c r="T3" s="142">
        <v>3517</v>
      </c>
      <c r="U3" s="142">
        <v>2685</v>
      </c>
      <c r="V3" s="142">
        <v>2313</v>
      </c>
      <c r="W3" s="142">
        <v>2604</v>
      </c>
      <c r="Y3" s="143" t="s">
        <v>224</v>
      </c>
      <c r="Z3" s="140" t="s">
        <v>524</v>
      </c>
      <c r="AA3" s="141">
        <v>0.11</v>
      </c>
      <c r="AB3" s="141">
        <v>0.08</v>
      </c>
      <c r="AC3" s="141">
        <v>7.0000000000000007E-2</v>
      </c>
      <c r="AD3" s="141">
        <v>0.09</v>
      </c>
      <c r="AE3" s="141">
        <v>0.18</v>
      </c>
      <c r="AF3" s="141">
        <v>0.18</v>
      </c>
      <c r="AG3" s="141">
        <v>0.17</v>
      </c>
      <c r="AH3" s="141">
        <v>0.12</v>
      </c>
      <c r="AI3" s="141">
        <v>0.17</v>
      </c>
    </row>
    <row r="4" spans="1:35" ht="15" thickBot="1" x14ac:dyDescent="0.25">
      <c r="A4" s="143" t="s">
        <v>224</v>
      </c>
      <c r="B4" s="140" t="s">
        <v>524</v>
      </c>
      <c r="C4" s="141">
        <v>0.11</v>
      </c>
      <c r="D4" s="141">
        <v>0.08</v>
      </c>
      <c r="E4" s="141">
        <v>7.0000000000000007E-2</v>
      </c>
      <c r="F4" s="141">
        <v>0.09</v>
      </c>
      <c r="G4" s="141">
        <v>0.18</v>
      </c>
      <c r="H4" s="141">
        <v>0.18</v>
      </c>
      <c r="I4" s="141">
        <v>0.17</v>
      </c>
      <c r="J4" s="141">
        <v>0.12</v>
      </c>
      <c r="K4" s="141">
        <v>0.17</v>
      </c>
      <c r="M4" s="143" t="s">
        <v>228</v>
      </c>
      <c r="N4" s="140" t="s">
        <v>93</v>
      </c>
      <c r="O4" s="142">
        <v>5587</v>
      </c>
      <c r="P4" s="142">
        <v>4798</v>
      </c>
      <c r="Q4" s="142">
        <v>4165</v>
      </c>
      <c r="R4" s="142">
        <v>5107</v>
      </c>
      <c r="S4" s="142">
        <v>5714</v>
      </c>
      <c r="T4" s="142">
        <v>6084</v>
      </c>
      <c r="U4" s="142">
        <v>5591</v>
      </c>
      <c r="V4" s="142">
        <v>5263</v>
      </c>
      <c r="W4" s="142">
        <v>5626</v>
      </c>
      <c r="Y4" s="143" t="s">
        <v>228</v>
      </c>
      <c r="Z4" s="140" t="s">
        <v>524</v>
      </c>
      <c r="AA4" s="141">
        <v>0.45</v>
      </c>
      <c r="AB4" s="141">
        <v>0.37</v>
      </c>
      <c r="AC4" s="141">
        <v>0.31</v>
      </c>
      <c r="AD4" s="141">
        <v>0.41</v>
      </c>
      <c r="AE4" s="141">
        <v>0.49</v>
      </c>
      <c r="AF4" s="141">
        <v>0.54</v>
      </c>
      <c r="AG4" s="141">
        <v>0.47</v>
      </c>
      <c r="AH4" s="141">
        <v>0.44</v>
      </c>
      <c r="AI4" s="141">
        <v>0.46</v>
      </c>
    </row>
    <row r="5" spans="1:35" ht="15" thickBot="1" x14ac:dyDescent="0.25">
      <c r="A5" s="143" t="s">
        <v>224</v>
      </c>
      <c r="B5" s="140" t="s">
        <v>93</v>
      </c>
      <c r="C5" s="142">
        <v>2742</v>
      </c>
      <c r="D5" s="142">
        <v>1851</v>
      </c>
      <c r="E5" s="142">
        <v>1634</v>
      </c>
      <c r="F5" s="142">
        <v>2178</v>
      </c>
      <c r="G5" s="142">
        <v>2744</v>
      </c>
      <c r="H5" s="142">
        <v>3517</v>
      </c>
      <c r="I5" s="142">
        <v>2685</v>
      </c>
      <c r="J5" s="142">
        <v>2313</v>
      </c>
      <c r="K5" s="142">
        <v>2604</v>
      </c>
      <c r="M5" s="143" t="s">
        <v>230</v>
      </c>
      <c r="N5" s="140" t="s">
        <v>93</v>
      </c>
      <c r="O5" s="142">
        <v>3894</v>
      </c>
      <c r="P5" s="142">
        <v>3093</v>
      </c>
      <c r="Q5" s="142">
        <v>2593</v>
      </c>
      <c r="R5" s="142">
        <v>3457</v>
      </c>
      <c r="S5" s="142">
        <v>4106</v>
      </c>
      <c r="T5" s="142">
        <v>4537</v>
      </c>
      <c r="U5" s="142">
        <v>3902</v>
      </c>
      <c r="V5" s="142">
        <v>3711</v>
      </c>
      <c r="W5" s="142">
        <v>3819</v>
      </c>
      <c r="Y5" s="143" t="s">
        <v>230</v>
      </c>
      <c r="Z5" s="140" t="s">
        <v>524</v>
      </c>
      <c r="AA5" s="141">
        <v>0.24</v>
      </c>
      <c r="AB5" s="141">
        <v>0.2</v>
      </c>
      <c r="AC5" s="141">
        <v>0.16</v>
      </c>
      <c r="AD5" s="141">
        <v>0.22</v>
      </c>
      <c r="AE5" s="141">
        <v>0.28000000000000003</v>
      </c>
      <c r="AF5" s="141">
        <v>0.3</v>
      </c>
      <c r="AG5" s="141">
        <v>0.28000000000000003</v>
      </c>
      <c r="AH5" s="141">
        <v>0.23</v>
      </c>
      <c r="AI5" s="141">
        <v>0.26</v>
      </c>
    </row>
    <row r="6" spans="1:35" ht="15" thickBot="1" x14ac:dyDescent="0.25">
      <c r="A6" s="143" t="s">
        <v>228</v>
      </c>
      <c r="B6" s="140" t="s">
        <v>524</v>
      </c>
      <c r="C6" s="141">
        <v>0.45</v>
      </c>
      <c r="D6" s="141">
        <v>0.37</v>
      </c>
      <c r="E6" s="141">
        <v>0.31</v>
      </c>
      <c r="F6" s="141">
        <v>0.41</v>
      </c>
      <c r="G6" s="141">
        <v>0.49</v>
      </c>
      <c r="H6" s="141">
        <v>0.54</v>
      </c>
      <c r="I6" s="141">
        <v>0.47</v>
      </c>
      <c r="J6" s="141">
        <v>0.44</v>
      </c>
      <c r="K6" s="141">
        <v>0.46</v>
      </c>
      <c r="M6" s="143" t="s">
        <v>232</v>
      </c>
      <c r="N6" s="140" t="s">
        <v>93</v>
      </c>
      <c r="O6" s="142">
        <v>1735</v>
      </c>
      <c r="P6" s="142">
        <v>1306</v>
      </c>
      <c r="Q6" s="142">
        <v>1086</v>
      </c>
      <c r="R6" s="142">
        <v>1448</v>
      </c>
      <c r="S6" s="142">
        <v>1742</v>
      </c>
      <c r="T6" s="142">
        <v>1891</v>
      </c>
      <c r="U6" s="142">
        <v>1606</v>
      </c>
      <c r="V6" s="142">
        <v>1558</v>
      </c>
      <c r="W6" s="142">
        <v>1633</v>
      </c>
      <c r="Y6" s="143" t="s">
        <v>232</v>
      </c>
      <c r="Z6" s="140" t="s">
        <v>524</v>
      </c>
      <c r="AA6" s="141">
        <v>0.53</v>
      </c>
      <c r="AB6" s="141">
        <v>0.4</v>
      </c>
      <c r="AC6" s="141">
        <v>0.32</v>
      </c>
      <c r="AD6" s="141">
        <v>0.43</v>
      </c>
      <c r="AE6" s="141">
        <v>0.54</v>
      </c>
      <c r="AF6" s="141">
        <v>0.59</v>
      </c>
      <c r="AG6" s="141">
        <v>0.54</v>
      </c>
      <c r="AH6" s="141">
        <v>0.48</v>
      </c>
      <c r="AI6" s="141">
        <v>0.5</v>
      </c>
    </row>
    <row r="7" spans="1:35" ht="15" thickBot="1" x14ac:dyDescent="0.25">
      <c r="A7" s="143" t="s">
        <v>228</v>
      </c>
      <c r="B7" s="140" t="s">
        <v>93</v>
      </c>
      <c r="C7" s="142">
        <v>5587</v>
      </c>
      <c r="D7" s="142">
        <v>4798</v>
      </c>
      <c r="E7" s="142">
        <v>4165</v>
      </c>
      <c r="F7" s="142">
        <v>5107</v>
      </c>
      <c r="G7" s="142">
        <v>5714</v>
      </c>
      <c r="H7" s="142">
        <v>6084</v>
      </c>
      <c r="I7" s="142">
        <v>5591</v>
      </c>
      <c r="J7" s="142">
        <v>5263</v>
      </c>
      <c r="K7" s="142">
        <v>5626</v>
      </c>
      <c r="M7" s="143" t="s">
        <v>233</v>
      </c>
      <c r="N7" s="140" t="s">
        <v>93</v>
      </c>
      <c r="O7" s="142">
        <v>5844</v>
      </c>
      <c r="P7" s="142">
        <v>5039</v>
      </c>
      <c r="Q7" s="142">
        <v>4442</v>
      </c>
      <c r="R7" s="142">
        <v>5197</v>
      </c>
      <c r="S7" s="142">
        <v>6043</v>
      </c>
      <c r="T7" s="142">
        <v>6159</v>
      </c>
      <c r="U7" s="142">
        <v>5683</v>
      </c>
      <c r="V7" s="142">
        <v>5652</v>
      </c>
      <c r="W7" s="142">
        <v>5773</v>
      </c>
      <c r="Y7" s="143" t="s">
        <v>233</v>
      </c>
      <c r="Z7" s="140" t="s">
        <v>524</v>
      </c>
      <c r="AA7" s="141">
        <v>0.61</v>
      </c>
      <c r="AB7" s="141">
        <v>0.57999999999999996</v>
      </c>
      <c r="AC7" s="141">
        <v>0.53</v>
      </c>
      <c r="AD7" s="141">
        <v>0.61</v>
      </c>
      <c r="AE7" s="141">
        <v>0.67</v>
      </c>
      <c r="AF7" s="141">
        <v>0.68</v>
      </c>
      <c r="AG7" s="141">
        <v>0.7</v>
      </c>
      <c r="AH7" s="141">
        <v>0.59</v>
      </c>
      <c r="AI7" s="141">
        <v>0.66</v>
      </c>
    </row>
    <row r="8" spans="1:35" ht="15" thickBot="1" x14ac:dyDescent="0.25">
      <c r="A8" s="143" t="s">
        <v>230</v>
      </c>
      <c r="B8" s="140" t="s">
        <v>524</v>
      </c>
      <c r="C8" s="141">
        <v>0.24</v>
      </c>
      <c r="D8" s="141">
        <v>0.2</v>
      </c>
      <c r="E8" s="141">
        <v>0.16</v>
      </c>
      <c r="F8" s="141">
        <v>0.22</v>
      </c>
      <c r="G8" s="141">
        <v>0.28000000000000003</v>
      </c>
      <c r="H8" s="141">
        <v>0.3</v>
      </c>
      <c r="I8" s="141">
        <v>0.28000000000000003</v>
      </c>
      <c r="J8" s="141">
        <v>0.23</v>
      </c>
      <c r="K8" s="141">
        <v>0.26</v>
      </c>
      <c r="M8" s="143" t="s">
        <v>111</v>
      </c>
      <c r="N8" s="140" t="s">
        <v>93</v>
      </c>
      <c r="O8" s="142">
        <v>1789</v>
      </c>
      <c r="P8" s="142">
        <v>1402</v>
      </c>
      <c r="Q8" s="142">
        <v>1189</v>
      </c>
      <c r="R8" s="142">
        <v>1585</v>
      </c>
      <c r="S8" s="142">
        <v>1804</v>
      </c>
      <c r="T8" s="142">
        <v>2036</v>
      </c>
      <c r="U8" s="142">
        <v>1739</v>
      </c>
      <c r="V8" s="142">
        <v>1638</v>
      </c>
      <c r="W8" s="142">
        <v>1711</v>
      </c>
      <c r="Y8" s="143" t="s">
        <v>111</v>
      </c>
      <c r="Z8" s="140" t="s">
        <v>524</v>
      </c>
      <c r="AA8" s="141">
        <v>0.28999999999999998</v>
      </c>
      <c r="AB8" s="141">
        <v>0.25</v>
      </c>
      <c r="AC8" s="141">
        <v>0.2</v>
      </c>
      <c r="AD8" s="141">
        <v>0.27</v>
      </c>
      <c r="AE8" s="141">
        <v>0.35</v>
      </c>
      <c r="AF8" s="141">
        <v>0.36</v>
      </c>
      <c r="AG8" s="141">
        <v>0.33</v>
      </c>
      <c r="AH8" s="141">
        <v>0.28999999999999998</v>
      </c>
      <c r="AI8" s="141">
        <v>0.32</v>
      </c>
    </row>
    <row r="9" spans="1:35" ht="15" thickBot="1" x14ac:dyDescent="0.25">
      <c r="A9" s="143" t="s">
        <v>230</v>
      </c>
      <c r="B9" s="140" t="s">
        <v>93</v>
      </c>
      <c r="C9" s="142">
        <v>3894</v>
      </c>
      <c r="D9" s="142">
        <v>3093</v>
      </c>
      <c r="E9" s="142">
        <v>2593</v>
      </c>
      <c r="F9" s="142">
        <v>3457</v>
      </c>
      <c r="G9" s="142">
        <v>4106</v>
      </c>
      <c r="H9" s="142">
        <v>4537</v>
      </c>
      <c r="I9" s="142">
        <v>3902</v>
      </c>
      <c r="J9" s="142">
        <v>3711</v>
      </c>
      <c r="K9" s="142">
        <v>3819</v>
      </c>
      <c r="M9" s="143" t="s">
        <v>236</v>
      </c>
      <c r="N9" s="140" t="s">
        <v>93</v>
      </c>
      <c r="O9" s="142">
        <v>2957</v>
      </c>
      <c r="P9" s="142">
        <v>2416</v>
      </c>
      <c r="Q9" s="142">
        <v>2012</v>
      </c>
      <c r="R9" s="142">
        <v>2653</v>
      </c>
      <c r="S9" s="142">
        <v>3085</v>
      </c>
      <c r="T9" s="142">
        <v>3226</v>
      </c>
      <c r="U9" s="142">
        <v>2795</v>
      </c>
      <c r="V9" s="142">
        <v>2736</v>
      </c>
      <c r="W9" s="142">
        <v>2898</v>
      </c>
      <c r="Y9" s="143" t="s">
        <v>236</v>
      </c>
      <c r="Z9" s="140" t="s">
        <v>524</v>
      </c>
      <c r="AA9" s="141">
        <v>0.46</v>
      </c>
      <c r="AB9" s="141">
        <v>0.33</v>
      </c>
      <c r="AC9" s="141">
        <v>0.28000000000000003</v>
      </c>
      <c r="AD9" s="141">
        <v>0.38</v>
      </c>
      <c r="AE9" s="141">
        <v>0.53</v>
      </c>
      <c r="AF9" s="141">
        <v>0.54</v>
      </c>
      <c r="AG9" s="141">
        <v>0.47</v>
      </c>
      <c r="AH9" s="141">
        <v>0.42</v>
      </c>
      <c r="AI9" s="141">
        <v>0.47</v>
      </c>
    </row>
    <row r="10" spans="1:35" ht="15" thickBot="1" x14ac:dyDescent="0.25">
      <c r="A10" s="143" t="s">
        <v>232</v>
      </c>
      <c r="B10" s="140" t="s">
        <v>524</v>
      </c>
      <c r="C10" s="141">
        <v>0.53</v>
      </c>
      <c r="D10" s="141">
        <v>0.4</v>
      </c>
      <c r="E10" s="141">
        <v>0.32</v>
      </c>
      <c r="F10" s="141">
        <v>0.43</v>
      </c>
      <c r="G10" s="141">
        <v>0.54</v>
      </c>
      <c r="H10" s="141">
        <v>0.59</v>
      </c>
      <c r="I10" s="141">
        <v>0.54</v>
      </c>
      <c r="J10" s="141">
        <v>0.48</v>
      </c>
      <c r="K10" s="141">
        <v>0.5</v>
      </c>
    </row>
    <row r="11" spans="1:35" ht="15" thickBot="1" x14ac:dyDescent="0.25">
      <c r="A11" s="143" t="s">
        <v>232</v>
      </c>
      <c r="B11" s="140" t="s">
        <v>93</v>
      </c>
      <c r="C11" s="142">
        <v>1735</v>
      </c>
      <c r="D11" s="142">
        <v>1306</v>
      </c>
      <c r="E11" s="142">
        <v>1086</v>
      </c>
      <c r="F11" s="142">
        <v>1448</v>
      </c>
      <c r="G11" s="142">
        <v>1742</v>
      </c>
      <c r="H11" s="142">
        <v>1891</v>
      </c>
      <c r="I11" s="142">
        <v>1606</v>
      </c>
      <c r="J11" s="142">
        <v>1558</v>
      </c>
      <c r="K11" s="142">
        <v>1633</v>
      </c>
    </row>
    <row r="12" spans="1:35" ht="15" thickBot="1" x14ac:dyDescent="0.25">
      <c r="A12" s="143" t="s">
        <v>233</v>
      </c>
      <c r="B12" s="140" t="s">
        <v>524</v>
      </c>
      <c r="C12" s="141">
        <v>0.61</v>
      </c>
      <c r="D12" s="141">
        <v>0.57999999999999996</v>
      </c>
      <c r="E12" s="141">
        <v>0.53</v>
      </c>
      <c r="F12" s="141">
        <v>0.61</v>
      </c>
      <c r="G12" s="141">
        <v>0.67</v>
      </c>
      <c r="H12" s="141">
        <v>0.68</v>
      </c>
      <c r="I12" s="141">
        <v>0.7</v>
      </c>
      <c r="J12" s="141">
        <v>0.59</v>
      </c>
      <c r="K12" s="141">
        <v>0.66</v>
      </c>
    </row>
    <row r="13" spans="1:35" ht="15" thickBot="1" x14ac:dyDescent="0.25">
      <c r="A13" s="143" t="s">
        <v>233</v>
      </c>
      <c r="B13" s="140" t="s">
        <v>93</v>
      </c>
      <c r="C13" s="142">
        <v>5844</v>
      </c>
      <c r="D13" s="142">
        <v>5039</v>
      </c>
      <c r="E13" s="142">
        <v>4442</v>
      </c>
      <c r="F13" s="142">
        <v>5197</v>
      </c>
      <c r="G13" s="142">
        <v>6043</v>
      </c>
      <c r="H13" s="142">
        <v>6159</v>
      </c>
      <c r="I13" s="142">
        <v>5683</v>
      </c>
      <c r="J13" s="142">
        <v>5652</v>
      </c>
      <c r="K13" s="142">
        <v>5773</v>
      </c>
    </row>
    <row r="14" spans="1:35" ht="15" thickBot="1" x14ac:dyDescent="0.25">
      <c r="A14" s="143" t="s">
        <v>111</v>
      </c>
      <c r="B14" s="140" t="s">
        <v>524</v>
      </c>
      <c r="C14" s="141">
        <v>0.28999999999999998</v>
      </c>
      <c r="D14" s="141">
        <v>0.25</v>
      </c>
      <c r="E14" s="141">
        <v>0.2</v>
      </c>
      <c r="F14" s="141">
        <v>0.27</v>
      </c>
      <c r="G14" s="141">
        <v>0.35</v>
      </c>
      <c r="H14" s="141">
        <v>0.36</v>
      </c>
      <c r="I14" s="141">
        <v>0.33</v>
      </c>
      <c r="J14" s="141">
        <v>0.28999999999999998</v>
      </c>
      <c r="K14" s="141">
        <v>0.32</v>
      </c>
    </row>
    <row r="15" spans="1:35" ht="15" thickBot="1" x14ac:dyDescent="0.25">
      <c r="A15" s="143" t="s">
        <v>111</v>
      </c>
      <c r="B15" s="140" t="s">
        <v>93</v>
      </c>
      <c r="C15" s="142">
        <v>1789</v>
      </c>
      <c r="D15" s="142">
        <v>1402</v>
      </c>
      <c r="E15" s="142">
        <v>1189</v>
      </c>
      <c r="F15" s="142">
        <v>1585</v>
      </c>
      <c r="G15" s="142">
        <v>1804</v>
      </c>
      <c r="H15" s="142">
        <v>2036</v>
      </c>
      <c r="I15" s="142">
        <v>1739</v>
      </c>
      <c r="J15" s="142">
        <v>1638</v>
      </c>
      <c r="K15" s="142">
        <v>1711</v>
      </c>
    </row>
    <row r="16" spans="1:35" ht="15" thickBot="1" x14ac:dyDescent="0.25">
      <c r="A16" s="143" t="s">
        <v>236</v>
      </c>
      <c r="B16" s="140" t="s">
        <v>524</v>
      </c>
      <c r="C16" s="141">
        <v>0.46</v>
      </c>
      <c r="D16" s="141">
        <v>0.33</v>
      </c>
      <c r="E16" s="141">
        <v>0.28000000000000003</v>
      </c>
      <c r="F16" s="141">
        <v>0.38</v>
      </c>
      <c r="G16" s="141">
        <v>0.53</v>
      </c>
      <c r="H16" s="141">
        <v>0.54</v>
      </c>
      <c r="I16" s="141">
        <v>0.47</v>
      </c>
      <c r="J16" s="141">
        <v>0.42</v>
      </c>
      <c r="K16" s="141">
        <v>0.47</v>
      </c>
    </row>
    <row r="17" spans="1:11" ht="15" thickBot="1" x14ac:dyDescent="0.25">
      <c r="A17" s="143" t="s">
        <v>236</v>
      </c>
      <c r="B17" s="140" t="s">
        <v>93</v>
      </c>
      <c r="C17" s="142">
        <v>2957</v>
      </c>
      <c r="D17" s="142">
        <v>2416</v>
      </c>
      <c r="E17" s="142">
        <v>2012</v>
      </c>
      <c r="F17" s="142">
        <v>2653</v>
      </c>
      <c r="G17" s="142">
        <v>3085</v>
      </c>
      <c r="H17" s="142">
        <v>3226</v>
      </c>
      <c r="I17" s="142">
        <v>2795</v>
      </c>
      <c r="J17" s="142">
        <v>2736</v>
      </c>
      <c r="K17" s="142">
        <v>2898</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43A93-1B53-4599-B703-24C5F3C0AB86}">
  <sheetPr codeName="Sheet16"/>
  <dimension ref="A1:AI17"/>
  <sheetViews>
    <sheetView topLeftCell="L1" workbookViewId="0">
      <selection activeCell="Y2" sqref="Y2"/>
    </sheetView>
  </sheetViews>
  <sheetFormatPr defaultRowHeight="14.25" x14ac:dyDescent="0.2"/>
  <sheetData>
    <row r="1" spans="1:35" ht="27.75" thickBot="1" x14ac:dyDescent="0.25">
      <c r="A1" s="138" t="s">
        <v>523</v>
      </c>
      <c r="B1" s="139" t="s">
        <v>274</v>
      </c>
      <c r="C1" s="139" t="s">
        <v>18</v>
      </c>
      <c r="D1" s="139" t="s">
        <v>20</v>
      </c>
      <c r="E1" s="139" t="s">
        <v>10</v>
      </c>
      <c r="F1" s="139" t="s">
        <v>8</v>
      </c>
      <c r="G1" s="139" t="s">
        <v>6</v>
      </c>
      <c r="H1" s="139" t="s">
        <v>16</v>
      </c>
      <c r="I1" s="139" t="s">
        <v>4</v>
      </c>
      <c r="J1" s="139" t="s">
        <v>14</v>
      </c>
      <c r="K1" s="139" t="s">
        <v>12</v>
      </c>
      <c r="M1" s="138" t="s">
        <v>523</v>
      </c>
      <c r="N1" s="139" t="s">
        <v>274</v>
      </c>
      <c r="O1" s="139" t="s">
        <v>18</v>
      </c>
      <c r="P1" s="139" t="s">
        <v>20</v>
      </c>
      <c r="Q1" s="139" t="s">
        <v>10</v>
      </c>
      <c r="R1" s="139" t="s">
        <v>8</v>
      </c>
      <c r="S1" s="139" t="s">
        <v>6</v>
      </c>
      <c r="T1" s="139" t="s">
        <v>16</v>
      </c>
      <c r="U1" s="139" t="s">
        <v>4</v>
      </c>
      <c r="V1" s="139" t="s">
        <v>14</v>
      </c>
      <c r="W1" s="139" t="s">
        <v>12</v>
      </c>
      <c r="Y1" s="138" t="s">
        <v>523</v>
      </c>
      <c r="Z1" s="139" t="s">
        <v>274</v>
      </c>
      <c r="AA1" s="139" t="s">
        <v>18</v>
      </c>
      <c r="AB1" s="139" t="s">
        <v>20</v>
      </c>
      <c r="AC1" s="139" t="s">
        <v>10</v>
      </c>
      <c r="AD1" s="139" t="s">
        <v>8</v>
      </c>
      <c r="AE1" s="139" t="s">
        <v>6</v>
      </c>
      <c r="AF1" s="139" t="s">
        <v>16</v>
      </c>
      <c r="AG1" s="139" t="s">
        <v>4</v>
      </c>
      <c r="AH1" s="139" t="s">
        <v>14</v>
      </c>
      <c r="AI1" s="139" t="s">
        <v>12</v>
      </c>
    </row>
    <row r="2" spans="1:35" ht="15" thickBot="1" x14ac:dyDescent="0.25">
      <c r="A2" s="143" t="s">
        <v>525</v>
      </c>
      <c r="B2" s="140" t="s">
        <v>524</v>
      </c>
      <c r="C2" s="141">
        <v>0.01</v>
      </c>
      <c r="D2" s="141">
        <v>0.01</v>
      </c>
      <c r="E2" s="141">
        <v>0.01</v>
      </c>
      <c r="F2" s="141">
        <v>0.01</v>
      </c>
      <c r="G2" s="141">
        <v>0</v>
      </c>
      <c r="H2" s="141">
        <v>0</v>
      </c>
      <c r="I2" s="141">
        <v>0.01</v>
      </c>
      <c r="J2" s="141">
        <v>0.01</v>
      </c>
      <c r="K2" s="141">
        <v>0.01</v>
      </c>
      <c r="M2" s="143" t="s">
        <v>219</v>
      </c>
      <c r="N2" s="140" t="s">
        <v>93</v>
      </c>
      <c r="O2" s="142">
        <v>4548</v>
      </c>
      <c r="P2" s="142">
        <v>5271</v>
      </c>
      <c r="Q2" s="142">
        <v>5900</v>
      </c>
      <c r="R2" s="142">
        <v>5036</v>
      </c>
      <c r="S2" s="142">
        <v>4250</v>
      </c>
      <c r="T2" s="142">
        <v>4014</v>
      </c>
      <c r="U2" s="142">
        <v>4572</v>
      </c>
      <c r="V2" s="142">
        <v>4638</v>
      </c>
      <c r="W2" s="142">
        <v>4487</v>
      </c>
      <c r="Y2" s="143" t="s">
        <v>219</v>
      </c>
      <c r="Z2" s="140" t="s">
        <v>524</v>
      </c>
      <c r="AA2" s="141">
        <v>0.01</v>
      </c>
      <c r="AB2" s="141">
        <v>0.01</v>
      </c>
      <c r="AC2" s="141">
        <v>0.01</v>
      </c>
      <c r="AD2" s="141">
        <v>0.01</v>
      </c>
      <c r="AE2" s="141">
        <v>0</v>
      </c>
      <c r="AF2" s="141">
        <v>0</v>
      </c>
      <c r="AG2" s="141">
        <v>0.01</v>
      </c>
      <c r="AH2" s="141">
        <v>0.01</v>
      </c>
      <c r="AI2" s="141">
        <v>0.01</v>
      </c>
    </row>
    <row r="3" spans="1:35" ht="15" thickBot="1" x14ac:dyDescent="0.25">
      <c r="A3" s="143" t="s">
        <v>525</v>
      </c>
      <c r="B3" s="140" t="s">
        <v>93</v>
      </c>
      <c r="C3" s="142">
        <v>4548</v>
      </c>
      <c r="D3" s="142">
        <v>5271</v>
      </c>
      <c r="E3" s="142">
        <v>5900</v>
      </c>
      <c r="F3" s="142">
        <v>5036</v>
      </c>
      <c r="G3" s="142">
        <v>4250</v>
      </c>
      <c r="H3" s="142">
        <v>4014</v>
      </c>
      <c r="I3" s="142">
        <v>4572</v>
      </c>
      <c r="J3" s="142">
        <v>4638</v>
      </c>
      <c r="K3" s="142">
        <v>4487</v>
      </c>
      <c r="M3" s="143" t="s">
        <v>224</v>
      </c>
      <c r="N3" s="140" t="s">
        <v>93</v>
      </c>
      <c r="O3" s="142">
        <v>3651</v>
      </c>
      <c r="P3" s="142">
        <v>4251</v>
      </c>
      <c r="Q3" s="142">
        <v>4722</v>
      </c>
      <c r="R3" s="142">
        <v>4080</v>
      </c>
      <c r="S3" s="142">
        <v>3492</v>
      </c>
      <c r="T3" s="142">
        <v>3341</v>
      </c>
      <c r="U3" s="142">
        <v>3705</v>
      </c>
      <c r="V3" s="142">
        <v>3830</v>
      </c>
      <c r="W3" s="142">
        <v>3658</v>
      </c>
      <c r="Y3" s="143" t="s">
        <v>224</v>
      </c>
      <c r="Z3" s="140" t="s">
        <v>524</v>
      </c>
      <c r="AA3" s="141">
        <v>0</v>
      </c>
      <c r="AB3" s="141">
        <v>0</v>
      </c>
      <c r="AC3" s="141">
        <v>0</v>
      </c>
      <c r="AD3" s="141">
        <v>0</v>
      </c>
      <c r="AE3" s="141">
        <v>0</v>
      </c>
      <c r="AF3" s="141">
        <v>0</v>
      </c>
      <c r="AG3" s="141">
        <v>0</v>
      </c>
      <c r="AH3" s="141">
        <v>0</v>
      </c>
      <c r="AI3" s="141">
        <v>0</v>
      </c>
    </row>
    <row r="4" spans="1:35" ht="15" thickBot="1" x14ac:dyDescent="0.25">
      <c r="A4" s="143" t="s">
        <v>224</v>
      </c>
      <c r="B4" s="140" t="s">
        <v>524</v>
      </c>
      <c r="C4" s="141">
        <v>0</v>
      </c>
      <c r="D4" s="141">
        <v>0</v>
      </c>
      <c r="E4" s="141">
        <v>0</v>
      </c>
      <c r="F4" s="141">
        <v>0</v>
      </c>
      <c r="G4" s="141">
        <v>0</v>
      </c>
      <c r="H4" s="141">
        <v>0</v>
      </c>
      <c r="I4" s="141">
        <v>0</v>
      </c>
      <c r="J4" s="141">
        <v>0</v>
      </c>
      <c r="K4" s="141">
        <v>0</v>
      </c>
      <c r="M4" s="143" t="s">
        <v>228</v>
      </c>
      <c r="N4" s="140" t="s">
        <v>93</v>
      </c>
      <c r="O4" s="142">
        <v>8760</v>
      </c>
      <c r="P4" s="142">
        <v>8760</v>
      </c>
      <c r="Q4" s="142">
        <v>8760</v>
      </c>
      <c r="R4" s="142">
        <v>8760</v>
      </c>
      <c r="S4" s="142">
        <v>8760</v>
      </c>
      <c r="T4" s="142">
        <v>8760</v>
      </c>
      <c r="U4" s="142">
        <v>8760</v>
      </c>
      <c r="V4" s="142">
        <v>8760</v>
      </c>
      <c r="W4" s="142">
        <v>8760</v>
      </c>
      <c r="Y4" s="143" t="s">
        <v>228</v>
      </c>
      <c r="Z4" s="140" t="s">
        <v>524</v>
      </c>
      <c r="AA4" s="141">
        <v>0.09</v>
      </c>
      <c r="AB4" s="141">
        <v>0.09</v>
      </c>
      <c r="AC4" s="141">
        <v>0.09</v>
      </c>
      <c r="AD4" s="141">
        <v>0.09</v>
      </c>
      <c r="AE4" s="141">
        <v>0.09</v>
      </c>
      <c r="AF4" s="141">
        <v>0.09</v>
      </c>
      <c r="AG4" s="141">
        <v>0.09</v>
      </c>
      <c r="AH4" s="141">
        <v>0.09</v>
      </c>
      <c r="AI4" s="141">
        <v>0.09</v>
      </c>
    </row>
    <row r="5" spans="1:35" ht="15" thickBot="1" x14ac:dyDescent="0.25">
      <c r="A5" s="143" t="s">
        <v>224</v>
      </c>
      <c r="B5" s="140" t="s">
        <v>93</v>
      </c>
      <c r="C5" s="142">
        <v>3651</v>
      </c>
      <c r="D5" s="142">
        <v>4251</v>
      </c>
      <c r="E5" s="142">
        <v>4722</v>
      </c>
      <c r="F5" s="142">
        <v>4080</v>
      </c>
      <c r="G5" s="142">
        <v>3492</v>
      </c>
      <c r="H5" s="142">
        <v>3341</v>
      </c>
      <c r="I5" s="142">
        <v>3705</v>
      </c>
      <c r="J5" s="142">
        <v>3830</v>
      </c>
      <c r="K5" s="142">
        <v>3658</v>
      </c>
      <c r="M5" s="143" t="s">
        <v>230</v>
      </c>
      <c r="N5" s="140" t="s">
        <v>93</v>
      </c>
      <c r="O5" s="142">
        <v>5934</v>
      </c>
      <c r="P5" s="142">
        <v>6627</v>
      </c>
      <c r="Q5" s="142">
        <v>7170</v>
      </c>
      <c r="R5" s="142">
        <v>6280</v>
      </c>
      <c r="S5" s="142">
        <v>5823</v>
      </c>
      <c r="T5" s="142">
        <v>5477</v>
      </c>
      <c r="U5" s="142">
        <v>5991</v>
      </c>
      <c r="V5" s="142">
        <v>6223</v>
      </c>
      <c r="W5" s="142">
        <v>6045</v>
      </c>
      <c r="Y5" s="143" t="s">
        <v>230</v>
      </c>
      <c r="Z5" s="140" t="s">
        <v>524</v>
      </c>
      <c r="AA5" s="141">
        <v>0</v>
      </c>
      <c r="AB5" s="141">
        <v>0</v>
      </c>
      <c r="AC5" s="141">
        <v>0</v>
      </c>
      <c r="AD5" s="141">
        <v>0</v>
      </c>
      <c r="AE5" s="141">
        <v>0</v>
      </c>
      <c r="AF5" s="141">
        <v>0</v>
      </c>
      <c r="AG5" s="141">
        <v>0</v>
      </c>
      <c r="AH5" s="141">
        <v>0</v>
      </c>
      <c r="AI5" s="141">
        <v>0</v>
      </c>
    </row>
    <row r="6" spans="1:35" ht="15" thickBot="1" x14ac:dyDescent="0.25">
      <c r="A6" s="143" t="s">
        <v>228</v>
      </c>
      <c r="B6" s="140" t="s">
        <v>524</v>
      </c>
      <c r="C6" s="141">
        <v>0.09</v>
      </c>
      <c r="D6" s="141">
        <v>0.09</v>
      </c>
      <c r="E6" s="141">
        <v>0.09</v>
      </c>
      <c r="F6" s="141">
        <v>0.09</v>
      </c>
      <c r="G6" s="141">
        <v>0.09</v>
      </c>
      <c r="H6" s="141">
        <v>0.09</v>
      </c>
      <c r="I6" s="141">
        <v>0.09</v>
      </c>
      <c r="J6" s="141">
        <v>0.09</v>
      </c>
      <c r="K6" s="141">
        <v>0.09</v>
      </c>
      <c r="M6" s="143" t="s">
        <v>232</v>
      </c>
      <c r="N6" s="140" t="s">
        <v>93</v>
      </c>
      <c r="O6" s="142">
        <v>1258</v>
      </c>
      <c r="P6" s="142">
        <v>1684</v>
      </c>
      <c r="Q6" s="142">
        <v>1944</v>
      </c>
      <c r="R6" s="142">
        <v>1555</v>
      </c>
      <c r="S6" s="142">
        <v>1184</v>
      </c>
      <c r="T6" s="142">
        <v>1028</v>
      </c>
      <c r="U6" s="142">
        <v>1287</v>
      </c>
      <c r="V6" s="142">
        <v>1393</v>
      </c>
      <c r="W6" s="142">
        <v>1277</v>
      </c>
      <c r="Y6" s="143" t="s">
        <v>232</v>
      </c>
      <c r="Z6" s="140" t="s">
        <v>524</v>
      </c>
      <c r="AA6" s="141">
        <v>0</v>
      </c>
      <c r="AB6" s="141">
        <v>0</v>
      </c>
      <c r="AC6" s="141">
        <v>0</v>
      </c>
      <c r="AD6" s="141">
        <v>0</v>
      </c>
      <c r="AE6" s="141">
        <v>0</v>
      </c>
      <c r="AF6" s="141">
        <v>0</v>
      </c>
      <c r="AG6" s="141">
        <v>0</v>
      </c>
      <c r="AH6" s="141">
        <v>0</v>
      </c>
      <c r="AI6" s="141">
        <v>0</v>
      </c>
    </row>
    <row r="7" spans="1:35" ht="15" thickBot="1" x14ac:dyDescent="0.25">
      <c r="A7" s="143" t="s">
        <v>228</v>
      </c>
      <c r="B7" s="140" t="s">
        <v>93</v>
      </c>
      <c r="C7" s="142">
        <v>8760</v>
      </c>
      <c r="D7" s="142">
        <v>8760</v>
      </c>
      <c r="E7" s="142">
        <v>8760</v>
      </c>
      <c r="F7" s="142">
        <v>8760</v>
      </c>
      <c r="G7" s="142">
        <v>8760</v>
      </c>
      <c r="H7" s="142">
        <v>8760</v>
      </c>
      <c r="I7" s="142">
        <v>8760</v>
      </c>
      <c r="J7" s="142">
        <v>8760</v>
      </c>
      <c r="K7" s="142">
        <v>8760</v>
      </c>
      <c r="M7" s="143" t="s">
        <v>233</v>
      </c>
      <c r="N7" s="140" t="s">
        <v>93</v>
      </c>
      <c r="O7" s="142">
        <v>6469</v>
      </c>
      <c r="P7" s="142">
        <v>7072</v>
      </c>
      <c r="Q7" s="142">
        <v>7587</v>
      </c>
      <c r="R7" s="142">
        <v>6829</v>
      </c>
      <c r="S7" s="142">
        <v>6155</v>
      </c>
      <c r="T7" s="142">
        <v>6077</v>
      </c>
      <c r="U7" s="142">
        <v>6574</v>
      </c>
      <c r="V7" s="142">
        <v>6628</v>
      </c>
      <c r="W7" s="142">
        <v>6387</v>
      </c>
      <c r="Y7" s="143" t="s">
        <v>233</v>
      </c>
      <c r="Z7" s="140" t="s">
        <v>524</v>
      </c>
      <c r="AA7" s="141">
        <v>0</v>
      </c>
      <c r="AB7" s="141">
        <v>0</v>
      </c>
      <c r="AC7" s="141">
        <v>0</v>
      </c>
      <c r="AD7" s="141">
        <v>0</v>
      </c>
      <c r="AE7" s="141">
        <v>0</v>
      </c>
      <c r="AF7" s="141">
        <v>0</v>
      </c>
      <c r="AG7" s="141">
        <v>0</v>
      </c>
      <c r="AH7" s="141">
        <v>0</v>
      </c>
      <c r="AI7" s="141">
        <v>0</v>
      </c>
    </row>
    <row r="8" spans="1:35" ht="15" thickBot="1" x14ac:dyDescent="0.25">
      <c r="A8" s="143" t="s">
        <v>230</v>
      </c>
      <c r="B8" s="140" t="s">
        <v>524</v>
      </c>
      <c r="C8" s="141">
        <v>0</v>
      </c>
      <c r="D8" s="141">
        <v>0</v>
      </c>
      <c r="E8" s="141">
        <v>0</v>
      </c>
      <c r="F8" s="141">
        <v>0</v>
      </c>
      <c r="G8" s="141">
        <v>0</v>
      </c>
      <c r="H8" s="141">
        <v>0</v>
      </c>
      <c r="I8" s="141">
        <v>0</v>
      </c>
      <c r="J8" s="141">
        <v>0</v>
      </c>
      <c r="K8" s="141">
        <v>0</v>
      </c>
      <c r="M8" s="143" t="s">
        <v>111</v>
      </c>
      <c r="N8" s="140" t="s">
        <v>93</v>
      </c>
      <c r="O8" s="142">
        <v>3214</v>
      </c>
      <c r="P8" s="142">
        <v>3876</v>
      </c>
      <c r="Q8" s="142">
        <v>4446</v>
      </c>
      <c r="R8" s="142">
        <v>3611</v>
      </c>
      <c r="S8" s="142">
        <v>3014</v>
      </c>
      <c r="T8" s="142">
        <v>2690</v>
      </c>
      <c r="U8" s="142">
        <v>3246</v>
      </c>
      <c r="V8" s="142">
        <v>3336</v>
      </c>
      <c r="W8" s="142">
        <v>3169</v>
      </c>
      <c r="Y8" s="143" t="s">
        <v>111</v>
      </c>
      <c r="Z8" s="140" t="s">
        <v>524</v>
      </c>
      <c r="AA8" s="141">
        <v>0</v>
      </c>
      <c r="AB8" s="141">
        <v>0</v>
      </c>
      <c r="AC8" s="141">
        <v>0</v>
      </c>
      <c r="AD8" s="141">
        <v>0</v>
      </c>
      <c r="AE8" s="141">
        <v>0</v>
      </c>
      <c r="AF8" s="141">
        <v>0</v>
      </c>
      <c r="AG8" s="141">
        <v>0</v>
      </c>
      <c r="AH8" s="141">
        <v>0</v>
      </c>
      <c r="AI8" s="141">
        <v>0</v>
      </c>
    </row>
    <row r="9" spans="1:35" ht="15" thickBot="1" x14ac:dyDescent="0.25">
      <c r="A9" s="143" t="s">
        <v>230</v>
      </c>
      <c r="B9" s="140" t="s">
        <v>93</v>
      </c>
      <c r="C9" s="142">
        <v>5934</v>
      </c>
      <c r="D9" s="142">
        <v>6627</v>
      </c>
      <c r="E9" s="142">
        <v>7170</v>
      </c>
      <c r="F9" s="142">
        <v>6280</v>
      </c>
      <c r="G9" s="142">
        <v>5823</v>
      </c>
      <c r="H9" s="142">
        <v>5477</v>
      </c>
      <c r="I9" s="142">
        <v>5991</v>
      </c>
      <c r="J9" s="142">
        <v>6223</v>
      </c>
      <c r="K9" s="142">
        <v>6045</v>
      </c>
      <c r="M9" s="143" t="s">
        <v>236</v>
      </c>
      <c r="N9" s="140" t="s">
        <v>93</v>
      </c>
      <c r="O9" s="142">
        <v>2676</v>
      </c>
      <c r="P9" s="142">
        <v>3183</v>
      </c>
      <c r="Q9" s="142">
        <v>3568</v>
      </c>
      <c r="R9" s="142">
        <v>2960</v>
      </c>
      <c r="S9" s="142">
        <v>2561</v>
      </c>
      <c r="T9" s="142">
        <v>2398</v>
      </c>
      <c r="U9" s="142">
        <v>2908</v>
      </c>
      <c r="V9" s="142">
        <v>2841</v>
      </c>
      <c r="W9" s="142">
        <v>2660</v>
      </c>
      <c r="Y9" s="143" t="s">
        <v>236</v>
      </c>
      <c r="Z9" s="140" t="s">
        <v>524</v>
      </c>
      <c r="AA9" s="141">
        <v>0</v>
      </c>
      <c r="AB9" s="141">
        <v>0</v>
      </c>
      <c r="AC9" s="141">
        <v>0</v>
      </c>
      <c r="AD9" s="141">
        <v>0</v>
      </c>
      <c r="AE9" s="141">
        <v>0</v>
      </c>
      <c r="AF9" s="141">
        <v>0</v>
      </c>
      <c r="AG9" s="141">
        <v>0</v>
      </c>
      <c r="AH9" s="141">
        <v>0</v>
      </c>
      <c r="AI9" s="141">
        <v>0</v>
      </c>
    </row>
    <row r="10" spans="1:35" ht="15" thickBot="1" x14ac:dyDescent="0.25">
      <c r="A10" s="143" t="s">
        <v>232</v>
      </c>
      <c r="B10" s="140" t="s">
        <v>524</v>
      </c>
      <c r="C10" s="141">
        <v>0</v>
      </c>
      <c r="D10" s="141">
        <v>0</v>
      </c>
      <c r="E10" s="141">
        <v>0</v>
      </c>
      <c r="F10" s="141">
        <v>0</v>
      </c>
      <c r="G10" s="141">
        <v>0</v>
      </c>
      <c r="H10" s="141">
        <v>0</v>
      </c>
      <c r="I10" s="141">
        <v>0</v>
      </c>
      <c r="J10" s="141">
        <v>0</v>
      </c>
      <c r="K10" s="141">
        <v>0</v>
      </c>
    </row>
    <row r="11" spans="1:35" ht="15" thickBot="1" x14ac:dyDescent="0.25">
      <c r="A11" s="143" t="s">
        <v>232</v>
      </c>
      <c r="B11" s="140" t="s">
        <v>93</v>
      </c>
      <c r="C11" s="142">
        <v>1258</v>
      </c>
      <c r="D11" s="142">
        <v>1684</v>
      </c>
      <c r="E11" s="142">
        <v>1944</v>
      </c>
      <c r="F11" s="142">
        <v>1555</v>
      </c>
      <c r="G11" s="142">
        <v>1184</v>
      </c>
      <c r="H11" s="142">
        <v>1028</v>
      </c>
      <c r="I11" s="142">
        <v>1287</v>
      </c>
      <c r="J11" s="142">
        <v>1393</v>
      </c>
      <c r="K11" s="142">
        <v>1277</v>
      </c>
    </row>
    <row r="12" spans="1:35" ht="15" thickBot="1" x14ac:dyDescent="0.25">
      <c r="A12" s="143" t="s">
        <v>233</v>
      </c>
      <c r="B12" s="140" t="s">
        <v>524</v>
      </c>
      <c r="C12" s="141">
        <v>0</v>
      </c>
      <c r="D12" s="141">
        <v>0</v>
      </c>
      <c r="E12" s="141">
        <v>0</v>
      </c>
      <c r="F12" s="141">
        <v>0</v>
      </c>
      <c r="G12" s="141">
        <v>0</v>
      </c>
      <c r="H12" s="141">
        <v>0</v>
      </c>
      <c r="I12" s="141">
        <v>0</v>
      </c>
      <c r="J12" s="141">
        <v>0</v>
      </c>
      <c r="K12" s="141">
        <v>0</v>
      </c>
    </row>
    <row r="13" spans="1:35" ht="15" thickBot="1" x14ac:dyDescent="0.25">
      <c r="A13" s="143" t="s">
        <v>233</v>
      </c>
      <c r="B13" s="140" t="s">
        <v>93</v>
      </c>
      <c r="C13" s="142">
        <v>6469</v>
      </c>
      <c r="D13" s="142">
        <v>7072</v>
      </c>
      <c r="E13" s="142">
        <v>7587</v>
      </c>
      <c r="F13" s="142">
        <v>6829</v>
      </c>
      <c r="G13" s="142">
        <v>6155</v>
      </c>
      <c r="H13" s="142">
        <v>6077</v>
      </c>
      <c r="I13" s="142">
        <v>6574</v>
      </c>
      <c r="J13" s="142">
        <v>6628</v>
      </c>
      <c r="K13" s="142">
        <v>6387</v>
      </c>
    </row>
    <row r="14" spans="1:35" ht="15" thickBot="1" x14ac:dyDescent="0.25">
      <c r="A14" s="143" t="s">
        <v>111</v>
      </c>
      <c r="B14" s="140" t="s">
        <v>524</v>
      </c>
      <c r="C14" s="141">
        <v>0</v>
      </c>
      <c r="D14" s="141">
        <v>0</v>
      </c>
      <c r="E14" s="141">
        <v>0</v>
      </c>
      <c r="F14" s="141">
        <v>0</v>
      </c>
      <c r="G14" s="141">
        <v>0</v>
      </c>
      <c r="H14" s="141">
        <v>0</v>
      </c>
      <c r="I14" s="141">
        <v>0</v>
      </c>
      <c r="J14" s="141">
        <v>0</v>
      </c>
      <c r="K14" s="141">
        <v>0</v>
      </c>
    </row>
    <row r="15" spans="1:35" ht="15" thickBot="1" x14ac:dyDescent="0.25">
      <c r="A15" s="143" t="s">
        <v>111</v>
      </c>
      <c r="B15" s="140" t="s">
        <v>93</v>
      </c>
      <c r="C15" s="142">
        <v>3214</v>
      </c>
      <c r="D15" s="142">
        <v>3876</v>
      </c>
      <c r="E15" s="142">
        <v>4446</v>
      </c>
      <c r="F15" s="142">
        <v>3611</v>
      </c>
      <c r="G15" s="142">
        <v>3014</v>
      </c>
      <c r="H15" s="142">
        <v>2690</v>
      </c>
      <c r="I15" s="142">
        <v>3246</v>
      </c>
      <c r="J15" s="142">
        <v>3336</v>
      </c>
      <c r="K15" s="142">
        <v>3169</v>
      </c>
    </row>
    <row r="16" spans="1:35" ht="15" thickBot="1" x14ac:dyDescent="0.25">
      <c r="A16" s="143" t="s">
        <v>236</v>
      </c>
      <c r="B16" s="140" t="s">
        <v>524</v>
      </c>
      <c r="C16" s="141">
        <v>0</v>
      </c>
      <c r="D16" s="141">
        <v>0</v>
      </c>
      <c r="E16" s="141">
        <v>0</v>
      </c>
      <c r="F16" s="141">
        <v>0</v>
      </c>
      <c r="G16" s="141">
        <v>0</v>
      </c>
      <c r="H16" s="141">
        <v>0</v>
      </c>
      <c r="I16" s="141">
        <v>0</v>
      </c>
      <c r="J16" s="141">
        <v>0</v>
      </c>
      <c r="K16" s="141">
        <v>0</v>
      </c>
    </row>
    <row r="17" spans="1:11" ht="15" thickBot="1" x14ac:dyDescent="0.25">
      <c r="A17" s="143" t="s">
        <v>236</v>
      </c>
      <c r="B17" s="140" t="s">
        <v>93</v>
      </c>
      <c r="C17" s="142">
        <v>2676</v>
      </c>
      <c r="D17" s="142">
        <v>3183</v>
      </c>
      <c r="E17" s="142">
        <v>3568</v>
      </c>
      <c r="F17" s="142">
        <v>2960</v>
      </c>
      <c r="G17" s="142">
        <v>2561</v>
      </c>
      <c r="H17" s="142">
        <v>2398</v>
      </c>
      <c r="I17" s="142">
        <v>2908</v>
      </c>
      <c r="J17" s="142">
        <v>2841</v>
      </c>
      <c r="K17" s="142">
        <v>2660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8C48F-2BE8-41DE-8F2B-E168C1B44BCF}">
  <sheetPr codeName="Sheet17"/>
  <dimension ref="A1:AI17"/>
  <sheetViews>
    <sheetView topLeftCell="L1" workbookViewId="0">
      <selection activeCell="Y2" sqref="Y2"/>
    </sheetView>
  </sheetViews>
  <sheetFormatPr defaultRowHeight="14.25" x14ac:dyDescent="0.2"/>
  <sheetData>
    <row r="1" spans="1:35" ht="27.75" thickBot="1" x14ac:dyDescent="0.25">
      <c r="A1" s="138" t="s">
        <v>523</v>
      </c>
      <c r="B1" s="139" t="s">
        <v>274</v>
      </c>
      <c r="C1" s="139" t="s">
        <v>18</v>
      </c>
      <c r="D1" s="139" t="s">
        <v>20</v>
      </c>
      <c r="E1" s="139" t="s">
        <v>10</v>
      </c>
      <c r="F1" s="139" t="s">
        <v>8</v>
      </c>
      <c r="G1" s="139" t="s">
        <v>6</v>
      </c>
      <c r="H1" s="139" t="s">
        <v>16</v>
      </c>
      <c r="I1" s="139" t="s">
        <v>4</v>
      </c>
      <c r="J1" s="139" t="s">
        <v>14</v>
      </c>
      <c r="K1" s="139" t="s">
        <v>12</v>
      </c>
      <c r="M1" s="138" t="s">
        <v>523</v>
      </c>
      <c r="N1" s="139" t="s">
        <v>274</v>
      </c>
      <c r="O1" s="139" t="s">
        <v>18</v>
      </c>
      <c r="P1" s="139" t="s">
        <v>20</v>
      </c>
      <c r="Q1" s="139" t="s">
        <v>10</v>
      </c>
      <c r="R1" s="139" t="s">
        <v>8</v>
      </c>
      <c r="S1" s="139" t="s">
        <v>6</v>
      </c>
      <c r="T1" s="139" t="s">
        <v>16</v>
      </c>
      <c r="U1" s="139" t="s">
        <v>4</v>
      </c>
      <c r="V1" s="139" t="s">
        <v>14</v>
      </c>
      <c r="W1" s="139" t="s">
        <v>12</v>
      </c>
      <c r="Y1" s="138" t="s">
        <v>523</v>
      </c>
      <c r="Z1" s="139" t="s">
        <v>274</v>
      </c>
      <c r="AA1" s="139" t="s">
        <v>18</v>
      </c>
      <c r="AB1" s="139" t="s">
        <v>20</v>
      </c>
      <c r="AC1" s="139" t="s">
        <v>10</v>
      </c>
      <c r="AD1" s="139" t="s">
        <v>8</v>
      </c>
      <c r="AE1" s="139" t="s">
        <v>6</v>
      </c>
      <c r="AF1" s="139" t="s">
        <v>16</v>
      </c>
      <c r="AG1" s="139" t="s">
        <v>4</v>
      </c>
      <c r="AH1" s="139" t="s">
        <v>14</v>
      </c>
      <c r="AI1" s="139" t="s">
        <v>12</v>
      </c>
    </row>
    <row r="2" spans="1:35" ht="15" thickBot="1" x14ac:dyDescent="0.25">
      <c r="A2" s="143" t="s">
        <v>219</v>
      </c>
      <c r="B2" s="140" t="s">
        <v>524</v>
      </c>
      <c r="C2" s="141">
        <v>0.41</v>
      </c>
      <c r="D2" s="141">
        <v>0.26</v>
      </c>
      <c r="E2" s="141">
        <v>0.2</v>
      </c>
      <c r="F2" s="141">
        <v>0.3</v>
      </c>
      <c r="G2" s="141">
        <v>0.42</v>
      </c>
      <c r="H2" s="141">
        <v>0.45</v>
      </c>
      <c r="I2" s="141">
        <v>0.4</v>
      </c>
      <c r="J2" s="141">
        <v>0.33</v>
      </c>
      <c r="K2" s="141">
        <v>0.39</v>
      </c>
      <c r="M2" s="143" t="s">
        <v>219</v>
      </c>
      <c r="N2" s="140" t="s">
        <v>93</v>
      </c>
      <c r="O2" s="142">
        <v>3527</v>
      </c>
      <c r="P2" s="142">
        <v>2938</v>
      </c>
      <c r="Q2" s="142">
        <v>2466</v>
      </c>
      <c r="R2" s="142">
        <v>3063</v>
      </c>
      <c r="S2" s="142">
        <v>3602</v>
      </c>
      <c r="T2" s="142">
        <v>4030</v>
      </c>
      <c r="U2" s="142">
        <v>3749</v>
      </c>
      <c r="V2" s="142">
        <v>3500</v>
      </c>
      <c r="W2" s="142">
        <v>3489</v>
      </c>
      <c r="Y2" s="143" t="s">
        <v>219</v>
      </c>
      <c r="Z2" s="140" t="s">
        <v>524</v>
      </c>
      <c r="AA2" s="141">
        <v>0.41</v>
      </c>
      <c r="AB2" s="141">
        <v>0.26</v>
      </c>
      <c r="AC2" s="141">
        <v>0.2</v>
      </c>
      <c r="AD2" s="141">
        <v>0.3</v>
      </c>
      <c r="AE2" s="141">
        <v>0.42</v>
      </c>
      <c r="AF2" s="141">
        <v>0.45</v>
      </c>
      <c r="AG2" s="141">
        <v>0.4</v>
      </c>
      <c r="AH2" s="141">
        <v>0.33</v>
      </c>
      <c r="AI2" s="141">
        <v>0.39</v>
      </c>
    </row>
    <row r="3" spans="1:35" ht="15" thickBot="1" x14ac:dyDescent="0.25">
      <c r="A3" s="143" t="s">
        <v>219</v>
      </c>
      <c r="B3" s="140" t="s">
        <v>93</v>
      </c>
      <c r="C3" s="142">
        <v>3527</v>
      </c>
      <c r="D3" s="142">
        <v>2938</v>
      </c>
      <c r="E3" s="142">
        <v>2466</v>
      </c>
      <c r="F3" s="142">
        <v>3063</v>
      </c>
      <c r="G3" s="142">
        <v>3602</v>
      </c>
      <c r="H3" s="142">
        <v>4030</v>
      </c>
      <c r="I3" s="142">
        <v>3749</v>
      </c>
      <c r="J3" s="142">
        <v>3500</v>
      </c>
      <c r="K3" s="142">
        <v>3489</v>
      </c>
      <c r="M3" s="143" t="s">
        <v>224</v>
      </c>
      <c r="N3" s="140" t="s">
        <v>93</v>
      </c>
      <c r="O3" s="142">
        <v>2448</v>
      </c>
      <c r="P3" s="142">
        <v>1733</v>
      </c>
      <c r="Q3" s="142">
        <v>1529</v>
      </c>
      <c r="R3" s="142">
        <v>2039</v>
      </c>
      <c r="S3" s="142">
        <v>2539</v>
      </c>
      <c r="T3" s="142">
        <v>3346</v>
      </c>
      <c r="U3" s="142">
        <v>2409</v>
      </c>
      <c r="V3" s="142">
        <v>2164</v>
      </c>
      <c r="W3" s="142">
        <v>2423</v>
      </c>
      <c r="Y3" s="143" t="s">
        <v>224</v>
      </c>
      <c r="Z3" s="140" t="s">
        <v>524</v>
      </c>
      <c r="AA3" s="141">
        <v>0.11</v>
      </c>
      <c r="AB3" s="141">
        <v>0.08</v>
      </c>
      <c r="AC3" s="141">
        <v>7.0000000000000007E-2</v>
      </c>
      <c r="AD3" s="141">
        <v>0.09</v>
      </c>
      <c r="AE3" s="141">
        <v>0.18</v>
      </c>
      <c r="AF3" s="141">
        <v>0.18</v>
      </c>
      <c r="AG3" s="141">
        <v>0.17</v>
      </c>
      <c r="AH3" s="141">
        <v>0.12</v>
      </c>
      <c r="AI3" s="141">
        <v>0.17</v>
      </c>
    </row>
    <row r="4" spans="1:35" ht="15" thickBot="1" x14ac:dyDescent="0.25">
      <c r="A4" s="143" t="s">
        <v>224</v>
      </c>
      <c r="B4" s="140" t="s">
        <v>524</v>
      </c>
      <c r="C4" s="141">
        <v>0.11</v>
      </c>
      <c r="D4" s="141">
        <v>0.08</v>
      </c>
      <c r="E4" s="141">
        <v>7.0000000000000007E-2</v>
      </c>
      <c r="F4" s="141">
        <v>0.09</v>
      </c>
      <c r="G4" s="141">
        <v>0.18</v>
      </c>
      <c r="H4" s="141">
        <v>0.18</v>
      </c>
      <c r="I4" s="141">
        <v>0.17</v>
      </c>
      <c r="J4" s="141">
        <v>0.12</v>
      </c>
      <c r="K4" s="141">
        <v>0.17</v>
      </c>
      <c r="M4" s="143" t="s">
        <v>228</v>
      </c>
      <c r="N4" s="140" t="s">
        <v>93</v>
      </c>
      <c r="O4" s="142">
        <v>3950</v>
      </c>
      <c r="P4" s="142">
        <v>3546</v>
      </c>
      <c r="Q4" s="142">
        <v>3293</v>
      </c>
      <c r="R4" s="142">
        <v>3698</v>
      </c>
      <c r="S4" s="142">
        <v>3687</v>
      </c>
      <c r="T4" s="142">
        <v>4168</v>
      </c>
      <c r="U4" s="142">
        <v>4093</v>
      </c>
      <c r="V4" s="142">
        <v>3713</v>
      </c>
      <c r="W4" s="142">
        <v>3670</v>
      </c>
      <c r="Y4" s="143" t="s">
        <v>228</v>
      </c>
      <c r="Z4" s="140" t="s">
        <v>524</v>
      </c>
      <c r="AA4" s="141">
        <v>0.45</v>
      </c>
      <c r="AB4" s="141">
        <v>0.37</v>
      </c>
      <c r="AC4" s="141">
        <v>0.28999999999999998</v>
      </c>
      <c r="AD4" s="141">
        <v>0.41</v>
      </c>
      <c r="AE4" s="141">
        <v>0.49</v>
      </c>
      <c r="AF4" s="141">
        <v>0.54</v>
      </c>
      <c r="AG4" s="141">
        <v>0.47</v>
      </c>
      <c r="AH4" s="141">
        <v>0.44</v>
      </c>
      <c r="AI4" s="141">
        <v>0.46</v>
      </c>
    </row>
    <row r="5" spans="1:35" ht="15" thickBot="1" x14ac:dyDescent="0.25">
      <c r="A5" s="143" t="s">
        <v>224</v>
      </c>
      <c r="B5" s="140" t="s">
        <v>93</v>
      </c>
      <c r="C5" s="142">
        <v>2448</v>
      </c>
      <c r="D5" s="142">
        <v>1733</v>
      </c>
      <c r="E5" s="142">
        <v>1529</v>
      </c>
      <c r="F5" s="142">
        <v>2039</v>
      </c>
      <c r="G5" s="142">
        <v>2539</v>
      </c>
      <c r="H5" s="142">
        <v>3346</v>
      </c>
      <c r="I5" s="142">
        <v>2409</v>
      </c>
      <c r="J5" s="142">
        <v>2164</v>
      </c>
      <c r="K5" s="142">
        <v>2423</v>
      </c>
      <c r="M5" s="143" t="s">
        <v>230</v>
      </c>
      <c r="N5" s="140" t="s">
        <v>93</v>
      </c>
      <c r="O5" s="142">
        <v>3675</v>
      </c>
      <c r="P5" s="142">
        <v>3100</v>
      </c>
      <c r="Q5" s="142">
        <v>2585</v>
      </c>
      <c r="R5" s="142">
        <v>3394</v>
      </c>
      <c r="S5" s="142">
        <v>3725</v>
      </c>
      <c r="T5" s="142">
        <v>4304</v>
      </c>
      <c r="U5" s="142">
        <v>3571</v>
      </c>
      <c r="V5" s="142">
        <v>3687</v>
      </c>
      <c r="W5" s="142">
        <v>3722</v>
      </c>
      <c r="Y5" s="143" t="s">
        <v>230</v>
      </c>
      <c r="Z5" s="140" t="s">
        <v>524</v>
      </c>
      <c r="AA5" s="141">
        <v>0.24</v>
      </c>
      <c r="AB5" s="141">
        <v>0.2</v>
      </c>
      <c r="AC5" s="141">
        <v>0.16</v>
      </c>
      <c r="AD5" s="141">
        <v>0.22</v>
      </c>
      <c r="AE5" s="141">
        <v>0.28000000000000003</v>
      </c>
      <c r="AF5" s="141">
        <v>0.3</v>
      </c>
      <c r="AG5" s="141">
        <v>0.28000000000000003</v>
      </c>
      <c r="AH5" s="141">
        <v>0.23</v>
      </c>
      <c r="AI5" s="141">
        <v>0.26</v>
      </c>
    </row>
    <row r="6" spans="1:35" ht="15" thickBot="1" x14ac:dyDescent="0.25">
      <c r="A6" s="143" t="s">
        <v>228</v>
      </c>
      <c r="B6" s="140" t="s">
        <v>524</v>
      </c>
      <c r="C6" s="141">
        <v>0.45</v>
      </c>
      <c r="D6" s="141">
        <v>0.37</v>
      </c>
      <c r="E6" s="141">
        <v>0.28999999999999998</v>
      </c>
      <c r="F6" s="141">
        <v>0.41</v>
      </c>
      <c r="G6" s="141">
        <v>0.49</v>
      </c>
      <c r="H6" s="141">
        <v>0.54</v>
      </c>
      <c r="I6" s="141">
        <v>0.47</v>
      </c>
      <c r="J6" s="141">
        <v>0.44</v>
      </c>
      <c r="K6" s="141">
        <v>0.46</v>
      </c>
      <c r="M6" s="143" t="s">
        <v>232</v>
      </c>
      <c r="N6" s="140" t="s">
        <v>93</v>
      </c>
      <c r="O6" s="142">
        <v>1735</v>
      </c>
      <c r="P6" s="142">
        <v>1305</v>
      </c>
      <c r="Q6" s="142">
        <v>1084</v>
      </c>
      <c r="R6" s="142">
        <v>1445</v>
      </c>
      <c r="S6" s="142">
        <v>1737</v>
      </c>
      <c r="T6" s="142">
        <v>1889</v>
      </c>
      <c r="U6" s="142">
        <v>1602</v>
      </c>
      <c r="V6" s="142">
        <v>1558</v>
      </c>
      <c r="W6" s="142">
        <v>1632</v>
      </c>
      <c r="Y6" s="143" t="s">
        <v>232</v>
      </c>
      <c r="Z6" s="140" t="s">
        <v>524</v>
      </c>
      <c r="AA6" s="141">
        <v>0.53</v>
      </c>
      <c r="AB6" s="141">
        <v>0.4</v>
      </c>
      <c r="AC6" s="141">
        <v>0.32</v>
      </c>
      <c r="AD6" s="141">
        <v>0.43</v>
      </c>
      <c r="AE6" s="141">
        <v>0.54</v>
      </c>
      <c r="AF6" s="141">
        <v>0.59</v>
      </c>
      <c r="AG6" s="141">
        <v>0.54</v>
      </c>
      <c r="AH6" s="141">
        <v>0.48</v>
      </c>
      <c r="AI6" s="141">
        <v>0.5</v>
      </c>
    </row>
    <row r="7" spans="1:35" ht="15" thickBot="1" x14ac:dyDescent="0.25">
      <c r="A7" s="143" t="s">
        <v>228</v>
      </c>
      <c r="B7" s="140" t="s">
        <v>93</v>
      </c>
      <c r="C7" s="142">
        <v>3950</v>
      </c>
      <c r="D7" s="142">
        <v>3546</v>
      </c>
      <c r="E7" s="142">
        <v>3293</v>
      </c>
      <c r="F7" s="142">
        <v>3698</v>
      </c>
      <c r="G7" s="142">
        <v>3687</v>
      </c>
      <c r="H7" s="142">
        <v>4168</v>
      </c>
      <c r="I7" s="142">
        <v>4093</v>
      </c>
      <c r="J7" s="142">
        <v>3713</v>
      </c>
      <c r="K7" s="142">
        <v>3670</v>
      </c>
      <c r="M7" s="143" t="s">
        <v>233</v>
      </c>
      <c r="N7" s="140" t="s">
        <v>93</v>
      </c>
      <c r="O7" s="142">
        <v>5544</v>
      </c>
      <c r="P7" s="142">
        <v>4591</v>
      </c>
      <c r="Q7" s="142">
        <v>3939</v>
      </c>
      <c r="R7" s="142">
        <v>4766</v>
      </c>
      <c r="S7" s="142">
        <v>5569</v>
      </c>
      <c r="T7" s="142">
        <v>5886</v>
      </c>
      <c r="U7" s="142">
        <v>5239</v>
      </c>
      <c r="V7" s="142">
        <v>5353</v>
      </c>
      <c r="W7" s="142">
        <v>5328</v>
      </c>
      <c r="Y7" s="143" t="s">
        <v>233</v>
      </c>
      <c r="Z7" s="140" t="s">
        <v>524</v>
      </c>
      <c r="AA7" s="141">
        <v>0.61</v>
      </c>
      <c r="AB7" s="141">
        <v>0.57999999999999996</v>
      </c>
      <c r="AC7" s="141">
        <v>0.53</v>
      </c>
      <c r="AD7" s="141">
        <v>0.61</v>
      </c>
      <c r="AE7" s="141">
        <v>0.67</v>
      </c>
      <c r="AF7" s="141">
        <v>0.68</v>
      </c>
      <c r="AG7" s="141">
        <v>0.7</v>
      </c>
      <c r="AH7" s="141">
        <v>0.59</v>
      </c>
      <c r="AI7" s="141">
        <v>0.66</v>
      </c>
    </row>
    <row r="8" spans="1:35" ht="15" thickBot="1" x14ac:dyDescent="0.25">
      <c r="A8" s="143" t="s">
        <v>230</v>
      </c>
      <c r="B8" s="140" t="s">
        <v>524</v>
      </c>
      <c r="C8" s="141">
        <v>0.24</v>
      </c>
      <c r="D8" s="141">
        <v>0.2</v>
      </c>
      <c r="E8" s="141">
        <v>0.16</v>
      </c>
      <c r="F8" s="141">
        <v>0.22</v>
      </c>
      <c r="G8" s="141">
        <v>0.28000000000000003</v>
      </c>
      <c r="H8" s="141">
        <v>0.3</v>
      </c>
      <c r="I8" s="141">
        <v>0.28000000000000003</v>
      </c>
      <c r="J8" s="141">
        <v>0.23</v>
      </c>
      <c r="K8" s="141">
        <v>0.26</v>
      </c>
      <c r="M8" s="143" t="s">
        <v>111</v>
      </c>
      <c r="N8" s="140" t="s">
        <v>93</v>
      </c>
      <c r="O8" s="142">
        <v>1781</v>
      </c>
      <c r="P8" s="142">
        <v>1389</v>
      </c>
      <c r="Q8" s="142">
        <v>1177</v>
      </c>
      <c r="R8" s="142">
        <v>1569</v>
      </c>
      <c r="S8" s="142">
        <v>1792</v>
      </c>
      <c r="T8" s="142">
        <v>2027</v>
      </c>
      <c r="U8" s="142">
        <v>1730</v>
      </c>
      <c r="V8" s="142">
        <v>1631</v>
      </c>
      <c r="W8" s="142">
        <v>1702</v>
      </c>
      <c r="Y8" s="143" t="s">
        <v>111</v>
      </c>
      <c r="Z8" s="140" t="s">
        <v>524</v>
      </c>
      <c r="AA8" s="141">
        <v>0.28999999999999998</v>
      </c>
      <c r="AB8" s="141">
        <v>0.25</v>
      </c>
      <c r="AC8" s="141">
        <v>0.2</v>
      </c>
      <c r="AD8" s="141">
        <v>0.27</v>
      </c>
      <c r="AE8" s="141">
        <v>0.35</v>
      </c>
      <c r="AF8" s="141">
        <v>0.36</v>
      </c>
      <c r="AG8" s="141">
        <v>0.33</v>
      </c>
      <c r="AH8" s="141">
        <v>0.28999999999999998</v>
      </c>
      <c r="AI8" s="141">
        <v>0.32</v>
      </c>
    </row>
    <row r="9" spans="1:35" ht="15" thickBot="1" x14ac:dyDescent="0.25">
      <c r="A9" s="143" t="s">
        <v>230</v>
      </c>
      <c r="B9" s="140" t="s">
        <v>93</v>
      </c>
      <c r="C9" s="142">
        <v>3675</v>
      </c>
      <c r="D9" s="142">
        <v>3100</v>
      </c>
      <c r="E9" s="142">
        <v>2585</v>
      </c>
      <c r="F9" s="142">
        <v>3394</v>
      </c>
      <c r="G9" s="142">
        <v>3725</v>
      </c>
      <c r="H9" s="142">
        <v>4304</v>
      </c>
      <c r="I9" s="142">
        <v>3571</v>
      </c>
      <c r="J9" s="142">
        <v>3687</v>
      </c>
      <c r="K9" s="142">
        <v>3722</v>
      </c>
      <c r="M9" s="143" t="s">
        <v>236</v>
      </c>
      <c r="N9" s="140" t="s">
        <v>93</v>
      </c>
      <c r="O9" s="142">
        <v>2889</v>
      </c>
      <c r="P9" s="142">
        <v>2381</v>
      </c>
      <c r="Q9" s="142">
        <v>1986</v>
      </c>
      <c r="R9" s="142">
        <v>2616</v>
      </c>
      <c r="S9" s="142">
        <v>3025</v>
      </c>
      <c r="T9" s="142">
        <v>3185</v>
      </c>
      <c r="U9" s="142">
        <v>2757</v>
      </c>
      <c r="V9" s="142">
        <v>2702</v>
      </c>
      <c r="W9" s="142">
        <v>2847</v>
      </c>
      <c r="Y9" s="143" t="s">
        <v>236</v>
      </c>
      <c r="Z9" s="140" t="s">
        <v>524</v>
      </c>
      <c r="AA9" s="141">
        <v>0.46</v>
      </c>
      <c r="AB9" s="141">
        <v>0.33</v>
      </c>
      <c r="AC9" s="141">
        <v>0.28000000000000003</v>
      </c>
      <c r="AD9" s="141">
        <v>0.38</v>
      </c>
      <c r="AE9" s="141">
        <v>0.53</v>
      </c>
      <c r="AF9" s="141">
        <v>0.54</v>
      </c>
      <c r="AG9" s="141">
        <v>0.47</v>
      </c>
      <c r="AH9" s="141">
        <v>0.42</v>
      </c>
      <c r="AI9" s="141">
        <v>0.47</v>
      </c>
    </row>
    <row r="10" spans="1:35" ht="15" thickBot="1" x14ac:dyDescent="0.25">
      <c r="A10" s="143" t="s">
        <v>232</v>
      </c>
      <c r="B10" s="140" t="s">
        <v>524</v>
      </c>
      <c r="C10" s="141">
        <v>0.53</v>
      </c>
      <c r="D10" s="141">
        <v>0.4</v>
      </c>
      <c r="E10" s="141">
        <v>0.32</v>
      </c>
      <c r="F10" s="141">
        <v>0.43</v>
      </c>
      <c r="G10" s="141">
        <v>0.54</v>
      </c>
      <c r="H10" s="141">
        <v>0.59</v>
      </c>
      <c r="I10" s="141">
        <v>0.54</v>
      </c>
      <c r="J10" s="141">
        <v>0.48</v>
      </c>
      <c r="K10" s="141">
        <v>0.5</v>
      </c>
    </row>
    <row r="11" spans="1:35" ht="15" thickBot="1" x14ac:dyDescent="0.25">
      <c r="A11" s="143" t="s">
        <v>232</v>
      </c>
      <c r="B11" s="140" t="s">
        <v>93</v>
      </c>
      <c r="C11" s="142">
        <v>1735</v>
      </c>
      <c r="D11" s="142">
        <v>1305</v>
      </c>
      <c r="E11" s="142">
        <v>1084</v>
      </c>
      <c r="F11" s="142">
        <v>1445</v>
      </c>
      <c r="G11" s="142">
        <v>1737</v>
      </c>
      <c r="H11" s="142">
        <v>1889</v>
      </c>
      <c r="I11" s="142">
        <v>1602</v>
      </c>
      <c r="J11" s="142">
        <v>1558</v>
      </c>
      <c r="K11" s="142">
        <v>1632</v>
      </c>
    </row>
    <row r="12" spans="1:35" ht="15" thickBot="1" x14ac:dyDescent="0.25">
      <c r="A12" s="143" t="s">
        <v>233</v>
      </c>
      <c r="B12" s="140" t="s">
        <v>524</v>
      </c>
      <c r="C12" s="141">
        <v>0.61</v>
      </c>
      <c r="D12" s="141">
        <v>0.57999999999999996</v>
      </c>
      <c r="E12" s="141">
        <v>0.53</v>
      </c>
      <c r="F12" s="141">
        <v>0.61</v>
      </c>
      <c r="G12" s="141">
        <v>0.67</v>
      </c>
      <c r="H12" s="141">
        <v>0.68</v>
      </c>
      <c r="I12" s="141">
        <v>0.7</v>
      </c>
      <c r="J12" s="141">
        <v>0.59</v>
      </c>
      <c r="K12" s="141">
        <v>0.66</v>
      </c>
    </row>
    <row r="13" spans="1:35" ht="15" thickBot="1" x14ac:dyDescent="0.25">
      <c r="A13" s="143" t="s">
        <v>233</v>
      </c>
      <c r="B13" s="140" t="s">
        <v>93</v>
      </c>
      <c r="C13" s="142">
        <v>5544</v>
      </c>
      <c r="D13" s="142">
        <v>4591</v>
      </c>
      <c r="E13" s="142">
        <v>3939</v>
      </c>
      <c r="F13" s="142">
        <v>4766</v>
      </c>
      <c r="G13" s="142">
        <v>5569</v>
      </c>
      <c r="H13" s="142">
        <v>5886</v>
      </c>
      <c r="I13" s="142">
        <v>5239</v>
      </c>
      <c r="J13" s="142">
        <v>5353</v>
      </c>
      <c r="K13" s="142">
        <v>5328</v>
      </c>
    </row>
    <row r="14" spans="1:35" ht="15" thickBot="1" x14ac:dyDescent="0.25">
      <c r="A14" s="143" t="s">
        <v>111</v>
      </c>
      <c r="B14" s="140" t="s">
        <v>524</v>
      </c>
      <c r="C14" s="141">
        <v>0.28999999999999998</v>
      </c>
      <c r="D14" s="141">
        <v>0.25</v>
      </c>
      <c r="E14" s="141">
        <v>0.2</v>
      </c>
      <c r="F14" s="141">
        <v>0.27</v>
      </c>
      <c r="G14" s="141">
        <v>0.35</v>
      </c>
      <c r="H14" s="141">
        <v>0.36</v>
      </c>
      <c r="I14" s="141">
        <v>0.33</v>
      </c>
      <c r="J14" s="141">
        <v>0.28999999999999998</v>
      </c>
      <c r="K14" s="141">
        <v>0.32</v>
      </c>
    </row>
    <row r="15" spans="1:35" ht="15" thickBot="1" x14ac:dyDescent="0.25">
      <c r="A15" s="143" t="s">
        <v>111</v>
      </c>
      <c r="B15" s="140" t="s">
        <v>93</v>
      </c>
      <c r="C15" s="142">
        <v>1781</v>
      </c>
      <c r="D15" s="142">
        <v>1389</v>
      </c>
      <c r="E15" s="142">
        <v>1177</v>
      </c>
      <c r="F15" s="142">
        <v>1569</v>
      </c>
      <c r="G15" s="142">
        <v>1792</v>
      </c>
      <c r="H15" s="142">
        <v>2027</v>
      </c>
      <c r="I15" s="142">
        <v>1730</v>
      </c>
      <c r="J15" s="142">
        <v>1631</v>
      </c>
      <c r="K15" s="142">
        <v>1702</v>
      </c>
    </row>
    <row r="16" spans="1:35" ht="15" thickBot="1" x14ac:dyDescent="0.25">
      <c r="A16" s="143" t="s">
        <v>236</v>
      </c>
      <c r="B16" s="140" t="s">
        <v>524</v>
      </c>
      <c r="C16" s="141">
        <v>0.46</v>
      </c>
      <c r="D16" s="141">
        <v>0.33</v>
      </c>
      <c r="E16" s="141">
        <v>0.28000000000000003</v>
      </c>
      <c r="F16" s="141">
        <v>0.38</v>
      </c>
      <c r="G16" s="141">
        <v>0.53</v>
      </c>
      <c r="H16" s="141">
        <v>0.54</v>
      </c>
      <c r="I16" s="141">
        <v>0.47</v>
      </c>
      <c r="J16" s="141">
        <v>0.42</v>
      </c>
      <c r="K16" s="141">
        <v>0.47</v>
      </c>
    </row>
    <row r="17" spans="1:11" ht="15" thickBot="1" x14ac:dyDescent="0.25">
      <c r="A17" s="143" t="s">
        <v>236</v>
      </c>
      <c r="B17" s="140" t="s">
        <v>93</v>
      </c>
      <c r="C17" s="142">
        <v>2889</v>
      </c>
      <c r="D17" s="142">
        <v>2381</v>
      </c>
      <c r="E17" s="142">
        <v>1986</v>
      </c>
      <c r="F17" s="142">
        <v>2616</v>
      </c>
      <c r="G17" s="142">
        <v>3025</v>
      </c>
      <c r="H17" s="142">
        <v>3185</v>
      </c>
      <c r="I17" s="142">
        <v>2757</v>
      </c>
      <c r="J17" s="142">
        <v>2702</v>
      </c>
      <c r="K17" s="142">
        <v>2847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1489"/>
  </sheetPr>
  <dimension ref="A1:Z70"/>
  <sheetViews>
    <sheetView zoomScaleNormal="100" workbookViewId="0">
      <selection activeCell="D10" sqref="D10"/>
    </sheetView>
  </sheetViews>
  <sheetFormatPr defaultColWidth="8.75" defaultRowHeight="14.25" x14ac:dyDescent="0.2"/>
  <cols>
    <col min="1" max="1" width="3.25" style="168" customWidth="1"/>
    <col min="2" max="2" width="35.125" style="168" customWidth="1"/>
    <col min="3" max="3" width="35.75" style="168" customWidth="1"/>
    <col min="4" max="4" width="47.875" style="168" customWidth="1"/>
    <col min="5" max="5" width="8.75" style="168"/>
    <col min="6" max="6" width="8.75" style="168" customWidth="1"/>
    <col min="7" max="10" width="8.75" style="168"/>
    <col min="11" max="11" width="17.25" style="168" customWidth="1"/>
    <col min="12" max="16384" width="8.75" style="168"/>
  </cols>
  <sheetData>
    <row r="1" spans="1:26" customFormat="1" ht="46.5" customHeight="1" x14ac:dyDescent="0.2">
      <c r="A1" s="633"/>
      <c r="B1" s="633"/>
      <c r="C1" s="633"/>
      <c r="D1" s="633"/>
      <c r="E1" s="633"/>
      <c r="F1" s="633"/>
      <c r="G1" s="633"/>
      <c r="H1" s="633"/>
      <c r="I1" s="633"/>
      <c r="J1" s="633"/>
      <c r="K1" s="633"/>
      <c r="L1" s="633"/>
      <c r="M1" s="633"/>
      <c r="N1" s="633"/>
      <c r="O1" s="633"/>
      <c r="P1" s="633"/>
      <c r="Q1" s="633"/>
      <c r="R1" s="633"/>
      <c r="S1" s="633"/>
      <c r="T1" s="633"/>
      <c r="U1" s="633"/>
      <c r="V1" s="633"/>
      <c r="W1" s="633"/>
      <c r="X1" s="633"/>
      <c r="Y1" s="633"/>
      <c r="Z1" s="633"/>
    </row>
    <row r="2" spans="1:26" ht="34.5" x14ac:dyDescent="0.5">
      <c r="B2" s="274" t="str" cm="1">
        <f t="array" ref="B2">CR_Utility_Alt&amp;" Motors and Drives Estimator"</f>
        <v>PPL Electric Motors and Drives Estimator</v>
      </c>
      <c r="C2" s="275"/>
      <c r="D2" s="276"/>
    </row>
    <row r="3" spans="1:26" ht="6" customHeight="1" x14ac:dyDescent="0.2"/>
    <row r="4" spans="1:26" ht="113.25" customHeight="1" x14ac:dyDescent="0.2">
      <c r="B4" s="640" t="s">
        <v>589</v>
      </c>
      <c r="C4" s="640"/>
      <c r="D4" s="640"/>
    </row>
    <row r="5" spans="1:26" x14ac:dyDescent="0.2">
      <c r="B5" s="165"/>
      <c r="C5" s="165"/>
      <c r="D5" s="165"/>
    </row>
    <row r="6" spans="1:26" ht="24.75" customHeight="1" x14ac:dyDescent="0.2">
      <c r="B6" s="642" t="s">
        <v>21</v>
      </c>
      <c r="C6" s="642"/>
      <c r="D6" s="277"/>
    </row>
    <row r="7" spans="1:26" ht="22.15" customHeight="1" x14ac:dyDescent="0.2">
      <c r="B7" s="643" t="s">
        <v>22</v>
      </c>
      <c r="C7" s="643"/>
      <c r="D7" s="278"/>
    </row>
    <row r="8" spans="1:26" ht="22.15" customHeight="1" x14ac:dyDescent="0.2">
      <c r="B8" s="644" t="s">
        <v>23</v>
      </c>
      <c r="C8" s="644"/>
      <c r="D8" s="278"/>
    </row>
    <row r="9" spans="1:26" ht="15" x14ac:dyDescent="0.25">
      <c r="B9" s="279"/>
      <c r="C9" s="279"/>
      <c r="D9" s="279"/>
    </row>
    <row r="10" spans="1:26" ht="26.45" customHeight="1" x14ac:dyDescent="0.25">
      <c r="B10" s="636" t="s">
        <v>24</v>
      </c>
      <c r="C10" s="636"/>
      <c r="D10" s="279"/>
    </row>
    <row r="11" spans="1:26" ht="22.15" customHeight="1" x14ac:dyDescent="0.2">
      <c r="B11" s="128" t="s">
        <v>25</v>
      </c>
      <c r="C11" s="129"/>
      <c r="D11" s="166"/>
    </row>
    <row r="12" spans="1:26" ht="22.15" customHeight="1" x14ac:dyDescent="0.2">
      <c r="B12" s="641" t="s">
        <v>26</v>
      </c>
      <c r="C12" s="641"/>
      <c r="D12" s="641"/>
    </row>
    <row r="13" spans="1:26" ht="10.9" customHeight="1" x14ac:dyDescent="0.2"/>
    <row r="14" spans="1:26" ht="22.15" customHeight="1" x14ac:dyDescent="0.2">
      <c r="B14" s="128" t="s">
        <v>27</v>
      </c>
      <c r="C14" s="129"/>
      <c r="D14" s="166"/>
    </row>
    <row r="15" spans="1:26" ht="22.15" customHeight="1" x14ac:dyDescent="0.2">
      <c r="B15" s="641" t="s">
        <v>28</v>
      </c>
      <c r="C15" s="641"/>
      <c r="D15" s="641"/>
    </row>
    <row r="16" spans="1:26" ht="10.9" customHeight="1" x14ac:dyDescent="0.2">
      <c r="B16" s="166"/>
      <c r="C16" s="166"/>
      <c r="D16" s="166"/>
    </row>
    <row r="17" spans="2:4" ht="22.15" hidden="1" customHeight="1" x14ac:dyDescent="0.2">
      <c r="B17" s="128" t="s">
        <v>29</v>
      </c>
      <c r="C17" s="129"/>
      <c r="D17" s="166"/>
    </row>
    <row r="18" spans="2:4" ht="45" hidden="1" customHeight="1" x14ac:dyDescent="0.2">
      <c r="B18" s="641" t="s">
        <v>30</v>
      </c>
      <c r="C18" s="641"/>
      <c r="D18" s="641"/>
    </row>
    <row r="19" spans="2:4" ht="10.9" hidden="1" customHeight="1" x14ac:dyDescent="0.2">
      <c r="B19" s="166"/>
      <c r="C19" s="166"/>
      <c r="D19" s="166"/>
    </row>
    <row r="20" spans="2:4" ht="21.75" customHeight="1" x14ac:dyDescent="0.2">
      <c r="B20" s="130" t="s">
        <v>31</v>
      </c>
      <c r="C20" s="166"/>
      <c r="D20" s="166"/>
    </row>
    <row r="21" spans="2:4" ht="33" customHeight="1" x14ac:dyDescent="0.2">
      <c r="B21" s="641" t="s">
        <v>32</v>
      </c>
      <c r="C21" s="641"/>
      <c r="D21" s="641"/>
    </row>
    <row r="22" spans="2:4" ht="10.9" customHeight="1" x14ac:dyDescent="0.2">
      <c r="B22" s="166"/>
      <c r="C22" s="166"/>
      <c r="D22" s="166"/>
    </row>
    <row r="23" spans="2:4" ht="21.75" hidden="1" customHeight="1" x14ac:dyDescent="0.2">
      <c r="B23" s="130" t="s">
        <v>33</v>
      </c>
      <c r="C23" s="166"/>
      <c r="D23" s="166"/>
    </row>
    <row r="24" spans="2:4" ht="50.25" hidden="1" customHeight="1" x14ac:dyDescent="0.2">
      <c r="B24" s="640" t="s">
        <v>34</v>
      </c>
      <c r="C24" s="640"/>
      <c r="D24" s="640"/>
    </row>
    <row r="25" spans="2:4" ht="10.9" hidden="1" customHeight="1" x14ac:dyDescent="0.2">
      <c r="B25" s="166"/>
      <c r="C25" s="166"/>
      <c r="D25" s="166"/>
    </row>
    <row r="26" spans="2:4" ht="21.75" customHeight="1" x14ac:dyDescent="0.2">
      <c r="B26" s="130" t="s">
        <v>35</v>
      </c>
      <c r="C26" s="166"/>
      <c r="D26" s="166"/>
    </row>
    <row r="27" spans="2:4" ht="45.75" customHeight="1" x14ac:dyDescent="0.2">
      <c r="B27" s="640" t="s">
        <v>36</v>
      </c>
      <c r="C27" s="640"/>
      <c r="D27" s="640"/>
    </row>
    <row r="28" spans="2:4" ht="10.5" customHeight="1" x14ac:dyDescent="0.2">
      <c r="B28" s="165"/>
      <c r="C28" s="165"/>
      <c r="D28" s="165"/>
    </row>
    <row r="29" spans="2:4" ht="21.75" customHeight="1" x14ac:dyDescent="0.2">
      <c r="B29" s="130" t="s">
        <v>37</v>
      </c>
      <c r="C29" s="165"/>
      <c r="D29" s="165"/>
    </row>
    <row r="30" spans="2:4" ht="50.25" customHeight="1" x14ac:dyDescent="0.2">
      <c r="B30" s="640" t="s">
        <v>38</v>
      </c>
      <c r="C30" s="640"/>
      <c r="D30" s="640"/>
    </row>
    <row r="31" spans="2:4" ht="10.5" customHeight="1" x14ac:dyDescent="0.2">
      <c r="B31" s="165"/>
      <c r="C31" s="165"/>
      <c r="D31" s="165"/>
    </row>
    <row r="32" spans="2:4" ht="21.75" hidden="1" customHeight="1" x14ac:dyDescent="0.2">
      <c r="B32" s="130" t="s">
        <v>39</v>
      </c>
      <c r="C32" s="165"/>
      <c r="D32" s="165"/>
    </row>
    <row r="33" spans="2:11" ht="45.75" hidden="1" customHeight="1" x14ac:dyDescent="0.2">
      <c r="B33" s="640" t="s">
        <v>40</v>
      </c>
      <c r="C33" s="640"/>
      <c r="D33" s="640"/>
    </row>
    <row r="34" spans="2:11" ht="10.9" hidden="1" customHeight="1" x14ac:dyDescent="0.2">
      <c r="B34" s="165"/>
      <c r="C34" s="165"/>
      <c r="D34" s="165"/>
    </row>
    <row r="35" spans="2:11" ht="22.15" customHeight="1" x14ac:dyDescent="0.2">
      <c r="B35" s="128" t="s">
        <v>41</v>
      </c>
      <c r="C35" s="129"/>
      <c r="D35" s="166"/>
    </row>
    <row r="36" spans="2:11" ht="22.15" customHeight="1" x14ac:dyDescent="0.2">
      <c r="B36" s="641" t="s">
        <v>42</v>
      </c>
      <c r="C36" s="641"/>
      <c r="D36" s="641"/>
    </row>
    <row r="37" spans="2:11" ht="15" x14ac:dyDescent="0.25">
      <c r="B37" s="279"/>
      <c r="C37" s="279"/>
      <c r="D37" s="279"/>
    </row>
    <row r="38" spans="2:11" ht="27.6" customHeight="1" x14ac:dyDescent="0.25">
      <c r="B38" s="636" t="s">
        <v>43</v>
      </c>
      <c r="C38" s="636"/>
      <c r="D38" s="279"/>
    </row>
    <row r="39" spans="2:11" ht="22.15" customHeight="1" x14ac:dyDescent="0.2">
      <c r="B39" s="280" t="s">
        <v>44</v>
      </c>
      <c r="C39" s="637" t="s">
        <v>45</v>
      </c>
      <c r="D39" s="637"/>
    </row>
    <row r="40" spans="2:11" ht="22.15" customHeight="1" x14ac:dyDescent="0.2">
      <c r="B40" s="280" t="s">
        <v>46</v>
      </c>
      <c r="C40" s="634" t="s">
        <v>47</v>
      </c>
      <c r="D40" s="635"/>
    </row>
    <row r="41" spans="2:11" ht="22.15" customHeight="1" x14ac:dyDescent="0.2">
      <c r="B41" s="280" t="s">
        <v>48</v>
      </c>
      <c r="C41" s="634" t="s">
        <v>49</v>
      </c>
      <c r="D41" s="635"/>
      <c r="I41" s="281"/>
    </row>
    <row r="42" spans="2:11" ht="22.15" customHeight="1" x14ac:dyDescent="0.2">
      <c r="B42" s="280" t="s">
        <v>50</v>
      </c>
      <c r="C42" s="634" t="s">
        <v>51</v>
      </c>
      <c r="D42" s="635"/>
      <c r="I42" s="281"/>
      <c r="K42" s="281"/>
    </row>
    <row r="43" spans="2:11" ht="22.15" customHeight="1" x14ac:dyDescent="0.2">
      <c r="B43" s="280" t="s">
        <v>52</v>
      </c>
      <c r="C43" s="634" t="s">
        <v>53</v>
      </c>
      <c r="D43" s="635"/>
      <c r="I43" s="281"/>
      <c r="J43" s="281"/>
      <c r="K43" s="281"/>
    </row>
    <row r="44" spans="2:11" ht="22.15" customHeight="1" x14ac:dyDescent="0.2">
      <c r="B44" s="280" t="s">
        <v>54</v>
      </c>
      <c r="C44" s="282" t="s">
        <v>55</v>
      </c>
      <c r="D44" s="283"/>
      <c r="I44" s="281"/>
      <c r="J44" s="281"/>
      <c r="K44" s="281"/>
    </row>
    <row r="45" spans="2:11" ht="32.25" customHeight="1" x14ac:dyDescent="0.2">
      <c r="B45" s="280" t="s">
        <v>56</v>
      </c>
      <c r="C45" s="638" t="s">
        <v>579</v>
      </c>
      <c r="D45" s="639"/>
      <c r="J45" s="281"/>
      <c r="K45" s="281"/>
    </row>
    <row r="46" spans="2:11" ht="22.15" customHeight="1" x14ac:dyDescent="0.2">
      <c r="B46" s="280" t="s">
        <v>57</v>
      </c>
      <c r="C46" s="282" t="s">
        <v>58</v>
      </c>
      <c r="D46" s="283"/>
    </row>
    <row r="47" spans="2:11" ht="27.75" customHeight="1" x14ac:dyDescent="0.2">
      <c r="B47" s="280" t="s">
        <v>59</v>
      </c>
      <c r="C47" s="638" t="s">
        <v>580</v>
      </c>
      <c r="D47" s="639"/>
    </row>
    <row r="48" spans="2:11" ht="22.15" customHeight="1" x14ac:dyDescent="0.2">
      <c r="B48" s="280" t="s">
        <v>60</v>
      </c>
      <c r="C48" s="638" t="s">
        <v>61</v>
      </c>
      <c r="D48" s="639"/>
    </row>
    <row r="49" spans="2:4" ht="22.15" customHeight="1" x14ac:dyDescent="0.2">
      <c r="B49" s="280" t="s">
        <v>62</v>
      </c>
      <c r="C49" s="638" t="s">
        <v>63</v>
      </c>
      <c r="D49" s="639"/>
    </row>
    <row r="50" spans="2:4" ht="22.15" customHeight="1" x14ac:dyDescent="0.2">
      <c r="B50" s="280" t="s">
        <v>64</v>
      </c>
      <c r="C50" s="284" t="s">
        <v>65</v>
      </c>
      <c r="D50" s="285"/>
    </row>
    <row r="51" spans="2:4" ht="22.15" customHeight="1" x14ac:dyDescent="0.2">
      <c r="B51" s="280" t="s">
        <v>66</v>
      </c>
      <c r="C51" s="284" t="s">
        <v>67</v>
      </c>
      <c r="D51" s="285"/>
    </row>
    <row r="52" spans="2:4" ht="22.15" customHeight="1" x14ac:dyDescent="0.2">
      <c r="B52" s="280" t="s">
        <v>68</v>
      </c>
      <c r="C52" s="638" t="s">
        <v>69</v>
      </c>
      <c r="D52" s="639"/>
    </row>
    <row r="53" spans="2:4" ht="22.15" customHeight="1" x14ac:dyDescent="0.2">
      <c r="B53" s="280" t="s">
        <v>70</v>
      </c>
      <c r="C53" s="638" t="s">
        <v>71</v>
      </c>
      <c r="D53" s="639"/>
    </row>
    <row r="54" spans="2:4" ht="32.25" customHeight="1" x14ac:dyDescent="0.2">
      <c r="B54" s="280" t="s">
        <v>72</v>
      </c>
      <c r="C54" s="638" t="s">
        <v>73</v>
      </c>
      <c r="D54" s="639"/>
    </row>
    <row r="55" spans="2:4" ht="32.25" customHeight="1" x14ac:dyDescent="0.2">
      <c r="B55" s="280" t="s">
        <v>74</v>
      </c>
      <c r="C55" s="638" t="s">
        <v>75</v>
      </c>
      <c r="D55" s="639"/>
    </row>
    <row r="56" spans="2:4" ht="22.15" customHeight="1" x14ac:dyDescent="0.2">
      <c r="B56" s="280" t="s">
        <v>76</v>
      </c>
      <c r="C56" s="638" t="s">
        <v>77</v>
      </c>
      <c r="D56" s="639"/>
    </row>
    <row r="57" spans="2:4" ht="30.75" customHeight="1" x14ac:dyDescent="0.2">
      <c r="B57" s="280" t="s">
        <v>78</v>
      </c>
      <c r="C57" s="638" t="s">
        <v>578</v>
      </c>
      <c r="D57" s="639"/>
    </row>
    <row r="58" spans="2:4" ht="22.15" customHeight="1" x14ac:dyDescent="0.2">
      <c r="B58" s="280" t="s">
        <v>79</v>
      </c>
      <c r="C58" s="638" t="s">
        <v>80</v>
      </c>
      <c r="D58" s="639"/>
    </row>
    <row r="59" spans="2:4" ht="22.15" customHeight="1" x14ac:dyDescent="0.2">
      <c r="B59" s="280" t="s">
        <v>81</v>
      </c>
      <c r="C59" s="638" t="s">
        <v>82</v>
      </c>
      <c r="D59" s="639"/>
    </row>
    <row r="60" spans="2:4" ht="22.15" customHeight="1" x14ac:dyDescent="0.2">
      <c r="B60" s="280" t="s">
        <v>83</v>
      </c>
      <c r="C60" s="638" t="s">
        <v>84</v>
      </c>
      <c r="D60" s="639"/>
    </row>
    <row r="61" spans="2:4" ht="15" x14ac:dyDescent="0.25">
      <c r="B61" s="279"/>
      <c r="C61" s="279"/>
      <c r="D61" s="279"/>
    </row>
    <row r="62" spans="2:4" ht="26.45" customHeight="1" x14ac:dyDescent="0.25">
      <c r="B62" s="636" t="s">
        <v>85</v>
      </c>
      <c r="C62" s="636"/>
      <c r="D62" s="279"/>
    </row>
    <row r="63" spans="2:4" ht="22.15" customHeight="1" x14ac:dyDescent="0.2">
      <c r="B63" s="286" t="s">
        <v>86</v>
      </c>
      <c r="C63" s="637" t="s">
        <v>87</v>
      </c>
      <c r="D63" s="637" t="s">
        <v>88</v>
      </c>
    </row>
    <row r="64" spans="2:4" ht="22.15" customHeight="1" x14ac:dyDescent="0.2">
      <c r="B64" s="286" t="s">
        <v>89</v>
      </c>
      <c r="C64" s="634" t="s">
        <v>90</v>
      </c>
      <c r="D64" s="635"/>
    </row>
    <row r="65" spans="2:4" ht="22.15" customHeight="1" x14ac:dyDescent="0.2">
      <c r="B65" s="286" t="s">
        <v>91</v>
      </c>
      <c r="C65" s="634" t="s">
        <v>92</v>
      </c>
      <c r="D65" s="635"/>
    </row>
    <row r="66" spans="2:4" ht="22.15" customHeight="1" x14ac:dyDescent="0.2">
      <c r="B66" s="286" t="s">
        <v>93</v>
      </c>
      <c r="C66" s="634" t="s">
        <v>94</v>
      </c>
      <c r="D66" s="635"/>
    </row>
    <row r="67" spans="2:4" ht="22.15" customHeight="1" x14ac:dyDescent="0.2">
      <c r="B67" s="286" t="s">
        <v>95</v>
      </c>
      <c r="C67" s="634" t="s">
        <v>96</v>
      </c>
      <c r="D67" s="635"/>
    </row>
    <row r="68" spans="2:4" ht="22.15" customHeight="1" x14ac:dyDescent="0.2">
      <c r="B68" s="286" t="s">
        <v>97</v>
      </c>
      <c r="C68" s="634" t="s">
        <v>98</v>
      </c>
      <c r="D68" s="635"/>
    </row>
    <row r="69" spans="2:4" ht="22.15" customHeight="1" x14ac:dyDescent="0.2">
      <c r="B69" s="286" t="s">
        <v>99</v>
      </c>
      <c r="C69" s="634" t="s">
        <v>100</v>
      </c>
      <c r="D69" s="635"/>
    </row>
    <row r="70" spans="2:4" ht="22.15" customHeight="1" x14ac:dyDescent="0.2">
      <c r="B70" s="286" t="s">
        <v>101</v>
      </c>
      <c r="C70" s="634" t="s">
        <v>102</v>
      </c>
      <c r="D70" s="635"/>
    </row>
  </sheetData>
  <sheetProtection algorithmName="SHA-512" hashValue="DS0UKTLjmygefXDKwEOrs7PCczaetNwZX+6NItvrTLT1IpitAH2f70/OYNJ3L9Ve5cbnpEoyH3O9WJ546fXLfQ==" saltValue="raLpzcO2QYfHG7PI7O5mbw==" spinCount="100000" sheet="1" objects="1" scenarios="1"/>
  <mergeCells count="47">
    <mergeCell ref="C40:D40"/>
    <mergeCell ref="C67:D67"/>
    <mergeCell ref="B38:C38"/>
    <mergeCell ref="C39:D39"/>
    <mergeCell ref="C66:D66"/>
    <mergeCell ref="C41:D41"/>
    <mergeCell ref="C42:D42"/>
    <mergeCell ref="C43:D43"/>
    <mergeCell ref="C45:D45"/>
    <mergeCell ref="C47:D47"/>
    <mergeCell ref="C48:D48"/>
    <mergeCell ref="C49:D49"/>
    <mergeCell ref="C52:D52"/>
    <mergeCell ref="C53:D53"/>
    <mergeCell ref="C54:D54"/>
    <mergeCell ref="C55:D55"/>
    <mergeCell ref="B4:D4"/>
    <mergeCell ref="B36:D36"/>
    <mergeCell ref="B15:D15"/>
    <mergeCell ref="B18:D18"/>
    <mergeCell ref="B6:C6"/>
    <mergeCell ref="B7:C7"/>
    <mergeCell ref="B8:C8"/>
    <mergeCell ref="B10:C10"/>
    <mergeCell ref="B21:D21"/>
    <mergeCell ref="B24:D24"/>
    <mergeCell ref="B27:D27"/>
    <mergeCell ref="B12:D12"/>
    <mergeCell ref="B30:D30"/>
    <mergeCell ref="B33:D33"/>
    <mergeCell ref="C56:D56"/>
    <mergeCell ref="C57:D57"/>
    <mergeCell ref="C58:D58"/>
    <mergeCell ref="C59:D59"/>
    <mergeCell ref="C60:D60"/>
    <mergeCell ref="C64:D64"/>
    <mergeCell ref="C65:D65"/>
    <mergeCell ref="C69:D69"/>
    <mergeCell ref="C70:D70"/>
    <mergeCell ref="B62:C62"/>
    <mergeCell ref="C63:D63"/>
    <mergeCell ref="C68:D68"/>
    <mergeCell ref="A1:E1"/>
    <mergeCell ref="F1:J1"/>
    <mergeCell ref="K1:P1"/>
    <mergeCell ref="Q1:U1"/>
    <mergeCell ref="V1:Z1"/>
  </mergeCells>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26F29E72-6699-4861-8CCE-E860175A415F}">
            <xm:f>'Utility Admin'!$E$3="FirstEnergy"</xm:f>
            <x14:dxf>
              <fill>
                <patternFill>
                  <bgColor rgb="FF1E427C"/>
                </patternFill>
              </fill>
            </x14:dxf>
          </x14:cfRule>
          <x14:cfRule type="expression" priority="2" id="{4F292B59-2AB5-40B8-9E80-398B2F33E28C}">
            <xm:f>'Utility Admin'!$E$3="PECO"</xm:f>
            <x14:dxf>
              <fill>
                <patternFill>
                  <bgColor rgb="FF6E06C1"/>
                </patternFill>
              </fill>
            </x14:dxf>
          </x14:cfRule>
          <x14:cfRule type="expression" priority="3" id="{C95C91C6-BF78-48E0-948C-1B6424B21F3E}">
            <xm:f>'Utility Admin'!$E$3="PPL"</xm:f>
            <x14:dxf>
              <fill>
                <patternFill>
                  <bgColor rgb="FF001489"/>
                </patternFill>
              </fill>
            </x14:dxf>
          </x14:cfRule>
          <xm:sqref>A1:Z1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E47B-3AB1-4A0B-89D6-BCB8ED3D7603}">
  <sheetPr codeName="Sheet2">
    <tabColor rgb="FF001489"/>
  </sheetPr>
  <dimension ref="A1:V27"/>
  <sheetViews>
    <sheetView tabSelected="1" zoomScaleNormal="100" workbookViewId="0">
      <selection activeCell="C6" sqref="C6:D6"/>
    </sheetView>
  </sheetViews>
  <sheetFormatPr defaultColWidth="8.75" defaultRowHeight="14.25" x14ac:dyDescent="0.2"/>
  <cols>
    <col min="1" max="1" width="3.625" style="168" customWidth="1"/>
    <col min="2" max="2" width="30.625" style="168" customWidth="1"/>
    <col min="3" max="3" width="18.125" style="168" customWidth="1"/>
    <col min="4" max="4" width="20.375" style="168" customWidth="1"/>
    <col min="5" max="6" width="18.125" style="168" customWidth="1"/>
    <col min="7" max="7" width="10.25" style="168" hidden="1" customWidth="1"/>
    <col min="8" max="8" width="11.625" style="168" bestFit="1" customWidth="1"/>
    <col min="9" max="9" width="13.875" style="168" customWidth="1"/>
    <col min="10" max="10" width="14.75" style="168" customWidth="1"/>
    <col min="11" max="11" width="10.125" style="168" customWidth="1"/>
    <col min="12" max="20" width="8.75" style="168"/>
    <col min="21" max="22" width="8.75" style="168" hidden="1" customWidth="1"/>
    <col min="23" max="23" width="0" style="168" hidden="1" customWidth="1"/>
    <col min="24" max="16384" width="8.75" style="168"/>
  </cols>
  <sheetData>
    <row r="1" spans="1:22" x14ac:dyDescent="0.2">
      <c r="A1" s="167"/>
      <c r="G1" s="168" t="s">
        <v>103</v>
      </c>
      <c r="J1" s="263" t="s">
        <v>104</v>
      </c>
      <c r="K1" s="387">
        <v>5</v>
      </c>
    </row>
    <row r="2" spans="1:22" x14ac:dyDescent="0.2">
      <c r="J2" s="263" t="s">
        <v>105</v>
      </c>
      <c r="K2" s="264">
        <f>MAX('Version Log'!C:C)</f>
        <v>46156</v>
      </c>
    </row>
    <row r="3" spans="1:22" ht="34.5" customHeight="1" x14ac:dyDescent="0.35">
      <c r="B3" s="625" t="s">
        <v>27</v>
      </c>
      <c r="C3" s="625"/>
      <c r="D3" s="625"/>
      <c r="E3" s="460"/>
      <c r="F3" s="460"/>
    </row>
    <row r="4" spans="1:22" ht="28.9" customHeight="1" x14ac:dyDescent="0.2">
      <c r="B4" s="626" t="s">
        <v>106</v>
      </c>
      <c r="C4" s="626"/>
      <c r="D4" s="626"/>
      <c r="E4" s="360"/>
      <c r="F4" s="360"/>
      <c r="V4" s="168" t="s">
        <v>107</v>
      </c>
    </row>
    <row r="5" spans="1:22" ht="9" customHeight="1" thickBot="1" x14ac:dyDescent="0.3">
      <c r="B5" s="170"/>
      <c r="C5" s="170"/>
    </row>
    <row r="6" spans="1:22" s="171" customFormat="1" ht="22.15" customHeight="1" x14ac:dyDescent="0.2">
      <c r="B6" s="574" t="s">
        <v>44</v>
      </c>
      <c r="C6" s="627"/>
      <c r="D6" s="628"/>
      <c r="V6" s="171" t="e" cm="1">
        <f t="array" ref="V6">_xlfn.UNIQUE(_xlfn.XLOOKUP(#REF!,'Lookup Table'!Y20:Y20,'Lookup Table'!Y21:Y29),,TRUE)</f>
        <v>#REF!</v>
      </c>
    </row>
    <row r="7" spans="1:22" s="171" customFormat="1" ht="22.15" customHeight="1" x14ac:dyDescent="0.2">
      <c r="B7" s="575" t="s">
        <v>46</v>
      </c>
      <c r="C7" s="620"/>
      <c r="D7" s="621"/>
    </row>
    <row r="8" spans="1:22" s="171" customFormat="1" ht="22.15" customHeight="1" x14ac:dyDescent="0.2">
      <c r="B8" s="575" t="s">
        <v>48</v>
      </c>
      <c r="C8" s="620"/>
      <c r="D8" s="621"/>
    </row>
    <row r="9" spans="1:22" s="171" customFormat="1" ht="22.15" customHeight="1" x14ac:dyDescent="0.2">
      <c r="B9" s="575" t="s">
        <v>50</v>
      </c>
      <c r="C9" s="624"/>
      <c r="D9" s="621"/>
    </row>
    <row r="10" spans="1:22" s="171" customFormat="1" ht="22.15" customHeight="1" x14ac:dyDescent="0.2">
      <c r="B10" s="575" t="s">
        <v>52</v>
      </c>
      <c r="C10" s="629"/>
      <c r="D10" s="630"/>
    </row>
    <row r="11" spans="1:22" s="171" customFormat="1" ht="22.15" hidden="1" customHeight="1" x14ac:dyDescent="0.2">
      <c r="B11" s="575" t="s">
        <v>108</v>
      </c>
      <c r="C11" s="620"/>
      <c r="D11" s="621"/>
      <c r="E11" s="367"/>
    </row>
    <row r="12" spans="1:22" s="171" customFormat="1" ht="22.15" customHeight="1" x14ac:dyDescent="0.2">
      <c r="B12" s="575" t="s">
        <v>110</v>
      </c>
      <c r="C12" s="620"/>
      <c r="D12" s="621"/>
    </row>
    <row r="13" spans="1:22" s="171" customFormat="1" ht="22.15" customHeight="1" x14ac:dyDescent="0.2">
      <c r="B13" s="575" t="s">
        <v>54</v>
      </c>
      <c r="C13" s="631" t="str">
        <f>IFERROR(IF(C12="","",INDEX('Zip Code Lookup Table'!$C$2:$C$2223,MATCH($C$12,'Zip Code Lookup Table'!$A$2:$A$2223,0))),"Error: Zip code not found in Pennsylvania lookups table")</f>
        <v/>
      </c>
      <c r="D13" s="632"/>
    </row>
    <row r="14" spans="1:22" s="171" customFormat="1" ht="22.15" customHeight="1" thickBot="1" x14ac:dyDescent="0.25">
      <c r="B14" s="576" t="s">
        <v>56</v>
      </c>
      <c r="C14" s="622"/>
      <c r="D14" s="623"/>
    </row>
    <row r="15" spans="1:22" s="171" customFormat="1" ht="22.15" customHeight="1" thickBot="1" x14ac:dyDescent="0.25">
      <c r="B15" s="193"/>
      <c r="C15" s="194"/>
      <c r="D15" s="193"/>
      <c r="E15" s="193"/>
      <c r="F15" s="193"/>
    </row>
    <row r="16" spans="1:22" s="171" customFormat="1" ht="21.75" customHeight="1" thickBot="1" x14ac:dyDescent="0.25">
      <c r="B16" s="577" t="s">
        <v>112</v>
      </c>
      <c r="C16" s="583" t="s">
        <v>86</v>
      </c>
      <c r="D16" s="584" t="s">
        <v>113</v>
      </c>
      <c r="E16" s="584" t="s">
        <v>114</v>
      </c>
      <c r="F16" s="585" t="s">
        <v>115</v>
      </c>
      <c r="G16" s="586" t="s">
        <v>116</v>
      </c>
      <c r="H16" s="587" t="s">
        <v>91</v>
      </c>
    </row>
    <row r="17" spans="2:8" s="171" customFormat="1" ht="21.75" hidden="1" customHeight="1" x14ac:dyDescent="0.2">
      <c r="B17" s="578" t="s">
        <v>29</v>
      </c>
      <c r="C17" s="265">
        <f>SUM('Premium Eff Motor'!V10:V19)</f>
        <v>0</v>
      </c>
      <c r="D17" s="462">
        <f>SUM('Premium Eff Motor'!W10:W19)</f>
        <v>0</v>
      </c>
      <c r="E17" s="467">
        <f>SUM('Premium Eff Motor'!X10:X19)</f>
        <v>0</v>
      </c>
      <c r="F17" s="465">
        <f>IFERROR(AVERAGE(D17,E17)," ")</f>
        <v>0</v>
      </c>
      <c r="G17" s="266">
        <f>SUM('Premium Eff Motor'!Z10:Z19)</f>
        <v>0</v>
      </c>
      <c r="H17" s="267">
        <f>SUM('Premium Eff Motor'!AA10:AA19)</f>
        <v>0</v>
      </c>
    </row>
    <row r="18" spans="2:8" s="171" customFormat="1" ht="21.75" customHeight="1" x14ac:dyDescent="0.2">
      <c r="B18" s="579" t="s">
        <v>117</v>
      </c>
      <c r="C18" s="268">
        <f>SUM(VFDs!V10:V19)</f>
        <v>0</v>
      </c>
      <c r="D18" s="463">
        <f>SUM(VFDs!X10:X19)</f>
        <v>0</v>
      </c>
      <c r="E18" s="465">
        <f>SUM(VFDs!Y10:Y19)</f>
        <v>0</v>
      </c>
      <c r="F18" s="464">
        <f t="shared" ref="F18:F22" si="0">IFERROR(AVERAGE(D18,E18)," ")</f>
        <v>0</v>
      </c>
      <c r="G18" s="269">
        <f>SUM(VFDs!W10:W19)</f>
        <v>0</v>
      </c>
      <c r="H18" s="270">
        <f>SUM(VFDs!AA10:AA19)</f>
        <v>0</v>
      </c>
    </row>
    <row r="19" spans="2:8" s="171" customFormat="1" ht="21.75" hidden="1" customHeight="1" x14ac:dyDescent="0.2">
      <c r="B19" s="579" t="s">
        <v>118</v>
      </c>
      <c r="C19" s="268">
        <f>SUM('ECM Fan'!AB10:AB19)</f>
        <v>0</v>
      </c>
      <c r="D19" s="463">
        <f>SUM('ECM Fan'!AE10:AE19)</f>
        <v>0</v>
      </c>
      <c r="E19" s="465">
        <f>SUM('ECM Fan'!AF10:AF19)</f>
        <v>0</v>
      </c>
      <c r="F19" s="464">
        <f t="shared" si="0"/>
        <v>0</v>
      </c>
      <c r="G19" s="269">
        <f>SUM('ECM Fan'!AD10:AD19)</f>
        <v>0</v>
      </c>
      <c r="H19" s="270">
        <f>SUM('ECM Fan'!AG10:AG19)</f>
        <v>0</v>
      </c>
    </row>
    <row r="20" spans="2:8" s="171" customFormat="1" ht="21.75" customHeight="1" x14ac:dyDescent="0.2">
      <c r="B20" s="579" t="s">
        <v>119</v>
      </c>
      <c r="C20" s="268">
        <f>SUM('VSD Kitchen Fan'!K10:K19)</f>
        <v>0</v>
      </c>
      <c r="D20" s="463">
        <f>SUM('VSD Kitchen Fan'!M10:M19)</f>
        <v>0</v>
      </c>
      <c r="E20" s="465">
        <f>SUM('VSD Kitchen Fan'!N10:N19)</f>
        <v>0</v>
      </c>
      <c r="F20" s="464">
        <f t="shared" si="0"/>
        <v>0</v>
      </c>
      <c r="G20" s="269">
        <f>SUM('VSD Kitchen Fan'!O10:O19)</f>
        <v>0</v>
      </c>
      <c r="H20" s="270">
        <f>SUM('VSD Kitchen Fan'!P10:P19)</f>
        <v>0</v>
      </c>
    </row>
    <row r="21" spans="2:8" s="171" customFormat="1" ht="21.75" customHeight="1" thickBot="1" x14ac:dyDescent="0.25">
      <c r="B21" s="580" t="s">
        <v>37</v>
      </c>
      <c r="C21" s="271">
        <f>SUM('ECM Circulator Pump'!T10:T19)</f>
        <v>0</v>
      </c>
      <c r="D21" s="571">
        <f>SUM('ECM Circulator Pump'!V10:V19)</f>
        <v>0</v>
      </c>
      <c r="E21" s="466">
        <f>SUM('ECM Circulator Pump'!W10:W19)</f>
        <v>0</v>
      </c>
      <c r="F21" s="466">
        <f t="shared" si="0"/>
        <v>0</v>
      </c>
      <c r="G21" s="572">
        <f>SUM('ECM Circulator Pump'!X10:X19)</f>
        <v>0</v>
      </c>
      <c r="H21" s="573">
        <f>SUM('ECM Circulator Pump'!Y10:Y19)</f>
        <v>0</v>
      </c>
    </row>
    <row r="22" spans="2:8" s="171" customFormat="1" ht="21.75" hidden="1" customHeight="1" thickBot="1" x14ac:dyDescent="0.25">
      <c r="B22" s="581" t="s">
        <v>39</v>
      </c>
      <c r="C22" s="272">
        <f>SUM('High Efficiency Pumps'!T10:T19)</f>
        <v>0</v>
      </c>
      <c r="D22" s="461">
        <f>SUM('High Efficiency Pumps'!V10:V19)</f>
        <v>0</v>
      </c>
      <c r="E22" s="273">
        <f>SUM('High Efficiency Pumps'!W10:W19)</f>
        <v>0</v>
      </c>
      <c r="F22" s="273">
        <f t="shared" si="0"/>
        <v>0</v>
      </c>
      <c r="G22" s="269">
        <f>SUM('High Efficiency Pumps'!X10:X19)</f>
        <v>0</v>
      </c>
      <c r="H22" s="270">
        <f>SUM('High Efficiency Pumps'!Y10:Y19)</f>
        <v>0</v>
      </c>
    </row>
    <row r="23" spans="2:8" s="171" customFormat="1" ht="22.15" customHeight="1" thickBot="1" x14ac:dyDescent="0.25">
      <c r="B23" s="581" t="s">
        <v>120</v>
      </c>
      <c r="C23" s="615">
        <f>SUM(C17:C22)</f>
        <v>0</v>
      </c>
      <c r="D23" s="616">
        <f>SUM(D17:D22)</f>
        <v>0</v>
      </c>
      <c r="E23" s="616">
        <f>SUM(E17:E22)</f>
        <v>0</v>
      </c>
      <c r="F23" s="617">
        <f>SUM(F17:F22)</f>
        <v>0</v>
      </c>
      <c r="G23" s="618">
        <f>SUM(G17:G22)</f>
        <v>0</v>
      </c>
      <c r="H23" s="619">
        <f>MIN(C10*0.5,G23,500000)</f>
        <v>0</v>
      </c>
    </row>
    <row r="24" spans="2:8" s="171" customFormat="1" ht="22.15" customHeight="1" x14ac:dyDescent="0.2">
      <c r="B24" s="193"/>
      <c r="C24" s="194"/>
      <c r="D24" s="193"/>
      <c r="E24" s="193"/>
      <c r="F24" s="193"/>
    </row>
    <row r="25" spans="2:8" s="171" customFormat="1" ht="22.15" customHeight="1" x14ac:dyDescent="0.2">
      <c r="B25" s="193"/>
      <c r="C25" s="194"/>
      <c r="D25" s="193"/>
      <c r="E25" s="193"/>
      <c r="F25" s="193"/>
    </row>
    <row r="26" spans="2:8" ht="9" customHeight="1" x14ac:dyDescent="0.2"/>
    <row r="27" spans="2:8" x14ac:dyDescent="0.2">
      <c r="B27" s="195"/>
    </row>
  </sheetData>
  <sheetProtection algorithmName="SHA-512" hashValue="M1yXyPhqT45vRwIkkPBrb6k4/R8kwe37ShiAZm43fcJeDZtwkbOH5u9s2hZc+yd3j6dYJaH2ZqQCnYPkUxr3Mg==" saltValue="ZM9FQY1RiSH5jevMtBpdPQ==" spinCount="100000" sheet="1" formatColumns="0"/>
  <mergeCells count="11">
    <mergeCell ref="C11:D11"/>
    <mergeCell ref="C14:D14"/>
    <mergeCell ref="C8:D8"/>
    <mergeCell ref="C9:D9"/>
    <mergeCell ref="B3:D3"/>
    <mergeCell ref="B4:D4"/>
    <mergeCell ref="C6:D6"/>
    <mergeCell ref="C7:D7"/>
    <mergeCell ref="C10:D10"/>
    <mergeCell ref="C13:D13"/>
    <mergeCell ref="C12:D12"/>
  </mergeCells>
  <dataValidations count="1">
    <dataValidation type="list" allowBlank="1" showInputMessage="1" showErrorMessage="1" sqref="C11:F11" xr:uid="{38556D19-5D5F-4724-8087-89D988F4EDE7}">
      <formula1>Rate_Codes</formula1>
    </dataValidation>
  </dataValidations>
  <pageMargins left="0.5" right="0.5" top="0.5" bottom="0.5" header="0.3" footer="0.3"/>
  <pageSetup orientation="portrait" r:id="rId1"/>
  <ignoredErrors>
    <ignoredError sqref="C17:C22"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BAE05AC9-5982-400C-B4F3-A59B7822AD07}">
          <x14:formula1>
            <xm:f>'Lookup Table'!$E$3:$E$11</xm:f>
          </x14:formula1>
          <xm:sqref>E14:F14</xm:sqref>
        </x14:dataValidation>
        <x14:dataValidation type="list" allowBlank="1" showInputMessage="1" showErrorMessage="1" xr:uid="{913136BE-1E8B-4119-8290-FED84CD94877}">
          <x14:formula1>
            <xm:f>'Lookup Table'!$D$3:$D$16</xm:f>
          </x14:formula1>
          <xm:sqref>C14:D14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E3834-F8EF-4AC0-A841-F8E0261BBCB6}">
  <sheetPr codeName="Sheet3">
    <tabColor theme="8" tint="0.59999389629810485"/>
  </sheetPr>
  <dimension ref="A1:AD23"/>
  <sheetViews>
    <sheetView zoomScale="80" zoomScaleNormal="80" workbookViewId="0">
      <selection activeCell="C10" sqref="C10"/>
    </sheetView>
  </sheetViews>
  <sheetFormatPr defaultColWidth="8.75" defaultRowHeight="14.25" x14ac:dyDescent="0.2"/>
  <cols>
    <col min="1" max="1" width="3.625" style="168" customWidth="1"/>
    <col min="2" max="2" width="6.125" style="168" customWidth="1"/>
    <col min="3" max="3" width="10.75" style="168" customWidth="1"/>
    <col min="4" max="4" width="20.25" style="168" customWidth="1"/>
    <col min="5" max="5" width="20.75" style="168" customWidth="1"/>
    <col min="6" max="6" width="22.375" style="168" customWidth="1"/>
    <col min="7" max="7" width="8.75" style="168" customWidth="1"/>
    <col min="8" max="8" width="13.75" style="168" hidden="1" customWidth="1"/>
    <col min="9" max="10" width="13.375" style="168" customWidth="1"/>
    <col min="11" max="11" width="13.25" style="168" customWidth="1"/>
    <col min="12" max="12" width="18.25" style="168" bestFit="1" customWidth="1"/>
    <col min="13" max="13" width="20.125" style="168" customWidth="1"/>
    <col min="14" max="14" width="14.75" style="168" hidden="1" customWidth="1"/>
    <col min="15" max="16" width="21.375" style="168" hidden="1" customWidth="1"/>
    <col min="17" max="17" width="19.25" style="168" hidden="1" customWidth="1"/>
    <col min="18" max="18" width="12.875" style="168" hidden="1" customWidth="1"/>
    <col min="19" max="19" width="10.875" style="168" customWidth="1"/>
    <col min="20" max="21" width="8.75" style="168" hidden="1" customWidth="1"/>
    <col min="22" max="23" width="10.625" style="168" customWidth="1"/>
    <col min="24" max="25" width="10.375" style="168" customWidth="1"/>
    <col min="26" max="26" width="8.75" style="168" hidden="1" customWidth="1"/>
    <col min="27" max="27" width="13.75" style="168" customWidth="1"/>
    <col min="28" max="28" width="8.75" style="168"/>
    <col min="29" max="29" width="8.75" style="168" customWidth="1"/>
    <col min="30" max="30" width="28.25" style="168" hidden="1" customWidth="1"/>
    <col min="31" max="16384" width="8.75" style="168"/>
  </cols>
  <sheetData>
    <row r="1" spans="1:30" x14ac:dyDescent="0.2">
      <c r="A1" s="167"/>
      <c r="H1" s="168" t="s">
        <v>103</v>
      </c>
      <c r="N1" s="168" t="s">
        <v>103</v>
      </c>
      <c r="O1" s="168" t="s">
        <v>103</v>
      </c>
      <c r="Q1" s="168" t="s">
        <v>103</v>
      </c>
      <c r="R1" s="168" t="s">
        <v>103</v>
      </c>
      <c r="T1" s="168" t="s">
        <v>103</v>
      </c>
      <c r="U1" s="168" t="s">
        <v>103</v>
      </c>
      <c r="Z1" s="168" t="s">
        <v>103</v>
      </c>
    </row>
    <row r="2" spans="1:30" ht="9.75" customHeight="1" x14ac:dyDescent="0.2"/>
    <row r="3" spans="1:30" ht="34.5" customHeight="1" x14ac:dyDescent="0.35">
      <c r="B3" s="625" t="s">
        <v>29</v>
      </c>
      <c r="C3" s="625"/>
      <c r="D3" s="625"/>
      <c r="E3" s="625"/>
      <c r="F3" s="625"/>
      <c r="G3" s="625"/>
      <c r="H3" s="625"/>
      <c r="I3" s="625"/>
    </row>
    <row r="4" spans="1:30" ht="28.9" customHeight="1" x14ac:dyDescent="0.2">
      <c r="B4" s="626" t="s">
        <v>106</v>
      </c>
      <c r="C4" s="626"/>
      <c r="D4" s="626"/>
      <c r="E4" s="626"/>
      <c r="F4" s="626"/>
      <c r="G4" s="626"/>
      <c r="H4" s="626"/>
      <c r="I4" s="626"/>
      <c r="J4" s="169"/>
      <c r="K4" s="169"/>
      <c r="AD4" s="168" t="s">
        <v>107</v>
      </c>
    </row>
    <row r="5" spans="1:30" ht="14.1" customHeight="1" x14ac:dyDescent="0.2">
      <c r="B5" s="360"/>
      <c r="C5" s="360"/>
      <c r="D5" s="360"/>
      <c r="E5" s="360"/>
      <c r="F5" s="360"/>
      <c r="G5" s="360"/>
      <c r="H5" s="360"/>
      <c r="I5" s="360"/>
      <c r="J5" s="169"/>
      <c r="K5" s="169"/>
    </row>
    <row r="6" spans="1:30" ht="28.9" customHeight="1" x14ac:dyDescent="0.2">
      <c r="B6" s="626" t="s">
        <v>121</v>
      </c>
      <c r="C6" s="626"/>
      <c r="D6" s="626"/>
      <c r="E6" s="626"/>
      <c r="F6" s="626"/>
      <c r="G6" s="626"/>
      <c r="H6" s="626"/>
      <c r="I6" s="626"/>
      <c r="J6" s="626"/>
      <c r="K6" s="626"/>
      <c r="L6" s="626"/>
      <c r="M6" s="626"/>
      <c r="N6" s="626"/>
      <c r="O6" s="626"/>
      <c r="P6" s="626"/>
      <c r="Q6" s="626"/>
      <c r="R6" s="626"/>
      <c r="S6" s="626"/>
      <c r="T6" s="626"/>
      <c r="U6" s="626"/>
      <c r="V6" s="626"/>
      <c r="W6" s="626"/>
      <c r="X6" s="626"/>
      <c r="Y6" s="626"/>
      <c r="Z6" s="626"/>
      <c r="AA6" s="626"/>
    </row>
    <row r="7" spans="1:30" ht="9" customHeight="1" thickBot="1" x14ac:dyDescent="0.3">
      <c r="B7" s="170"/>
      <c r="C7" s="170"/>
      <c r="D7" s="170"/>
      <c r="E7" s="170"/>
      <c r="AD7" s="168" t="e" cm="1" vm="1">
        <f t="array" ref="AD7">_xlfn.UNIQUE(_xlfn.XLOOKUP(F10,'Lookup Table'!Y3:AB3,'Lookup Table'!Y4:AB17),,TRUE)</f>
        <v>#VALUE!</v>
      </c>
    </row>
    <row r="8" spans="1:30" s="171" customFormat="1" ht="40.5" customHeight="1" thickBot="1" x14ac:dyDescent="0.25">
      <c r="B8" s="172"/>
      <c r="C8" s="647" t="s">
        <v>122</v>
      </c>
      <c r="D8" s="648"/>
      <c r="E8" s="648"/>
      <c r="F8" s="648"/>
      <c r="G8" s="648"/>
      <c r="H8" s="648"/>
      <c r="I8" s="648"/>
      <c r="J8" s="648"/>
      <c r="K8" s="648"/>
      <c r="L8" s="648"/>
      <c r="M8" s="648"/>
      <c r="N8" s="648"/>
      <c r="O8" s="648"/>
      <c r="P8" s="648"/>
      <c r="Q8" s="648"/>
      <c r="R8" s="648"/>
      <c r="S8" s="649"/>
      <c r="T8" s="650" t="s">
        <v>123</v>
      </c>
      <c r="U8" s="651"/>
      <c r="V8" s="651"/>
      <c r="W8" s="651"/>
      <c r="X8" s="651"/>
      <c r="Y8" s="652"/>
      <c r="Z8" s="173"/>
      <c r="AA8" s="645" t="s">
        <v>124</v>
      </c>
    </row>
    <row r="9" spans="1:30" s="171" customFormat="1" ht="71.25" customHeight="1" thickBot="1" x14ac:dyDescent="0.25">
      <c r="B9" s="352" t="s">
        <v>125</v>
      </c>
      <c r="C9" s="420" t="s">
        <v>57</v>
      </c>
      <c r="D9" s="420" t="s">
        <v>126</v>
      </c>
      <c r="E9" s="421" t="s">
        <v>127</v>
      </c>
      <c r="F9" s="175" t="s">
        <v>59</v>
      </c>
      <c r="G9" s="175" t="s">
        <v>60</v>
      </c>
      <c r="H9" s="175" t="s">
        <v>128</v>
      </c>
      <c r="I9" s="175" t="s">
        <v>62</v>
      </c>
      <c r="J9" s="175" t="s">
        <v>64</v>
      </c>
      <c r="K9" s="175" t="s">
        <v>66</v>
      </c>
      <c r="L9" s="176" t="s">
        <v>68</v>
      </c>
      <c r="M9" s="174" t="s">
        <v>129</v>
      </c>
      <c r="N9" s="421" t="s">
        <v>130</v>
      </c>
      <c r="O9" s="175" t="s">
        <v>131</v>
      </c>
      <c r="P9" s="423" t="s">
        <v>132</v>
      </c>
      <c r="Q9" s="424" t="s">
        <v>133</v>
      </c>
      <c r="R9" s="425" t="s">
        <v>134</v>
      </c>
      <c r="S9" s="422" t="s">
        <v>76</v>
      </c>
      <c r="T9" s="174" t="s">
        <v>135</v>
      </c>
      <c r="U9" s="175" t="s">
        <v>136</v>
      </c>
      <c r="V9" s="175" t="s">
        <v>86</v>
      </c>
      <c r="W9" s="205" t="s">
        <v>113</v>
      </c>
      <c r="X9" s="176" t="s">
        <v>114</v>
      </c>
      <c r="Y9" s="482" t="s">
        <v>454</v>
      </c>
      <c r="Z9" s="177" t="s">
        <v>116</v>
      </c>
      <c r="AA9" s="646"/>
    </row>
    <row r="10" spans="1:30" s="171" customFormat="1" ht="22.15" customHeight="1" x14ac:dyDescent="0.2">
      <c r="B10" s="353">
        <v>1</v>
      </c>
      <c r="C10" s="354"/>
      <c r="D10" s="290"/>
      <c r="E10" s="291"/>
      <c r="F10" s="104"/>
      <c r="G10" s="196"/>
      <c r="H10" s="322" t="str">
        <f>IFERROR(VLOOKUP(F10,'Lookup Table'!$K$3:$L$7,2,0),"")</f>
        <v/>
      </c>
      <c r="I10" s="196"/>
      <c r="J10" s="196"/>
      <c r="K10" s="196"/>
      <c r="L10" s="565"/>
      <c r="M10" s="566"/>
      <c r="N10" s="428">
        <f>'Lookup Table'!V32</f>
        <v>0</v>
      </c>
      <c r="O10" s="179" t="str">
        <f>IFERROR(VLOOKUP(_xlfn.CONCAT('Project Summary'!$C$13:$D$13, " ", 'Project Summary'!$C$14:$D$14),'Lookup Table'!$D$74:$I$190,VLOOKUP('Premium Eff Motor'!F10, 'Lookup Table'!$B$237:$C$241,2,FALSE),FALSE), " ")</f>
        <v xml:space="preserve"> </v>
      </c>
      <c r="P10" s="418" t="str">
        <f>IFERROR(VLOOKUP('Project Summary'!$C$14,'Lookup Table'!$M$68:$S$80, VLOOKUP('Premium Eff Motor'!F10,'Lookup Table'!$T$68:$U$72, 2, FALSE), FALSE), " ")</f>
        <v xml:space="preserve"> </v>
      </c>
      <c r="Q10" s="416" t="str">
        <f>IFERROR(VLOOKUP('Project Summary'!$C$14,'Lookup Table'!$M$81:$S$93, VLOOKUP('Premium Eff Motor'!F10,'Lookup Table'!$T$68:$U$72, 2, FALSE), FALSE), " ")</f>
        <v xml:space="preserve"> </v>
      </c>
      <c r="R10" s="473">
        <f>'Lookup Table'!G32</f>
        <v>0</v>
      </c>
      <c r="S10" s="476"/>
      <c r="T10" s="470">
        <f>IFERROR(0.746*M10*(H10/N10)*O10,0)</f>
        <v>0</v>
      </c>
      <c r="U10" s="335">
        <f>IFERROR(0.746*R10*(H10/S10)*O10,0)</f>
        <v>0</v>
      </c>
      <c r="V10" s="335">
        <f>IF(ISBLANK(S10),0,ROUND(G10*(T10-U10),2))</f>
        <v>0</v>
      </c>
      <c r="W10" s="398">
        <f>IF(V10=0,0,ROUND(V10*P10,4))</f>
        <v>0</v>
      </c>
      <c r="X10" s="479">
        <f t="shared" ref="X10:X19" si="0">IF(V10=0,0,ROUND(V10*Q10,4))</f>
        <v>0</v>
      </c>
      <c r="Y10" s="483">
        <f>IF(V10=0,0,AVERAGE(W10:X10))</f>
        <v>0</v>
      </c>
      <c r="Z10" s="356">
        <f>IFERROR(ROUND(V10*'Lookup Table'!$E$19+AVERAGE(X10,W10)*'Lookup Table'!$E$20,2),"")</f>
        <v>0</v>
      </c>
      <c r="AA10" s="181" t="str">
        <f>IFERROR('Project Summary'!$H$23*('Premium Eff Motor'!Z10/'Project Summary'!$G$23),"")</f>
        <v/>
      </c>
    </row>
    <row r="11" spans="1:30" s="171" customFormat="1" ht="22.15" customHeight="1" x14ac:dyDescent="0.2">
      <c r="B11" s="182">
        <v>2</v>
      </c>
      <c r="C11" s="144"/>
      <c r="D11" s="202"/>
      <c r="E11" s="96"/>
      <c r="F11" s="96"/>
      <c r="G11" s="197"/>
      <c r="H11" s="183" t="str">
        <f>IFERROR(VLOOKUP(F11,'Lookup Table'!$K$3:$L$7,2,0),"")</f>
        <v/>
      </c>
      <c r="I11" s="197"/>
      <c r="J11" s="197"/>
      <c r="K11" s="197"/>
      <c r="L11" s="201"/>
      <c r="M11" s="305"/>
      <c r="N11" s="334">
        <f>'Lookup Table'!V33</f>
        <v>0</v>
      </c>
      <c r="O11" s="179" t="str">
        <f>IFERROR(VLOOKUP(_xlfn.CONCAT('Project Summary'!$C$13:$D$13, " ", 'Project Summary'!$C$14:$D$14),'Lookup Table'!$D$74:$I$190,VLOOKUP('Premium Eff Motor'!F11, 'Lookup Table'!$B$237:$C$241,2,FALSE),FALSE), " ")</f>
        <v xml:space="preserve"> </v>
      </c>
      <c r="P11" s="418" t="str">
        <f>IFERROR(VLOOKUP('Project Summary'!$C$14,'Lookup Table'!$M$68:$S$80, VLOOKUP('Premium Eff Motor'!F11,'Lookup Table'!$T$68:$U$72, 2, FALSE), FALSE), " ")</f>
        <v xml:space="preserve"> </v>
      </c>
      <c r="Q11" s="416" t="str">
        <f>IFERROR(VLOOKUP('Project Summary'!$C$14,'Lookup Table'!$M$81:$S$93, VLOOKUP('Premium Eff Motor'!F11,'Lookup Table'!$T$68:$U$72, 2, FALSE), FALSE), " ")</f>
        <v xml:space="preserve"> </v>
      </c>
      <c r="R11" s="474">
        <f>'Lookup Table'!G33</f>
        <v>0</v>
      </c>
      <c r="S11" s="477"/>
      <c r="T11" s="471">
        <f t="shared" ref="T11:T19" si="1">IFERROR(0.746*M11*(H11/N11)*O11,0)</f>
        <v>0</v>
      </c>
      <c r="U11" s="184">
        <f t="shared" ref="U11:U19" si="2">IFERROR(0.746*R11*(H11/S11)*O11,0)</f>
        <v>0</v>
      </c>
      <c r="V11" s="179">
        <f t="shared" ref="V11:V19" si="3">IF(ISBLANK(S11),0,ROUND(G11*(T11-U11),2))</f>
        <v>0</v>
      </c>
      <c r="W11" s="399">
        <f t="shared" ref="W11:W19" si="4">IF(V11=0,0,ROUND(V11*P11,4))</f>
        <v>0</v>
      </c>
      <c r="X11" s="480">
        <f t="shared" si="0"/>
        <v>0</v>
      </c>
      <c r="Y11" s="484">
        <f t="shared" ref="Y11:Y19" si="5">IF(V11=0,0,AVERAGE(W11:X11))</f>
        <v>0</v>
      </c>
      <c r="Z11" s="357">
        <f>IFERROR(ROUND(V11*'Lookup Table'!$E$19+AVERAGE(X11,W11)*'Lookup Table'!$E$20,2),"")</f>
        <v>0</v>
      </c>
      <c r="AA11" s="187" t="str">
        <f>IFERROR('Project Summary'!$H$23*('Premium Eff Motor'!Z11/'Project Summary'!$G$23),"")</f>
        <v/>
      </c>
    </row>
    <row r="12" spans="1:30" s="171" customFormat="1" ht="22.15" customHeight="1" x14ac:dyDescent="0.2">
      <c r="B12" s="182">
        <v>3</v>
      </c>
      <c r="C12" s="144"/>
      <c r="D12" s="202"/>
      <c r="E12" s="96"/>
      <c r="F12" s="96"/>
      <c r="G12" s="197"/>
      <c r="H12" s="183" t="str">
        <f>IFERROR(VLOOKUP(F12,'Lookup Table'!$K$3:$L$7,2,0),"")</f>
        <v/>
      </c>
      <c r="I12" s="197"/>
      <c r="J12" s="197"/>
      <c r="K12" s="197"/>
      <c r="L12" s="201"/>
      <c r="M12" s="305"/>
      <c r="N12" s="334">
        <f>'Lookup Table'!V34</f>
        <v>0</v>
      </c>
      <c r="O12" s="179" t="str">
        <f>IFERROR(VLOOKUP(_xlfn.CONCAT('Project Summary'!$C$13:$D$13, " ", 'Project Summary'!$C$14:$D$14),'Lookup Table'!$D$74:$I$190,VLOOKUP('Premium Eff Motor'!F12, 'Lookup Table'!$B$237:$C$241,2,FALSE),FALSE), " ")</f>
        <v xml:space="preserve"> </v>
      </c>
      <c r="P12" s="418" t="str">
        <f>IFERROR(VLOOKUP('Project Summary'!$C$14,'Lookup Table'!$M$68:$S$80, VLOOKUP('Premium Eff Motor'!F12,'Lookup Table'!$T$68:$U$72, 2, FALSE), FALSE), " ")</f>
        <v xml:space="preserve"> </v>
      </c>
      <c r="Q12" s="416" t="str">
        <f>IFERROR(VLOOKUP('Project Summary'!$C$14,'Lookup Table'!$M$81:$S$93, VLOOKUP('Premium Eff Motor'!F12,'Lookup Table'!$T$68:$U$72, 2, FALSE), FALSE), " ")</f>
        <v xml:space="preserve"> </v>
      </c>
      <c r="R12" s="474">
        <f>'Lookup Table'!G34</f>
        <v>0</v>
      </c>
      <c r="S12" s="477"/>
      <c r="T12" s="471">
        <f t="shared" si="1"/>
        <v>0</v>
      </c>
      <c r="U12" s="184">
        <f t="shared" si="2"/>
        <v>0</v>
      </c>
      <c r="V12" s="179">
        <f t="shared" si="3"/>
        <v>0</v>
      </c>
      <c r="W12" s="399">
        <f t="shared" si="4"/>
        <v>0</v>
      </c>
      <c r="X12" s="480">
        <f t="shared" si="0"/>
        <v>0</v>
      </c>
      <c r="Y12" s="484">
        <f t="shared" si="5"/>
        <v>0</v>
      </c>
      <c r="Z12" s="357">
        <f>IFERROR(ROUND(V12*'Lookup Table'!$E$19+AVERAGE(X12,W12)*'Lookup Table'!$E$20,2),"")</f>
        <v>0</v>
      </c>
      <c r="AA12" s="187" t="str">
        <f>IFERROR('Project Summary'!$H$23*('Premium Eff Motor'!Z12/'Project Summary'!$G$23),"")</f>
        <v/>
      </c>
    </row>
    <row r="13" spans="1:30" s="171" customFormat="1" ht="22.15" customHeight="1" x14ac:dyDescent="0.2">
      <c r="B13" s="182">
        <v>4</v>
      </c>
      <c r="C13" s="145"/>
      <c r="D13" s="202"/>
      <c r="E13" s="96"/>
      <c r="F13" s="96"/>
      <c r="G13" s="197"/>
      <c r="H13" s="183" t="str">
        <f>IFERROR(VLOOKUP(F13,'Lookup Table'!$K$3:$L$7,2,0),"")</f>
        <v/>
      </c>
      <c r="I13" s="196"/>
      <c r="J13" s="196"/>
      <c r="K13" s="197"/>
      <c r="L13" s="201"/>
      <c r="M13" s="305"/>
      <c r="N13" s="334">
        <f>'Lookup Table'!V35</f>
        <v>0</v>
      </c>
      <c r="O13" s="179" t="str">
        <f>IFERROR(VLOOKUP(_xlfn.CONCAT('Project Summary'!$C$13:$D$13, " ", 'Project Summary'!$C$14:$D$14),'Lookup Table'!$D$74:$I$190,VLOOKUP('Premium Eff Motor'!F13, 'Lookup Table'!$B$237:$C$241,2,FALSE),FALSE), " ")</f>
        <v xml:space="preserve"> </v>
      </c>
      <c r="P13" s="418" t="str">
        <f>IFERROR(VLOOKUP('Project Summary'!$C$14,'Lookup Table'!$M$68:$S$80, VLOOKUP('Premium Eff Motor'!F13,'Lookup Table'!$T$68:$U$72, 2, FALSE), FALSE), " ")</f>
        <v xml:space="preserve"> </v>
      </c>
      <c r="Q13" s="416" t="str">
        <f>IFERROR(VLOOKUP('Project Summary'!$C$14,'Lookup Table'!$M$81:$S$93, VLOOKUP('Premium Eff Motor'!F13,'Lookup Table'!$T$68:$U$72, 2, FALSE), FALSE), " ")</f>
        <v xml:space="preserve"> </v>
      </c>
      <c r="R13" s="474">
        <f>'Lookup Table'!G35</f>
        <v>0</v>
      </c>
      <c r="S13" s="477"/>
      <c r="T13" s="471">
        <f t="shared" si="1"/>
        <v>0</v>
      </c>
      <c r="U13" s="184">
        <f t="shared" si="2"/>
        <v>0</v>
      </c>
      <c r="V13" s="179">
        <f t="shared" si="3"/>
        <v>0</v>
      </c>
      <c r="W13" s="399">
        <f t="shared" si="4"/>
        <v>0</v>
      </c>
      <c r="X13" s="480">
        <f t="shared" si="0"/>
        <v>0</v>
      </c>
      <c r="Y13" s="484">
        <f t="shared" si="5"/>
        <v>0</v>
      </c>
      <c r="Z13" s="357">
        <f>IFERROR(ROUND(V13*'Lookup Table'!$E$19+AVERAGE(X13,W13)*'Lookup Table'!$E$20,2),"")</f>
        <v>0</v>
      </c>
      <c r="AA13" s="187" t="str">
        <f>IFERROR('Project Summary'!$H$23*('Premium Eff Motor'!Z13/'Project Summary'!$G$23),"")</f>
        <v/>
      </c>
    </row>
    <row r="14" spans="1:30" s="171" customFormat="1" ht="22.15" customHeight="1" x14ac:dyDescent="0.2">
      <c r="B14" s="182">
        <v>5</v>
      </c>
      <c r="C14" s="145"/>
      <c r="D14" s="202"/>
      <c r="E14" s="96"/>
      <c r="F14" s="96"/>
      <c r="G14" s="197"/>
      <c r="H14" s="183" t="str">
        <f>IFERROR(VLOOKUP(F14,'Lookup Table'!$K$3:$L$7,2,0),"")</f>
        <v/>
      </c>
      <c r="I14" s="197"/>
      <c r="J14" s="197"/>
      <c r="K14" s="197"/>
      <c r="L14" s="201"/>
      <c r="M14" s="305"/>
      <c r="N14" s="334">
        <f>'Lookup Table'!V36</f>
        <v>0</v>
      </c>
      <c r="O14" s="179" t="str">
        <f>IFERROR(VLOOKUP(_xlfn.CONCAT('Project Summary'!$C$13:$D$13, " ", 'Project Summary'!$C$14:$D$14),'Lookup Table'!$D$74:$I$190,VLOOKUP('Premium Eff Motor'!F14, 'Lookup Table'!$B$237:$C$241,2,FALSE),FALSE), " ")</f>
        <v xml:space="preserve"> </v>
      </c>
      <c r="P14" s="418" t="str">
        <f>IFERROR(VLOOKUP('Project Summary'!$C$14,'Lookup Table'!$M$68:$S$80, VLOOKUP('Premium Eff Motor'!F14,'Lookup Table'!$T$68:$U$72, 2, FALSE), FALSE), " ")</f>
        <v xml:space="preserve"> </v>
      </c>
      <c r="Q14" s="416" t="str">
        <f>IFERROR(VLOOKUP('Project Summary'!$C$14,'Lookup Table'!$M$81:$S$93, VLOOKUP('Premium Eff Motor'!F14,'Lookup Table'!$T$68:$U$72, 2, FALSE), FALSE), " ")</f>
        <v xml:space="preserve"> </v>
      </c>
      <c r="R14" s="474">
        <f>'Lookup Table'!G36</f>
        <v>0</v>
      </c>
      <c r="S14" s="477"/>
      <c r="T14" s="471">
        <f t="shared" si="1"/>
        <v>0</v>
      </c>
      <c r="U14" s="184">
        <f t="shared" si="2"/>
        <v>0</v>
      </c>
      <c r="V14" s="179">
        <f t="shared" si="3"/>
        <v>0</v>
      </c>
      <c r="W14" s="399">
        <f t="shared" si="4"/>
        <v>0</v>
      </c>
      <c r="X14" s="480">
        <f t="shared" si="0"/>
        <v>0</v>
      </c>
      <c r="Y14" s="484">
        <f t="shared" si="5"/>
        <v>0</v>
      </c>
      <c r="Z14" s="357">
        <f>IFERROR(ROUND(V14*'Lookup Table'!$E$19+AVERAGE(X14,W14)*'Lookup Table'!$E$20,2),"")</f>
        <v>0</v>
      </c>
      <c r="AA14" s="187" t="str">
        <f>IFERROR('Project Summary'!$H$23*('Premium Eff Motor'!Z14/'Project Summary'!$G$23),"")</f>
        <v/>
      </c>
    </row>
    <row r="15" spans="1:30" s="171" customFormat="1" ht="22.15" customHeight="1" x14ac:dyDescent="0.2">
      <c r="B15" s="182">
        <v>6</v>
      </c>
      <c r="C15" s="145"/>
      <c r="D15" s="202"/>
      <c r="E15" s="96"/>
      <c r="F15" s="96"/>
      <c r="G15" s="197"/>
      <c r="H15" s="183" t="str">
        <f>IFERROR(VLOOKUP(F15,'Lookup Table'!$K$3:$L$7,2,0),"")</f>
        <v/>
      </c>
      <c r="I15" s="197"/>
      <c r="J15" s="197"/>
      <c r="K15" s="197"/>
      <c r="L15" s="201"/>
      <c r="M15" s="305"/>
      <c r="N15" s="334">
        <f>'Lookup Table'!V37</f>
        <v>0</v>
      </c>
      <c r="O15" s="179" t="str">
        <f>IFERROR(VLOOKUP(_xlfn.CONCAT('Project Summary'!$C$13:$D$13, " ", 'Project Summary'!$C$14:$D$14),'Lookup Table'!$D$74:$I$190,VLOOKUP('Premium Eff Motor'!F15, 'Lookup Table'!$B$237:$C$241,2,FALSE),FALSE), " ")</f>
        <v xml:space="preserve"> </v>
      </c>
      <c r="P15" s="418" t="str">
        <f>IFERROR(VLOOKUP('Project Summary'!$C$14,'Lookup Table'!$M$68:$S$80, VLOOKUP('Premium Eff Motor'!F15,'Lookup Table'!$T$68:$U$72, 2, FALSE), FALSE), " ")</f>
        <v xml:space="preserve"> </v>
      </c>
      <c r="Q15" s="416" t="str">
        <f>IFERROR(VLOOKUP('Project Summary'!$C$14,'Lookup Table'!$M$81:$S$93, VLOOKUP('Premium Eff Motor'!F15,'Lookup Table'!$T$68:$U$72, 2, FALSE), FALSE), " ")</f>
        <v xml:space="preserve"> </v>
      </c>
      <c r="R15" s="474">
        <f>'Lookup Table'!G37</f>
        <v>0</v>
      </c>
      <c r="S15" s="477"/>
      <c r="T15" s="471">
        <f t="shared" si="1"/>
        <v>0</v>
      </c>
      <c r="U15" s="184">
        <f t="shared" si="2"/>
        <v>0</v>
      </c>
      <c r="V15" s="179">
        <f t="shared" si="3"/>
        <v>0</v>
      </c>
      <c r="W15" s="399">
        <f t="shared" si="4"/>
        <v>0</v>
      </c>
      <c r="X15" s="480">
        <f t="shared" si="0"/>
        <v>0</v>
      </c>
      <c r="Y15" s="484">
        <f t="shared" si="5"/>
        <v>0</v>
      </c>
      <c r="Z15" s="357">
        <f>IFERROR(ROUND(V15*'Lookup Table'!$E$19+AVERAGE(X15,W15)*'Lookup Table'!$E$20,2),"")</f>
        <v>0</v>
      </c>
      <c r="AA15" s="187" t="str">
        <f>IFERROR('Project Summary'!$H$23*('Premium Eff Motor'!Z15/'Project Summary'!$G$23),"")</f>
        <v/>
      </c>
    </row>
    <row r="16" spans="1:30" s="171" customFormat="1" ht="22.15" customHeight="1" x14ac:dyDescent="0.2">
      <c r="B16" s="182">
        <v>7</v>
      </c>
      <c r="C16" s="145"/>
      <c r="D16" s="202"/>
      <c r="E16" s="96"/>
      <c r="F16" s="96"/>
      <c r="G16" s="197"/>
      <c r="H16" s="183" t="str">
        <f>IFERROR(VLOOKUP(F16,'Lookup Table'!$K$3:$L$7,2,0),"")</f>
        <v/>
      </c>
      <c r="I16" s="196"/>
      <c r="J16" s="197"/>
      <c r="K16" s="197"/>
      <c r="L16" s="201"/>
      <c r="M16" s="305"/>
      <c r="N16" s="334">
        <f>'Lookup Table'!V38</f>
        <v>0</v>
      </c>
      <c r="O16" s="179" t="str">
        <f>IFERROR(VLOOKUP(_xlfn.CONCAT('Project Summary'!$C$13:$D$13, " ", 'Project Summary'!$C$14:$D$14),'Lookup Table'!$D$74:$I$190,VLOOKUP('Premium Eff Motor'!F16, 'Lookup Table'!$B$237:$C$241,2,FALSE),FALSE), " ")</f>
        <v xml:space="preserve"> </v>
      </c>
      <c r="P16" s="418" t="str">
        <f>IFERROR(VLOOKUP('Project Summary'!$C$14,'Lookup Table'!$M$68:$S$80, VLOOKUP('Premium Eff Motor'!F16,'Lookup Table'!$T$68:$U$72, 2, FALSE), FALSE), " ")</f>
        <v xml:space="preserve"> </v>
      </c>
      <c r="Q16" s="416" t="str">
        <f>IFERROR(VLOOKUP('Project Summary'!$C$14,'Lookup Table'!$M$81:$S$93, VLOOKUP('Premium Eff Motor'!F16,'Lookup Table'!$T$68:$U$72, 2, FALSE), FALSE), " ")</f>
        <v xml:space="preserve"> </v>
      </c>
      <c r="R16" s="474">
        <f>'Lookup Table'!G38</f>
        <v>0</v>
      </c>
      <c r="S16" s="477"/>
      <c r="T16" s="471">
        <f t="shared" si="1"/>
        <v>0</v>
      </c>
      <c r="U16" s="184">
        <f t="shared" si="2"/>
        <v>0</v>
      </c>
      <c r="V16" s="179">
        <f t="shared" si="3"/>
        <v>0</v>
      </c>
      <c r="W16" s="399">
        <f t="shared" si="4"/>
        <v>0</v>
      </c>
      <c r="X16" s="480">
        <f t="shared" si="0"/>
        <v>0</v>
      </c>
      <c r="Y16" s="484">
        <f t="shared" si="5"/>
        <v>0</v>
      </c>
      <c r="Z16" s="357">
        <f>IFERROR(ROUND(V16*'Lookup Table'!$E$19+AVERAGE(X16,W16)*'Lookup Table'!$E$20,2),"")</f>
        <v>0</v>
      </c>
      <c r="AA16" s="187" t="str">
        <f>IFERROR('Project Summary'!$H$23*('Premium Eff Motor'!Z16/'Project Summary'!$G$23),"")</f>
        <v/>
      </c>
    </row>
    <row r="17" spans="2:27" s="171" customFormat="1" ht="22.15" customHeight="1" x14ac:dyDescent="0.2">
      <c r="B17" s="182">
        <v>8</v>
      </c>
      <c r="C17" s="145"/>
      <c r="D17" s="202"/>
      <c r="E17" s="96"/>
      <c r="F17" s="96"/>
      <c r="G17" s="197"/>
      <c r="H17" s="183" t="str">
        <f>IFERROR(VLOOKUP(F17,'Lookup Table'!$K$3:$L$7,2,0),"")</f>
        <v/>
      </c>
      <c r="I17" s="197"/>
      <c r="J17" s="196"/>
      <c r="K17" s="197"/>
      <c r="L17" s="201"/>
      <c r="M17" s="305"/>
      <c r="N17" s="334">
        <f>'Lookup Table'!V39</f>
        <v>0</v>
      </c>
      <c r="O17" s="179" t="str">
        <f>IFERROR(VLOOKUP(_xlfn.CONCAT('Project Summary'!$C$13:$D$13, " ", 'Project Summary'!$C$14:$D$14),'Lookup Table'!$D$74:$I$190,VLOOKUP('Premium Eff Motor'!F17, 'Lookup Table'!$B$237:$C$241,2,FALSE),FALSE), " ")</f>
        <v xml:space="preserve"> </v>
      </c>
      <c r="P17" s="418" t="str">
        <f>IFERROR(VLOOKUP('Project Summary'!$C$14,'Lookup Table'!$M$68:$S$80, VLOOKUP('Premium Eff Motor'!F17,'Lookup Table'!$T$68:$U$72, 2, FALSE), FALSE), " ")</f>
        <v xml:space="preserve"> </v>
      </c>
      <c r="Q17" s="416" t="str">
        <f>IFERROR(VLOOKUP('Project Summary'!$C$14,'Lookup Table'!$M$81:$S$93, VLOOKUP('Premium Eff Motor'!F17,'Lookup Table'!$T$68:$U$72, 2, FALSE), FALSE), " ")</f>
        <v xml:space="preserve"> </v>
      </c>
      <c r="R17" s="474">
        <f>'Lookup Table'!G39</f>
        <v>0</v>
      </c>
      <c r="S17" s="477"/>
      <c r="T17" s="471">
        <f t="shared" si="1"/>
        <v>0</v>
      </c>
      <c r="U17" s="184">
        <f t="shared" si="2"/>
        <v>0</v>
      </c>
      <c r="V17" s="179">
        <f t="shared" si="3"/>
        <v>0</v>
      </c>
      <c r="W17" s="399">
        <f t="shared" si="4"/>
        <v>0</v>
      </c>
      <c r="X17" s="480">
        <f t="shared" si="0"/>
        <v>0</v>
      </c>
      <c r="Y17" s="484">
        <f t="shared" si="5"/>
        <v>0</v>
      </c>
      <c r="Z17" s="357">
        <f>IFERROR(ROUND(V17*'Lookup Table'!$E$19+AVERAGE(X17,W17)*'Lookup Table'!$E$20,2),"")</f>
        <v>0</v>
      </c>
      <c r="AA17" s="187" t="str">
        <f>IFERROR('Project Summary'!$H$23*('Premium Eff Motor'!Z17/'Project Summary'!$G$23),"")</f>
        <v/>
      </c>
    </row>
    <row r="18" spans="2:27" s="171" customFormat="1" ht="21.75" customHeight="1" x14ac:dyDescent="0.2">
      <c r="B18" s="182">
        <v>9</v>
      </c>
      <c r="C18" s="144"/>
      <c r="D18" s="202"/>
      <c r="E18" s="96"/>
      <c r="F18" s="96"/>
      <c r="G18" s="197"/>
      <c r="H18" s="183" t="str">
        <f>IFERROR(VLOOKUP(F18,'Lookup Table'!$K$3:$L$7,2,0),"")</f>
        <v/>
      </c>
      <c r="I18" s="197"/>
      <c r="J18" s="197"/>
      <c r="K18" s="197"/>
      <c r="L18" s="201"/>
      <c r="M18" s="305"/>
      <c r="N18" s="334">
        <f>'Lookup Table'!V40</f>
        <v>0</v>
      </c>
      <c r="O18" s="179" t="str">
        <f>IFERROR(VLOOKUP(_xlfn.CONCAT('Project Summary'!$C$13:$D$13, " ", 'Project Summary'!$C$14:$D$14),'Lookup Table'!$D$74:$I$190,VLOOKUP('Premium Eff Motor'!F18, 'Lookup Table'!$B$237:$C$241,2,FALSE),FALSE), " ")</f>
        <v xml:space="preserve"> </v>
      </c>
      <c r="P18" s="418" t="str">
        <f>IFERROR(VLOOKUP('Project Summary'!$C$14,'Lookup Table'!$M$68:$S$80, VLOOKUP('Premium Eff Motor'!F18,'Lookup Table'!$T$68:$U$72, 2, FALSE), FALSE), " ")</f>
        <v xml:space="preserve"> </v>
      </c>
      <c r="Q18" s="416" t="str">
        <f>IFERROR(VLOOKUP('Project Summary'!$C$14,'Lookup Table'!$M$81:$S$93, VLOOKUP('Premium Eff Motor'!F18,'Lookup Table'!$T$68:$U$72, 2, FALSE), FALSE), " ")</f>
        <v xml:space="preserve"> </v>
      </c>
      <c r="R18" s="474">
        <f>'Lookup Table'!G40</f>
        <v>0</v>
      </c>
      <c r="S18" s="477"/>
      <c r="T18" s="471">
        <f t="shared" si="1"/>
        <v>0</v>
      </c>
      <c r="U18" s="184">
        <f t="shared" si="2"/>
        <v>0</v>
      </c>
      <c r="V18" s="179">
        <f t="shared" si="3"/>
        <v>0</v>
      </c>
      <c r="W18" s="399">
        <f t="shared" si="4"/>
        <v>0</v>
      </c>
      <c r="X18" s="480">
        <f t="shared" si="0"/>
        <v>0</v>
      </c>
      <c r="Y18" s="484">
        <f t="shared" si="5"/>
        <v>0</v>
      </c>
      <c r="Z18" s="357">
        <f>IFERROR(ROUND(V18*'Lookup Table'!$E$19+AVERAGE(X18,W18)*'Lookup Table'!$E$20,2),"")</f>
        <v>0</v>
      </c>
      <c r="AA18" s="187" t="str">
        <f>IFERROR('Project Summary'!$H$23*('Premium Eff Motor'!Z18/'Project Summary'!$G$23),"")</f>
        <v/>
      </c>
    </row>
    <row r="19" spans="2:27" s="171" customFormat="1" ht="21.75" customHeight="1" thickBot="1" x14ac:dyDescent="0.25">
      <c r="B19" s="188">
        <v>10</v>
      </c>
      <c r="C19" s="146"/>
      <c r="D19" s="203"/>
      <c r="E19" s="198"/>
      <c r="F19" s="198"/>
      <c r="G19" s="199"/>
      <c r="H19" s="307" t="str">
        <f>IFERROR(VLOOKUP(F19,'Lookup Table'!$K$3:$L$7,2,0),"")</f>
        <v/>
      </c>
      <c r="I19" s="199"/>
      <c r="J19" s="199"/>
      <c r="K19" s="199"/>
      <c r="L19" s="502"/>
      <c r="M19" s="306"/>
      <c r="N19" s="429">
        <f>'Lookup Table'!V41</f>
        <v>0</v>
      </c>
      <c r="O19" s="189" t="str">
        <f>IFERROR(VLOOKUP(_xlfn.CONCAT('Project Summary'!$C$13:$D$13, " ", 'Project Summary'!$C$14:$D$14),'Lookup Table'!$D$74:$I$190,VLOOKUP('Premium Eff Motor'!F19, 'Lookup Table'!$B$237:$C$241,2,FALSE),FALSE), " ")</f>
        <v xml:space="preserve"> </v>
      </c>
      <c r="P19" s="419" t="str">
        <f>IFERROR(VLOOKUP('Project Summary'!$C$14,'Lookup Table'!$M$68:$S$80, VLOOKUP('Premium Eff Motor'!F19,'Lookup Table'!$T$68:$U$72, 2, FALSE), FALSE), " ")</f>
        <v xml:space="preserve"> </v>
      </c>
      <c r="Q19" s="417" t="str">
        <f>IFERROR(VLOOKUP('Project Summary'!$C$14,'Lookup Table'!$M$81:$S$93, VLOOKUP('Premium Eff Motor'!F19,'Lookup Table'!$T$68:$U$72, 2, FALSE), FALSE), " ")</f>
        <v xml:space="preserve"> </v>
      </c>
      <c r="R19" s="475">
        <f>'Lookup Table'!G41</f>
        <v>0</v>
      </c>
      <c r="S19" s="478"/>
      <c r="T19" s="472">
        <f t="shared" si="1"/>
        <v>0</v>
      </c>
      <c r="U19" s="189">
        <f t="shared" si="2"/>
        <v>0</v>
      </c>
      <c r="V19" s="358">
        <f t="shared" si="3"/>
        <v>0</v>
      </c>
      <c r="W19" s="426">
        <f t="shared" si="4"/>
        <v>0</v>
      </c>
      <c r="X19" s="481">
        <f t="shared" si="0"/>
        <v>0</v>
      </c>
      <c r="Y19" s="485">
        <f t="shared" si="5"/>
        <v>0</v>
      </c>
      <c r="Z19" s="359">
        <f>IFERROR(ROUND(V19*'Lookup Table'!$E$19+AVERAGE(X19,W19)*'Lookup Table'!$E$20,2),"")</f>
        <v>0</v>
      </c>
      <c r="AA19" s="192" t="str">
        <f>IFERROR('Project Summary'!$H$23*('Premium Eff Motor'!Z19/'Project Summary'!$G$23),"")</f>
        <v/>
      </c>
    </row>
    <row r="20" spans="2:27" s="171" customFormat="1" ht="22.15" customHeight="1" x14ac:dyDescent="0.2">
      <c r="B20" s="193"/>
      <c r="C20" s="194"/>
      <c r="D20" s="194"/>
      <c r="E20" s="194"/>
      <c r="F20" s="193"/>
    </row>
    <row r="21" spans="2:27" s="171" customFormat="1" ht="22.15" customHeight="1" x14ac:dyDescent="0.2">
      <c r="B21" s="193"/>
      <c r="C21" s="194"/>
      <c r="D21" s="194"/>
      <c r="E21" s="194"/>
      <c r="F21" s="193"/>
      <c r="O21" s="168"/>
      <c r="P21" s="168"/>
    </row>
    <row r="22" spans="2:27" ht="9" customHeight="1" x14ac:dyDescent="0.2"/>
    <row r="23" spans="2:27" x14ac:dyDescent="0.2">
      <c r="B23" s="195"/>
    </row>
  </sheetData>
  <sheetProtection algorithmName="SHA-512" hashValue="DFP7+rBTK/ON+ni41leJRzqgTC0HzJdk3IwaV0r0nEyiS4Xk+n9+G8mosJPjugtSqS2JhHL9wNrZZFkK06u/4w==" saltValue="f+eYmzUlmqZqTNZzPz8/BA==" spinCount="100000" sheet="1" formatColumns="0"/>
  <mergeCells count="6">
    <mergeCell ref="AA8:AA9"/>
    <mergeCell ref="B3:I3"/>
    <mergeCell ref="B4:I4"/>
    <mergeCell ref="C8:S8"/>
    <mergeCell ref="B6:AA6"/>
    <mergeCell ref="T8:Y8"/>
  </mergeCells>
  <phoneticPr fontId="69" type="noConversion"/>
  <conditionalFormatting sqref="N10:N19">
    <cfRule type="expression" dxfId="5" priority="3">
      <formula>$L10="Early Replacement"</formula>
    </cfRule>
  </conditionalFormatting>
  <conditionalFormatting sqref="R10:R19">
    <cfRule type="expression" dxfId="4" priority="1">
      <formula>$L10="Early Replacement"</formula>
    </cfRule>
  </conditionalFormatting>
  <pageMargins left="0.5" right="0.5" top="0.5" bottom="0.5" header="0.3" footer="0.3"/>
  <pageSetup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FA965179-0EA9-4A5A-A463-CFB73609BDCA}">
          <x14:formula1>
            <xm:f>'Lookup Table'!$F$3:$F$4</xm:f>
          </x14:formula1>
          <xm:sqref>L10:L19</xm:sqref>
        </x14:dataValidation>
        <x14:dataValidation type="list" allowBlank="1" showInputMessage="1" showErrorMessage="1" xr:uid="{7CF86F20-5DEF-40F7-AF80-0C7B4109ED25}">
          <x14:formula1>
            <xm:f>'Lookup Table'!$H$3:$H$5</xm:f>
          </x14:formula1>
          <xm:sqref>I10:I19</xm:sqref>
        </x14:dataValidation>
        <x14:dataValidation type="list" allowBlank="1" showInputMessage="1" showErrorMessage="1" xr:uid="{552CC7C5-6AA8-45AA-A101-9D061C7236C0}">
          <x14:formula1>
            <xm:f>'Lookup Table'!$N$3:$N$4</xm:f>
          </x14:formula1>
          <xm:sqref>K10:K19</xm:sqref>
        </x14:dataValidation>
        <x14:dataValidation type="list" allowBlank="1" showInputMessage="1" showErrorMessage="1" xr:uid="{74855D96-0B50-41D1-9D0E-87283E92AC40}">
          <x14:formula1>
            <xm:f>'Lookup Table'!$P$3:$P$27</xm:f>
          </x14:formula1>
          <xm:sqref>M10:M19</xm:sqref>
        </x14:dataValidation>
        <x14:dataValidation type="list" allowBlank="1" showInputMessage="1" showErrorMessage="1" xr:uid="{C88019C2-AD10-4CE8-A214-2AA04AD08BA6}">
          <x14:formula1>
            <xm:f>'Lookup Table'!$R$3:$R$6</xm:f>
          </x14:formula1>
          <xm:sqref>J10:J19</xm:sqref>
        </x14:dataValidation>
        <x14:dataValidation type="list" allowBlank="1" showInputMessage="1" showErrorMessage="1" xr:uid="{CC6335F9-A91A-4644-905D-DEA629521AA9}">
          <x14:formula1>
            <xm:f>'Lookup Table'!$K$3:$K$7</xm:f>
          </x14:formula1>
          <xm:sqref>F10:F19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BB9F7-B4E0-44FE-A4B0-82353F06056B}">
  <sheetPr codeName="Sheet4">
    <tabColor theme="8" tint="0.59999389629810485"/>
  </sheetPr>
  <dimension ref="A1:AD23"/>
  <sheetViews>
    <sheetView zoomScaleNormal="100" workbookViewId="0">
      <selection activeCell="B10" sqref="B10"/>
    </sheetView>
  </sheetViews>
  <sheetFormatPr defaultColWidth="8.75" defaultRowHeight="14.25" x14ac:dyDescent="0.2"/>
  <cols>
    <col min="1" max="1" width="3.625" style="168" customWidth="1"/>
    <col min="2" max="2" width="8.625" style="168" customWidth="1"/>
    <col min="3" max="3" width="9.125" style="168" customWidth="1"/>
    <col min="4" max="4" width="15.375" style="168" customWidth="1"/>
    <col min="5" max="5" width="18" style="168" hidden="1" customWidth="1"/>
    <col min="6" max="6" width="27.25" style="168" hidden="1" customWidth="1"/>
    <col min="7" max="7" width="21.5" style="168" bestFit="1" customWidth="1"/>
    <col min="8" max="8" width="6.375" style="168" hidden="1" customWidth="1"/>
    <col min="9" max="9" width="12.75" style="168" customWidth="1"/>
    <col min="10" max="10" width="10.25" style="168" customWidth="1"/>
    <col min="11" max="11" width="40.5" style="168" customWidth="1"/>
    <col min="12" max="12" width="9.25" style="168" bestFit="1" customWidth="1"/>
    <col min="13" max="13" width="8.75" style="168" hidden="1" customWidth="1"/>
    <col min="14" max="14" width="17.5" style="168" customWidth="1"/>
    <col min="15" max="15" width="27.75" style="168" customWidth="1"/>
    <col min="16" max="16" width="9" style="168" hidden="1" customWidth="1"/>
    <col min="17" max="17" width="13" style="168" hidden="1" customWidth="1"/>
    <col min="18" max="19" width="13" style="168" customWidth="1"/>
    <col min="20" max="21" width="13" style="168" hidden="1" customWidth="1"/>
    <col min="22" max="22" width="14.125" style="168" customWidth="1"/>
    <col min="23" max="23" width="12.625" style="168" hidden="1" customWidth="1"/>
    <col min="24" max="26" width="12.625" style="168" customWidth="1"/>
    <col min="27" max="27" width="13.625" style="168" customWidth="1"/>
    <col min="28" max="16384" width="8.75" style="168"/>
  </cols>
  <sheetData>
    <row r="1" spans="1:30" x14ac:dyDescent="0.2">
      <c r="A1" s="167"/>
      <c r="E1" s="168" t="s">
        <v>103</v>
      </c>
      <c r="F1" s="168" t="s">
        <v>103</v>
      </c>
      <c r="H1" s="168" t="s">
        <v>103</v>
      </c>
      <c r="M1" s="168" t="s">
        <v>103</v>
      </c>
      <c r="P1" s="168" t="s">
        <v>103</v>
      </c>
      <c r="Q1" s="168" t="s">
        <v>103</v>
      </c>
      <c r="T1" s="168" t="s">
        <v>103</v>
      </c>
      <c r="U1" s="168" t="s">
        <v>103</v>
      </c>
      <c r="W1" s="168" t="s">
        <v>103</v>
      </c>
    </row>
    <row r="2" spans="1:30" ht="9.75" customHeight="1" x14ac:dyDescent="0.2"/>
    <row r="3" spans="1:30" ht="34.5" customHeight="1" x14ac:dyDescent="0.35">
      <c r="B3" s="657" t="s">
        <v>141</v>
      </c>
      <c r="C3" s="657"/>
      <c r="D3" s="657"/>
      <c r="E3" s="657"/>
      <c r="F3" s="657"/>
      <c r="G3" s="657"/>
      <c r="H3" s="657"/>
      <c r="I3" s="657"/>
      <c r="J3" s="657"/>
      <c r="K3" s="657"/>
      <c r="L3" s="657"/>
      <c r="M3" s="657"/>
      <c r="N3" s="613"/>
      <c r="O3" s="613"/>
      <c r="P3" s="613"/>
      <c r="Q3" s="613"/>
      <c r="R3" s="613"/>
      <c r="S3" s="613"/>
      <c r="T3" s="613"/>
      <c r="U3" s="613"/>
      <c r="V3" s="613"/>
      <c r="W3" s="613"/>
      <c r="X3" s="613"/>
      <c r="Y3" s="613"/>
      <c r="Z3" s="613"/>
      <c r="AA3" s="613"/>
      <c r="AB3" s="613"/>
      <c r="AC3" s="613"/>
      <c r="AD3" s="613"/>
    </row>
    <row r="4" spans="1:30" ht="28.9" customHeight="1" x14ac:dyDescent="0.2">
      <c r="B4" s="658" t="s">
        <v>106</v>
      </c>
      <c r="C4" s="658"/>
      <c r="D4" s="658"/>
      <c r="E4" s="658"/>
      <c r="F4" s="658"/>
      <c r="G4" s="658"/>
      <c r="H4" s="658"/>
      <c r="I4" s="658"/>
      <c r="J4" s="658"/>
      <c r="K4" s="658"/>
      <c r="L4" s="658"/>
      <c r="M4" s="658"/>
      <c r="N4" s="613"/>
      <c r="O4" s="613"/>
      <c r="P4" s="613"/>
      <c r="Q4" s="613"/>
      <c r="R4" s="613"/>
      <c r="S4" s="613"/>
      <c r="T4" s="613"/>
      <c r="U4" s="613"/>
      <c r="V4" s="613"/>
      <c r="W4" s="613"/>
      <c r="X4" s="613"/>
      <c r="Y4" s="613"/>
      <c r="Z4" s="613"/>
      <c r="AA4" s="613"/>
      <c r="AB4" s="613"/>
      <c r="AC4" s="613"/>
      <c r="AD4" s="613"/>
    </row>
    <row r="5" spans="1:30" ht="14.1" customHeight="1" x14ac:dyDescent="0.2">
      <c r="B5" s="614"/>
      <c r="C5" s="614"/>
      <c r="D5" s="614"/>
      <c r="E5" s="614"/>
      <c r="F5" s="614"/>
      <c r="G5" s="614"/>
      <c r="H5" s="614"/>
      <c r="I5" s="614"/>
      <c r="J5" s="614"/>
      <c r="K5" s="612"/>
      <c r="L5" s="612"/>
      <c r="M5" s="613"/>
      <c r="N5" s="613"/>
      <c r="O5" s="613"/>
      <c r="P5" s="613"/>
      <c r="Q5" s="613"/>
      <c r="R5" s="613"/>
      <c r="S5" s="613"/>
      <c r="T5" s="613"/>
      <c r="U5" s="613"/>
      <c r="V5" s="613"/>
      <c r="W5" s="613"/>
      <c r="X5" s="613"/>
      <c r="Y5" s="613"/>
      <c r="Z5" s="613"/>
      <c r="AA5" s="613"/>
      <c r="AB5" s="613"/>
      <c r="AC5" s="613"/>
      <c r="AD5" s="613"/>
    </row>
    <row r="6" spans="1:30" ht="28.9" customHeight="1" x14ac:dyDescent="0.2">
      <c r="B6" s="658" t="s">
        <v>142</v>
      </c>
      <c r="C6" s="658"/>
      <c r="D6" s="658"/>
      <c r="E6" s="658"/>
      <c r="F6" s="658"/>
      <c r="G6" s="658"/>
      <c r="H6" s="658"/>
      <c r="I6" s="658"/>
      <c r="J6" s="658"/>
      <c r="K6" s="658"/>
      <c r="L6" s="658"/>
      <c r="M6" s="658"/>
      <c r="N6" s="658"/>
      <c r="O6" s="658"/>
      <c r="P6" s="658"/>
      <c r="Q6" s="658"/>
      <c r="R6" s="658"/>
      <c r="S6" s="658"/>
      <c r="T6" s="658"/>
      <c r="U6" s="658"/>
      <c r="V6" s="658"/>
      <c r="W6" s="658"/>
      <c r="X6" s="658"/>
      <c r="Y6" s="658"/>
      <c r="Z6" s="658"/>
      <c r="AA6" s="658"/>
      <c r="AB6" s="658"/>
      <c r="AC6" s="658"/>
      <c r="AD6" s="658"/>
    </row>
    <row r="7" spans="1:30" ht="9" customHeight="1" thickBot="1" x14ac:dyDescent="0.3">
      <c r="B7" s="170"/>
      <c r="C7" s="170"/>
      <c r="D7" s="170"/>
      <c r="E7" s="170"/>
      <c r="F7" s="170"/>
    </row>
    <row r="8" spans="1:30" s="171" customFormat="1" ht="22.15" customHeight="1" thickBot="1" x14ac:dyDescent="0.25">
      <c r="B8" s="588"/>
      <c r="C8" s="655" t="s">
        <v>122</v>
      </c>
      <c r="D8" s="659"/>
      <c r="E8" s="659"/>
      <c r="F8" s="659"/>
      <c r="G8" s="659"/>
      <c r="H8" s="659"/>
      <c r="I8" s="659"/>
      <c r="J8" s="656"/>
      <c r="K8" s="659" t="s">
        <v>143</v>
      </c>
      <c r="L8" s="659"/>
      <c r="M8" s="659"/>
      <c r="N8" s="655" t="s">
        <v>144</v>
      </c>
      <c r="O8" s="656"/>
      <c r="P8" s="660" t="s">
        <v>123</v>
      </c>
      <c r="Q8" s="661"/>
      <c r="R8" s="661"/>
      <c r="S8" s="661"/>
      <c r="T8" s="661"/>
      <c r="U8" s="661"/>
      <c r="V8" s="661"/>
      <c r="W8" s="661"/>
      <c r="X8" s="661"/>
      <c r="Y8" s="661"/>
      <c r="Z8" s="662"/>
      <c r="AA8" s="653" t="s">
        <v>124</v>
      </c>
    </row>
    <row r="9" spans="1:30" s="204" customFormat="1" ht="45.75" thickBot="1" x14ac:dyDescent="0.25">
      <c r="B9" s="589" t="s">
        <v>125</v>
      </c>
      <c r="C9" s="590" t="s">
        <v>57</v>
      </c>
      <c r="D9" s="591" t="s">
        <v>145</v>
      </c>
      <c r="E9" s="591" t="s">
        <v>146</v>
      </c>
      <c r="F9" s="591" t="s">
        <v>147</v>
      </c>
      <c r="G9" s="592" t="s">
        <v>59</v>
      </c>
      <c r="H9" s="593" t="s">
        <v>128</v>
      </c>
      <c r="I9" s="593" t="s">
        <v>70</v>
      </c>
      <c r="J9" s="594" t="s">
        <v>76</v>
      </c>
      <c r="K9" s="595" t="s">
        <v>78</v>
      </c>
      <c r="L9" s="596" t="s">
        <v>148</v>
      </c>
      <c r="M9" s="597" t="s">
        <v>131</v>
      </c>
      <c r="N9" s="597" t="s">
        <v>126</v>
      </c>
      <c r="O9" s="596" t="s">
        <v>127</v>
      </c>
      <c r="P9" s="597" t="s">
        <v>581</v>
      </c>
      <c r="Q9" s="596" t="s">
        <v>582</v>
      </c>
      <c r="R9" s="597" t="s">
        <v>583</v>
      </c>
      <c r="S9" s="593" t="s">
        <v>584</v>
      </c>
      <c r="T9" s="593" t="s">
        <v>585</v>
      </c>
      <c r="U9" s="596" t="s">
        <v>586</v>
      </c>
      <c r="V9" s="597" t="s">
        <v>86</v>
      </c>
      <c r="W9" s="593" t="s">
        <v>116</v>
      </c>
      <c r="X9" s="593" t="s">
        <v>113</v>
      </c>
      <c r="Y9" s="593" t="s">
        <v>114</v>
      </c>
      <c r="Z9" s="594" t="s">
        <v>454</v>
      </c>
      <c r="AA9" s="654"/>
    </row>
    <row r="10" spans="1:30" s="171" customFormat="1" ht="21.75" customHeight="1" x14ac:dyDescent="0.2">
      <c r="B10" s="178">
        <v>1</v>
      </c>
      <c r="C10" s="200"/>
      <c r="D10" s="104"/>
      <c r="E10" s="322" t="str">
        <f>IF(D10="HVAC Fan", "HVAC_Fan",IF(D10="HVAC Pump","HVAC_Pump",""))</f>
        <v/>
      </c>
      <c r="F10" s="322" t="str">
        <f>IF(D10="HVAC Fan", "HVAC_Fan_Motor_Function",IF(D10="HVAC Pump","HVAC_Pump_Motor_Function",""))</f>
        <v/>
      </c>
      <c r="G10" s="104"/>
      <c r="H10" s="326">
        <f>IF(D10="HVAC Fan",0.76,IF(D10="HVAC Pump",0.79,0))</f>
        <v>0</v>
      </c>
      <c r="I10" s="196"/>
      <c r="J10" s="323"/>
      <c r="K10" s="160"/>
      <c r="L10" s="324"/>
      <c r="M10" s="208" t="str">
        <f>IFERROR(VLOOKUP(_xlfn.CONCAT('Project Summary'!$C$13:$D$13, " ", 'Project Summary'!$C$14:$D$14),'Lookup Table'!$D$74:$I$190,VLOOKUP(G10, 'Lookup Table'!$B$237:$C$241,2,FALSE),FALSE), " ")</f>
        <v xml:space="preserve"> </v>
      </c>
      <c r="N10" s="122"/>
      <c r="O10" s="123"/>
      <c r="P10" s="250" t="str">
        <f>IFERROR(L10*0.746*I10*(H10/J10)*M10*IF(D10="HVAC Fan",VLOOKUP(K10,'Lookup Table'!$L$229:$X$235,13,FALSE),IF(D10="HVAC Pump",VLOOKUP(K10,'Lookup Table'!$L$239:$X$241,13,FALSE),"")),"")</f>
        <v/>
      </c>
      <c r="Q10" s="325" t="str">
        <f>IFERROR(L10*0.746*I10*(H10/J10)*M10*(IF(D10="HVAC Fan",'Lookup Table'!$X$235,IF(D10="HVAC Pump",'Lookup Table'!$X$241,""))),"")</f>
        <v/>
      </c>
      <c r="R10" s="443" t="str">
        <f>IFERROR(IF(D10="HVAC Fan", VLOOKUP(K10,'Lookup Table'!$L$228:$W$235,11,FALSE), VLOOKUP(K10,'Lookup Table'!$L$239:$X$241,11,FALSE)),"")</f>
        <v/>
      </c>
      <c r="S10" s="443" t="str">
        <f>IFERROR(IF(D10="HVAC Fan", 'Lookup Table'!$V$235,IF(D10="HVAC Pump",'Lookup Table'!$V$241," ")),"")</f>
        <v xml:space="preserve"> </v>
      </c>
      <c r="T10" s="206" t="str">
        <f>IFERROR(IF(D10="HVAC Fan", VLOOKUP(K10,'Lookup Table'!$L$228:$W$235,9,FALSE), VLOOKUP(K10,'Lookup Table'!$L$239:$X$241,9,FALSE)),"")</f>
        <v/>
      </c>
      <c r="U10" s="222" t="str">
        <f>IFERROR(IF(D10="HVAC Fan", 'Lookup Table'!$T$235,IF(D10="HVAC Pump",'Lookup Table'!$T$241," ")),"")</f>
        <v xml:space="preserve"> </v>
      </c>
      <c r="V10" s="376">
        <f>IFERROR(ROUND(P10-Q10,2),0)</f>
        <v>0</v>
      </c>
      <c r="W10" s="446">
        <f>IFERROR(ROUND(V10*'Lookup Table'!$E$19+AVERAGE(X10,Y10)*'Lookup Table'!$E$20,2),"")</f>
        <v>0</v>
      </c>
      <c r="X10" s="375">
        <f>IFERROR(ROUND(L10*0.746*I10*(H10/J10)*(R10-S10),4),0)</f>
        <v>0</v>
      </c>
      <c r="Y10" s="486">
        <f>IFERROR(ROUND(L10*0.746*I10*(H10/J10)*(T10-U10),4),0)</f>
        <v>0</v>
      </c>
      <c r="Z10" s="487">
        <f>IFERROR(AVERAGE(X10:Y10),"")</f>
        <v>0</v>
      </c>
      <c r="AA10" s="430" t="str">
        <f>IFERROR('Project Summary'!$H$23*(VFDs!W10/'Project Summary'!$G$23),"")</f>
        <v/>
      </c>
    </row>
    <row r="11" spans="1:30" s="171" customFormat="1" ht="21.75" customHeight="1" x14ac:dyDescent="0.2">
      <c r="B11" s="182">
        <v>2</v>
      </c>
      <c r="C11" s="202"/>
      <c r="D11" s="96"/>
      <c r="E11" s="322" t="str">
        <f t="shared" ref="E11:E19" si="0">IF(D11="HVAC Fan", "HVAC_Fan",IF(D11="HVAC Pump","HVAC_Pump",""))</f>
        <v/>
      </c>
      <c r="F11" s="322" t="str">
        <f t="shared" ref="F11:F19" si="1">IF(D11="HVAC Fan", "HVAC_Fan_Motor_Function",IF(D11="HVAC Pump","HVAC_Pump_Motor_Function",""))</f>
        <v/>
      </c>
      <c r="G11" s="96"/>
      <c r="H11" s="326">
        <f t="shared" ref="H11:H19" si="2">IF(D11="HVAC Fan",0.76,IF(D11="HVAC Pump",0.79,0))</f>
        <v>0</v>
      </c>
      <c r="I11" s="196"/>
      <c r="J11" s="323"/>
      <c r="K11" s="161"/>
      <c r="L11" s="293"/>
      <c r="M11" s="208" t="str">
        <f>IFERROR(VLOOKUP(_xlfn.CONCAT('Project Summary'!$C$13:$D$13, " ", 'Project Summary'!$C$14:$D$14),'Lookup Table'!$D$74:$I$190,VLOOKUP(G11, 'Lookup Table'!$B$237:$C$241,2,FALSE),FALSE), " ")</f>
        <v xml:space="preserve"> </v>
      </c>
      <c r="N11" s="122"/>
      <c r="O11" s="123"/>
      <c r="P11" s="254" t="str">
        <f>IFERROR(L11*0.746*I11*(H11/J11)*M11*IF(D11="HVAC Fan",VLOOKUP(K11,'Lookup Table'!$L$229:$X$235,13,FALSE),IF(D11="HVAC Pump",VLOOKUP(K11,'Lookup Table'!$L$239:$X$241,13,FALSE),"")),"")</f>
        <v/>
      </c>
      <c r="Q11" s="325" t="str">
        <f>IFERROR(L11*0.746*I11*(H11/J11)*M11*(IF(D11="HVAC Fan",'Lookup Table'!$X$235,IF(D11="HVAC Pump",'Lookup Table'!$X$241,""))),"")</f>
        <v/>
      </c>
      <c r="R11" s="325" t="str">
        <f>IFERROR(IF(D11="HVAC Fan", VLOOKUP(K11,'Lookup Table'!$L$228:$W$235,11,FALSE), VLOOKUP(K11,'Lookup Table'!$L$239:$X$241,11,FALSE)),"")</f>
        <v/>
      </c>
      <c r="S11" s="325" t="str">
        <f>IFERROR(IF(D11="HVAC Fan", 'Lookup Table'!$V$235,IF(D11="HVAC Pump",'Lookup Table'!$V$241," ")),"")</f>
        <v xml:space="preserve"> </v>
      </c>
      <c r="T11" s="206" t="str">
        <f>IFERROR(IF(D11="HVAC Fan", VLOOKUP(K11,'Lookup Table'!$L$228:$W$235,9,FALSE), VLOOKUP(K11,'Lookup Table'!$L$239:$X$241,9,FALSE)),"")</f>
        <v/>
      </c>
      <c r="U11" s="229" t="str">
        <f>IFERROR(IF(D11="HVAC Fan", 'Lookup Table'!$T$235,IF(D11="HVAC Pump",'Lookup Table'!$T$241," ")),"")</f>
        <v xml:space="preserve"> </v>
      </c>
      <c r="V11" s="376">
        <f t="shared" ref="V11:V19" si="3">IFERROR(ROUND(P11-Q11,2),0)</f>
        <v>0</v>
      </c>
      <c r="W11" s="446">
        <f>IFERROR(ROUND(V11*'Lookup Table'!$E$19+AVERAGE(X11,Y11)*'Lookup Table'!$E$20,2),"")</f>
        <v>0</v>
      </c>
      <c r="X11" s="376">
        <f t="shared" ref="X11:X19" si="4">IFERROR(ROUND(L11*0.746*I11*(H11/J11)*(R11-S11),4),0)</f>
        <v>0</v>
      </c>
      <c r="Y11" s="433">
        <f t="shared" ref="Y11:Y19" si="5">IFERROR(ROUND(L11*0.746*I11*(H11/J11)*(T11-U11),4),0)</f>
        <v>0</v>
      </c>
      <c r="Z11" s="488">
        <f t="shared" ref="Z11:Z19" si="6">IFERROR(AVERAGE(X11:Y11),"")</f>
        <v>0</v>
      </c>
      <c r="AA11" s="431" t="str">
        <f>IFERROR('Project Summary'!$H$23*(VFDs!W11/'Project Summary'!$G$23),"")</f>
        <v/>
      </c>
    </row>
    <row r="12" spans="1:30" s="171" customFormat="1" ht="21.75" customHeight="1" x14ac:dyDescent="0.2">
      <c r="B12" s="182">
        <v>3</v>
      </c>
      <c r="C12" s="202"/>
      <c r="D12" s="104"/>
      <c r="E12" s="322" t="str">
        <f t="shared" si="0"/>
        <v/>
      </c>
      <c r="F12" s="322" t="str">
        <f t="shared" si="1"/>
        <v/>
      </c>
      <c r="G12" s="96"/>
      <c r="H12" s="326">
        <f t="shared" si="2"/>
        <v>0</v>
      </c>
      <c r="I12" s="196"/>
      <c r="J12" s="323"/>
      <c r="K12" s="161"/>
      <c r="L12" s="293"/>
      <c r="M12" s="208" t="str">
        <f>IFERROR(VLOOKUP(_xlfn.CONCAT('Project Summary'!$C$13:$D$13, " ", 'Project Summary'!$C$14:$D$14),'Lookup Table'!$D$74:$I$190,VLOOKUP(G12, 'Lookup Table'!$B$237:$C$241,2,FALSE),FALSE), " ")</f>
        <v xml:space="preserve"> </v>
      </c>
      <c r="N12" s="122"/>
      <c r="O12" s="123"/>
      <c r="P12" s="254" t="str">
        <f>IFERROR(L12*0.746*I12*(H12/J12)*M12*IF(D12="HVAC Fan",VLOOKUP(K12,'Lookup Table'!$L$229:$X$235,13,FALSE),IF(D12="HVAC Pump",VLOOKUP(K12,'Lookup Table'!$L$239:$X$241,13,FALSE),"")),"")</f>
        <v/>
      </c>
      <c r="Q12" s="325" t="str">
        <f>IFERROR(L12*0.746*I12*(H12/J12)*M12*(IF(D12="HVAC Fan",'Lookup Table'!$X$235,IF(D12="HVAC Pump",'Lookup Table'!$X$241,""))),"")</f>
        <v/>
      </c>
      <c r="R12" s="325" t="str">
        <f>IFERROR(IF(D12="HVAC Fan", VLOOKUP(K12,'Lookup Table'!$L$228:$W$235,11,FALSE), VLOOKUP(K12,'Lookup Table'!$L$239:$X$241,11,FALSE)),"")</f>
        <v/>
      </c>
      <c r="S12" s="325" t="str">
        <f>IFERROR(IF(D12="HVAC Fan", 'Lookup Table'!$V$235,IF(D12="HVAC Pump",'Lookup Table'!$V$241," ")),"")</f>
        <v xml:space="preserve"> </v>
      </c>
      <c r="T12" s="206" t="str">
        <f>IFERROR(IF(D12="HVAC Fan", VLOOKUP(K12,'Lookup Table'!$L$228:$W$235,9,FALSE), VLOOKUP(K12,'Lookup Table'!$L$239:$X$241,9,FALSE)),"")</f>
        <v/>
      </c>
      <c r="U12" s="229" t="str">
        <f>IFERROR(IF(D12="HVAC Fan", 'Lookup Table'!$T$235,IF(D12="HVAC Pump",'Lookup Table'!$T$241," ")),"")</f>
        <v xml:space="preserve"> </v>
      </c>
      <c r="V12" s="376">
        <f t="shared" si="3"/>
        <v>0</v>
      </c>
      <c r="W12" s="446">
        <f>IFERROR(ROUND(V12*'Lookup Table'!$E$19+AVERAGE(X12,Y12)*'Lookup Table'!$E$20,2),"")</f>
        <v>0</v>
      </c>
      <c r="X12" s="376">
        <f t="shared" si="4"/>
        <v>0</v>
      </c>
      <c r="Y12" s="433">
        <f t="shared" si="5"/>
        <v>0</v>
      </c>
      <c r="Z12" s="488">
        <f t="shared" si="6"/>
        <v>0</v>
      </c>
      <c r="AA12" s="431" t="str">
        <f>IFERROR('Project Summary'!$H$23*(VFDs!W12/'Project Summary'!$G$23),"")</f>
        <v/>
      </c>
    </row>
    <row r="13" spans="1:30" s="171" customFormat="1" ht="21.75" customHeight="1" x14ac:dyDescent="0.2">
      <c r="B13" s="182">
        <v>4</v>
      </c>
      <c r="C13" s="202"/>
      <c r="D13" s="96"/>
      <c r="E13" s="322" t="str">
        <f t="shared" si="0"/>
        <v/>
      </c>
      <c r="F13" s="322" t="str">
        <f t="shared" si="1"/>
        <v/>
      </c>
      <c r="G13" s="104"/>
      <c r="H13" s="326">
        <f t="shared" si="2"/>
        <v>0</v>
      </c>
      <c r="I13" s="196"/>
      <c r="J13" s="323"/>
      <c r="K13" s="161"/>
      <c r="L13" s="293"/>
      <c r="M13" s="208" t="str">
        <f>IFERROR(VLOOKUP(_xlfn.CONCAT('Project Summary'!$C$13:$D$13, " ", 'Project Summary'!$C$14:$D$14),'Lookup Table'!$D$74:$I$190,VLOOKUP(G13, 'Lookup Table'!$B$237:$C$241,2,FALSE),FALSE), " ")</f>
        <v xml:space="preserve"> </v>
      </c>
      <c r="N13" s="122"/>
      <c r="O13" s="123"/>
      <c r="P13" s="254" t="str">
        <f>IFERROR(L13*0.746*I13*(H13/J13)*M13*IF(D13="HVAC Fan",VLOOKUP(K13,'Lookup Table'!$L$229:$X$235,13,FALSE),IF(D13="HVAC Pump",VLOOKUP(K13,'Lookup Table'!$L$239:$X$241,13,FALSE),"")),"")</f>
        <v/>
      </c>
      <c r="Q13" s="325" t="str">
        <f>IFERROR(L13*0.746*I13*(H13/J13)*M13*(IF(D13="HVAC Fan",'Lookup Table'!$X$235,IF(D13="HVAC Pump",'Lookup Table'!$X$241,""))),"")</f>
        <v/>
      </c>
      <c r="R13" s="325" t="str">
        <f>IFERROR(IF(D13="HVAC Fan", VLOOKUP(K13,'Lookup Table'!$L$228:$W$235,11,FALSE), VLOOKUP(K13,'Lookup Table'!$L$239:$X$241,11,FALSE)),"")</f>
        <v/>
      </c>
      <c r="S13" s="325" t="str">
        <f>IFERROR(IF(D13="HVAC Fan", 'Lookup Table'!$V$235,IF(D13="HVAC Pump",'Lookup Table'!$V$241," ")),"")</f>
        <v xml:space="preserve"> </v>
      </c>
      <c r="T13" s="206" t="str">
        <f>IFERROR(IF(D13="HVAC Fan", VLOOKUP(K13,'Lookup Table'!$L$228:$W$235,9,FALSE), VLOOKUP(K13,'Lookup Table'!$L$239:$X$241,9,FALSE)),"")</f>
        <v/>
      </c>
      <c r="U13" s="229" t="str">
        <f>IFERROR(IF(D13="HVAC Fan", 'Lookup Table'!$T$235,IF(D13="HVAC Pump",'Lookup Table'!$T$241," ")),"")</f>
        <v xml:space="preserve"> </v>
      </c>
      <c r="V13" s="376">
        <f t="shared" si="3"/>
        <v>0</v>
      </c>
      <c r="W13" s="446">
        <f>IFERROR(ROUND(V13*'Lookup Table'!$E$19+AVERAGE(X13,Y13)*'Lookup Table'!$E$20,2),"")</f>
        <v>0</v>
      </c>
      <c r="X13" s="376">
        <f t="shared" si="4"/>
        <v>0</v>
      </c>
      <c r="Y13" s="433">
        <f t="shared" si="5"/>
        <v>0</v>
      </c>
      <c r="Z13" s="488">
        <f t="shared" si="6"/>
        <v>0</v>
      </c>
      <c r="AA13" s="431" t="str">
        <f>IFERROR('Project Summary'!$H$23*(VFDs!W13/'Project Summary'!$G$23),"")</f>
        <v/>
      </c>
    </row>
    <row r="14" spans="1:30" s="171" customFormat="1" ht="21.75" customHeight="1" x14ac:dyDescent="0.2">
      <c r="B14" s="182">
        <v>5</v>
      </c>
      <c r="C14" s="202"/>
      <c r="D14" s="104"/>
      <c r="E14" s="322" t="str">
        <f t="shared" si="0"/>
        <v/>
      </c>
      <c r="F14" s="322" t="str">
        <f t="shared" si="1"/>
        <v/>
      </c>
      <c r="G14" s="96"/>
      <c r="H14" s="326">
        <f t="shared" si="2"/>
        <v>0</v>
      </c>
      <c r="I14" s="196"/>
      <c r="J14" s="323"/>
      <c r="K14" s="161"/>
      <c r="L14" s="293"/>
      <c r="M14" s="208" t="str">
        <f>IFERROR(VLOOKUP(_xlfn.CONCAT('Project Summary'!$C$13:$D$13, " ", 'Project Summary'!$C$14:$D$14),'Lookup Table'!$D$74:$I$190,VLOOKUP(G14, 'Lookup Table'!$B$237:$C$241,2,FALSE),FALSE), " ")</f>
        <v xml:space="preserve"> </v>
      </c>
      <c r="N14" s="122"/>
      <c r="O14" s="123"/>
      <c r="P14" s="254" t="str">
        <f>IFERROR(L14*0.746*I14*(H14/J14)*M14*IF(D14="HVAC Fan",VLOOKUP(K14,'Lookup Table'!$L$229:$X$235,13,FALSE),IF(D14="HVAC Pump",VLOOKUP(K14,'Lookup Table'!$L$239:$X$241,13,FALSE),"")),"")</f>
        <v/>
      </c>
      <c r="Q14" s="325" t="str">
        <f>IFERROR(L14*0.746*I14*(H14/J14)*M14*(IF(D14="HVAC Fan",'Lookup Table'!$X$235,IF(D14="HVAC Pump",'Lookup Table'!$X$241,""))),"")</f>
        <v/>
      </c>
      <c r="R14" s="325" t="str">
        <f>IFERROR(IF(D14="HVAC Fan", VLOOKUP(K14,'Lookup Table'!$L$228:$W$235,11,FALSE), VLOOKUP(K14,'Lookup Table'!$L$239:$X$241,11,FALSE)),"")</f>
        <v/>
      </c>
      <c r="S14" s="325" t="str">
        <f>IFERROR(IF(D14="HVAC Fan", 'Lookup Table'!$V$235,IF(D14="HVAC Pump",'Lookup Table'!$V$241," ")),"")</f>
        <v xml:space="preserve"> </v>
      </c>
      <c r="T14" s="206" t="str">
        <f>IFERROR(IF(D14="HVAC Fan", VLOOKUP(K14,'Lookup Table'!$L$228:$W$235,9,FALSE), VLOOKUP(K14,'Lookup Table'!$L$239:$X$241,9,FALSE)),"")</f>
        <v/>
      </c>
      <c r="U14" s="229" t="str">
        <f>IFERROR(IF(D14="HVAC Fan", 'Lookup Table'!$T$235,IF(D14="HVAC Pump",'Lookup Table'!$T$241," ")),"")</f>
        <v xml:space="preserve"> </v>
      </c>
      <c r="V14" s="376">
        <f t="shared" si="3"/>
        <v>0</v>
      </c>
      <c r="W14" s="446">
        <f>IFERROR(ROUND(V14*'Lookup Table'!$E$19+AVERAGE(X14,Y14)*'Lookup Table'!$E$20,2),"")</f>
        <v>0</v>
      </c>
      <c r="X14" s="376">
        <f t="shared" si="4"/>
        <v>0</v>
      </c>
      <c r="Y14" s="433">
        <f t="shared" si="5"/>
        <v>0</v>
      </c>
      <c r="Z14" s="488">
        <f t="shared" si="6"/>
        <v>0</v>
      </c>
      <c r="AA14" s="431" t="str">
        <f>IFERROR('Project Summary'!$H$23*(VFDs!W14/'Project Summary'!$G$23),"")</f>
        <v/>
      </c>
    </row>
    <row r="15" spans="1:30" s="171" customFormat="1" ht="21.75" customHeight="1" x14ac:dyDescent="0.2">
      <c r="B15" s="182">
        <v>6</v>
      </c>
      <c r="C15" s="202"/>
      <c r="D15" s="96"/>
      <c r="E15" s="322" t="str">
        <f t="shared" si="0"/>
        <v/>
      </c>
      <c r="F15" s="322" t="str">
        <f t="shared" si="1"/>
        <v/>
      </c>
      <c r="G15" s="96"/>
      <c r="H15" s="326">
        <f t="shared" si="2"/>
        <v>0</v>
      </c>
      <c r="I15" s="196"/>
      <c r="J15" s="323"/>
      <c r="K15" s="161"/>
      <c r="L15" s="293"/>
      <c r="M15" s="208" t="str">
        <f>IFERROR(VLOOKUP(_xlfn.CONCAT('Project Summary'!$C$13:$D$13, " ", 'Project Summary'!$C$14:$D$14),'Lookup Table'!$D$74:$I$190,VLOOKUP(G15, 'Lookup Table'!$B$237:$C$241,2,FALSE),FALSE), " ")</f>
        <v xml:space="preserve"> </v>
      </c>
      <c r="N15" s="122"/>
      <c r="O15" s="123"/>
      <c r="P15" s="254" t="str">
        <f>IFERROR(L15*0.746*I15*(H15/J15)*M15*IF(D15="HVAC Fan",VLOOKUP(K15,'Lookup Table'!$L$229:$X$235,13,FALSE),IF(D15="HVAC Pump",VLOOKUP(K15,'Lookup Table'!$L$239:$X$241,13,FALSE),"")),"")</f>
        <v/>
      </c>
      <c r="Q15" s="325" t="str">
        <f>IFERROR(L15*0.746*I15*(H15/J15)*M15*(IF(D15="HVAC Fan",'Lookup Table'!$X$235,IF(D15="HVAC Pump",'Lookup Table'!$X$241,""))),"")</f>
        <v/>
      </c>
      <c r="R15" s="325" t="str">
        <f>IFERROR(IF(D15="HVAC Fan", VLOOKUP(K15,'Lookup Table'!$L$228:$W$235,11,FALSE), VLOOKUP(K15,'Lookup Table'!$L$239:$X$241,11,FALSE)),"")</f>
        <v/>
      </c>
      <c r="S15" s="325" t="str">
        <f>IFERROR(IF(D15="HVAC Fan", 'Lookup Table'!$V$235,IF(D15="HVAC Pump",'Lookup Table'!$V$241," ")),"")</f>
        <v xml:space="preserve"> </v>
      </c>
      <c r="T15" s="206" t="str">
        <f>IFERROR(IF(D15="HVAC Fan", VLOOKUP(K15,'Lookup Table'!$L$228:$W$235,9,FALSE), VLOOKUP(K15,'Lookup Table'!$L$239:$X$241,9,FALSE)),"")</f>
        <v/>
      </c>
      <c r="U15" s="229" t="str">
        <f>IFERROR(IF(D15="HVAC Fan", 'Lookup Table'!$T$235,IF(D15="HVAC Pump",'Lookup Table'!$T$241," ")),"")</f>
        <v xml:space="preserve"> </v>
      </c>
      <c r="V15" s="376">
        <f t="shared" si="3"/>
        <v>0</v>
      </c>
      <c r="W15" s="446">
        <f>IFERROR(ROUND(V15*'Lookup Table'!$E$19+AVERAGE(X15,Y15)*'Lookup Table'!$E$20,2),"")</f>
        <v>0</v>
      </c>
      <c r="X15" s="376">
        <f t="shared" si="4"/>
        <v>0</v>
      </c>
      <c r="Y15" s="433">
        <f t="shared" si="5"/>
        <v>0</v>
      </c>
      <c r="Z15" s="488">
        <f t="shared" si="6"/>
        <v>0</v>
      </c>
      <c r="AA15" s="431" t="str">
        <f>IFERROR('Project Summary'!$H$23*(VFDs!W15/'Project Summary'!$G$23),"")</f>
        <v/>
      </c>
    </row>
    <row r="16" spans="1:30" s="171" customFormat="1" ht="21.75" customHeight="1" x14ac:dyDescent="0.2">
      <c r="B16" s="182">
        <v>7</v>
      </c>
      <c r="C16" s="202"/>
      <c r="D16" s="104"/>
      <c r="E16" s="322" t="str">
        <f t="shared" si="0"/>
        <v/>
      </c>
      <c r="F16" s="322" t="str">
        <f t="shared" si="1"/>
        <v/>
      </c>
      <c r="G16" s="104"/>
      <c r="H16" s="326">
        <f t="shared" si="2"/>
        <v>0</v>
      </c>
      <c r="I16" s="196"/>
      <c r="J16" s="323"/>
      <c r="K16" s="161"/>
      <c r="L16" s="293"/>
      <c r="M16" s="208" t="str">
        <f>IFERROR(VLOOKUP(_xlfn.CONCAT('Project Summary'!$C$13:$D$13, " ", 'Project Summary'!$C$14:$D$14),'Lookup Table'!$D$74:$I$190,VLOOKUP(G16, 'Lookup Table'!$B$237:$C$241,2,FALSE),FALSE), " ")</f>
        <v xml:space="preserve"> </v>
      </c>
      <c r="N16" s="122"/>
      <c r="O16" s="123"/>
      <c r="P16" s="254" t="str">
        <f>IFERROR(L16*0.746*I16*(H16/J16)*M16*IF(D16="HVAC Fan",VLOOKUP(K16,'Lookup Table'!$L$229:$X$235,13,FALSE),IF(D16="HVAC Pump",VLOOKUP(K16,'Lookup Table'!$L$239:$X$241,13,FALSE),"")),"")</f>
        <v/>
      </c>
      <c r="Q16" s="325" t="str">
        <f>IFERROR(L16*0.746*I16*(H16/J16)*M16*(IF(D16="HVAC Fan",'Lookup Table'!$X$235,IF(D16="HVAC Pump",'Lookup Table'!$X$241,""))),"")</f>
        <v/>
      </c>
      <c r="R16" s="325" t="str">
        <f>IFERROR(IF(D16="HVAC Fan", VLOOKUP(K16,'Lookup Table'!$L$228:$W$235,11,FALSE), VLOOKUP(K16,'Lookup Table'!$L$239:$X$241,11,FALSE)),"")</f>
        <v/>
      </c>
      <c r="S16" s="325" t="str">
        <f>IFERROR(IF(D16="HVAC Fan", 'Lookup Table'!$V$235,IF(D16="HVAC Pump",'Lookup Table'!$V$241," ")),"")</f>
        <v xml:space="preserve"> </v>
      </c>
      <c r="T16" s="206" t="str">
        <f>IFERROR(IF(D16="HVAC Fan", VLOOKUP(K16,'Lookup Table'!$L$228:$W$235,9,FALSE), VLOOKUP(K16,'Lookup Table'!$L$239:$X$241,9,FALSE)),"")</f>
        <v/>
      </c>
      <c r="U16" s="229" t="str">
        <f>IFERROR(IF(D16="HVAC Fan", 'Lookup Table'!$T$235,IF(D16="HVAC Pump",'Lookup Table'!$T$241," ")),"")</f>
        <v xml:space="preserve"> </v>
      </c>
      <c r="V16" s="376">
        <f t="shared" si="3"/>
        <v>0</v>
      </c>
      <c r="W16" s="446">
        <f>IFERROR(ROUND(V16*'Lookup Table'!$E$19+AVERAGE(X16,Y16)*'Lookup Table'!$E$20,2),"")</f>
        <v>0</v>
      </c>
      <c r="X16" s="376">
        <f t="shared" si="4"/>
        <v>0</v>
      </c>
      <c r="Y16" s="433">
        <f t="shared" si="5"/>
        <v>0</v>
      </c>
      <c r="Z16" s="488">
        <f t="shared" si="6"/>
        <v>0</v>
      </c>
      <c r="AA16" s="431" t="str">
        <f>IFERROR('Project Summary'!$H$23*(VFDs!W16/'Project Summary'!$G$23),"")</f>
        <v/>
      </c>
    </row>
    <row r="17" spans="2:27" s="171" customFormat="1" ht="21.75" customHeight="1" x14ac:dyDescent="0.2">
      <c r="B17" s="182">
        <v>8</v>
      </c>
      <c r="C17" s="202"/>
      <c r="D17" s="96"/>
      <c r="E17" s="322" t="str">
        <f t="shared" si="0"/>
        <v/>
      </c>
      <c r="F17" s="322" t="str">
        <f t="shared" si="1"/>
        <v/>
      </c>
      <c r="G17" s="96"/>
      <c r="H17" s="326">
        <f t="shared" si="2"/>
        <v>0</v>
      </c>
      <c r="I17" s="196"/>
      <c r="J17" s="323"/>
      <c r="K17" s="161"/>
      <c r="L17" s="293"/>
      <c r="M17" s="208" t="str">
        <f>IFERROR(VLOOKUP(_xlfn.CONCAT('Project Summary'!$C$13:$D$13, " ", 'Project Summary'!$C$14:$D$14),'Lookup Table'!$D$74:$I$190,VLOOKUP(G17, 'Lookup Table'!$B$237:$C$241,2,FALSE),FALSE), " ")</f>
        <v xml:space="preserve"> </v>
      </c>
      <c r="N17" s="122"/>
      <c r="O17" s="123"/>
      <c r="P17" s="254" t="str">
        <f>IFERROR(L17*0.746*I17*(H17/J17)*M17*IF(D17="HVAC Fan",VLOOKUP(K17,'Lookup Table'!$L$229:$X$235,13,FALSE),IF(D17="HVAC Pump",VLOOKUP(K17,'Lookup Table'!$L$239:$X$241,13,FALSE),"")),"")</f>
        <v/>
      </c>
      <c r="Q17" s="325" t="str">
        <f>IFERROR(L17*0.746*I17*(H17/J17)*M17*(IF(D17="HVAC Fan",'Lookup Table'!$X$235,IF(D17="HVAC Pump",'Lookup Table'!$X$241,""))),"")</f>
        <v/>
      </c>
      <c r="R17" s="325" t="str">
        <f>IFERROR(IF(D17="HVAC Fan", VLOOKUP(K17,'Lookup Table'!$L$228:$W$235,11,FALSE), VLOOKUP(K17,'Lookup Table'!$L$239:$X$241,11,FALSE)),"")</f>
        <v/>
      </c>
      <c r="S17" s="325" t="str">
        <f>IFERROR(IF(D17="HVAC Fan", 'Lookup Table'!$V$235,IF(D17="HVAC Pump",'Lookup Table'!$V$241," ")),"")</f>
        <v xml:space="preserve"> </v>
      </c>
      <c r="T17" s="206" t="str">
        <f>IFERROR(IF(D17="HVAC Fan", VLOOKUP(K17,'Lookup Table'!$L$228:$W$235,9,FALSE), VLOOKUP(K17,'Lookup Table'!$L$239:$X$241,9,FALSE)),"")</f>
        <v/>
      </c>
      <c r="U17" s="229" t="str">
        <f>IFERROR(IF(D17="HVAC Fan", 'Lookup Table'!$T$235,IF(D17="HVAC Pump",'Lookup Table'!$T$241," ")),"")</f>
        <v xml:space="preserve"> </v>
      </c>
      <c r="V17" s="376">
        <f t="shared" si="3"/>
        <v>0</v>
      </c>
      <c r="W17" s="446">
        <f>IFERROR(ROUND(V17*'Lookup Table'!$E$19+AVERAGE(X17,Y17)*'Lookup Table'!$E$20,2),"")</f>
        <v>0</v>
      </c>
      <c r="X17" s="376">
        <f t="shared" si="4"/>
        <v>0</v>
      </c>
      <c r="Y17" s="433">
        <f t="shared" si="5"/>
        <v>0</v>
      </c>
      <c r="Z17" s="488">
        <f t="shared" si="6"/>
        <v>0</v>
      </c>
      <c r="AA17" s="431" t="str">
        <f>IFERROR('Project Summary'!$H$23*(VFDs!W17/'Project Summary'!$G$23),"")</f>
        <v/>
      </c>
    </row>
    <row r="18" spans="2:27" s="171" customFormat="1" ht="21.75" customHeight="1" x14ac:dyDescent="0.2">
      <c r="B18" s="182">
        <v>9</v>
      </c>
      <c r="C18" s="202"/>
      <c r="D18" s="104"/>
      <c r="E18" s="322" t="str">
        <f t="shared" si="0"/>
        <v/>
      </c>
      <c r="F18" s="322" t="str">
        <f t="shared" si="1"/>
        <v/>
      </c>
      <c r="G18" s="96"/>
      <c r="H18" s="326">
        <f t="shared" si="2"/>
        <v>0</v>
      </c>
      <c r="I18" s="196"/>
      <c r="J18" s="323"/>
      <c r="K18" s="161"/>
      <c r="L18" s="293"/>
      <c r="M18" s="208" t="str">
        <f>IFERROR(VLOOKUP(_xlfn.CONCAT('Project Summary'!$C$13:$D$13, " ", 'Project Summary'!$C$14:$D$14),'Lookup Table'!$D$74:$I$190,VLOOKUP(G18, 'Lookup Table'!$B$237:$C$241,2,FALSE),FALSE), " ")</f>
        <v xml:space="preserve"> </v>
      </c>
      <c r="N18" s="122"/>
      <c r="O18" s="123"/>
      <c r="P18" s="254" t="str">
        <f>IFERROR(L18*0.746*I18*(H18/J18)*M18*IF(D18="HVAC Fan",VLOOKUP(K18,'Lookup Table'!$L$229:$X$235,13,FALSE),IF(D18="HVAC Pump",VLOOKUP(K18,'Lookup Table'!$L$239:$X$241,13,FALSE),"")),"")</f>
        <v/>
      </c>
      <c r="Q18" s="325" t="str">
        <f>IFERROR(L18*0.746*I18*(H18/J18)*M18*(IF(D18="HVAC Fan",'Lookup Table'!$X$235,IF(D18="HVAC Pump",'Lookup Table'!$X$241,""))),"")</f>
        <v/>
      </c>
      <c r="R18" s="325" t="str">
        <f>IFERROR(IF(D18="HVAC Fan", VLOOKUP(K18,'Lookup Table'!$L$228:$W$235,11,FALSE), VLOOKUP(K18,'Lookup Table'!$L$239:$X$241,11,FALSE)),"")</f>
        <v/>
      </c>
      <c r="S18" s="325" t="str">
        <f>IFERROR(IF(D18="HVAC Fan", 'Lookup Table'!$V$235,IF(D18="HVAC Pump",'Lookup Table'!$V$241," ")),"")</f>
        <v xml:space="preserve"> </v>
      </c>
      <c r="T18" s="206" t="str">
        <f>IFERROR(IF(D18="HVAC Fan", VLOOKUP(K18,'Lookup Table'!$L$228:$W$235,9,FALSE), VLOOKUP(K18,'Lookup Table'!$L$239:$X$241,9,FALSE)),"")</f>
        <v/>
      </c>
      <c r="U18" s="229" t="str">
        <f>IFERROR(IF(D18="HVAC Fan", 'Lookup Table'!$T$235,IF(D18="HVAC Pump",'Lookup Table'!$T$241," ")),"")</f>
        <v xml:space="preserve"> </v>
      </c>
      <c r="V18" s="376">
        <f t="shared" si="3"/>
        <v>0</v>
      </c>
      <c r="W18" s="446">
        <f>IFERROR(ROUND(V18*'Lookup Table'!$E$19+AVERAGE(X18,Y18)*'Lookup Table'!$E$20,2),"")</f>
        <v>0</v>
      </c>
      <c r="X18" s="376">
        <f t="shared" si="4"/>
        <v>0</v>
      </c>
      <c r="Y18" s="433">
        <f t="shared" si="5"/>
        <v>0</v>
      </c>
      <c r="Z18" s="488">
        <f t="shared" si="6"/>
        <v>0</v>
      </c>
      <c r="AA18" s="431" t="str">
        <f>IFERROR('Project Summary'!$H$23*(VFDs!W18/'Project Summary'!$G$23),"")</f>
        <v/>
      </c>
    </row>
    <row r="19" spans="2:27" s="171" customFormat="1" ht="21.75" customHeight="1" thickBot="1" x14ac:dyDescent="0.25">
      <c r="B19" s="188">
        <v>10</v>
      </c>
      <c r="C19" s="203"/>
      <c r="D19" s="198"/>
      <c r="E19" s="307" t="str">
        <f t="shared" si="0"/>
        <v/>
      </c>
      <c r="F19" s="307" t="str">
        <f t="shared" si="1"/>
        <v/>
      </c>
      <c r="G19" s="198"/>
      <c r="H19" s="567">
        <f t="shared" si="2"/>
        <v>0</v>
      </c>
      <c r="I19" s="199"/>
      <c r="J19" s="312"/>
      <c r="K19" s="162"/>
      <c r="L19" s="294"/>
      <c r="M19" s="371" t="str">
        <f>IFERROR(VLOOKUP(_xlfn.CONCAT('Project Summary'!$C$13:$D$13, " ", 'Project Summary'!$C$14:$D$14),'Lookup Table'!$D$74:$I$190,VLOOKUP(G19, 'Lookup Table'!$B$237:$C$241,2,FALSE),FALSE), " ")</f>
        <v xml:space="preserve"> </v>
      </c>
      <c r="N19" s="126"/>
      <c r="O19" s="127"/>
      <c r="P19" s="256" t="str">
        <f>IFERROR(L19*0.746*I19*(H19/J19)*M19*IF(D19="HVAC Fan",VLOOKUP(K19,'Lookup Table'!$L$229:$X$235,13,FALSE),IF(D19="HVAC Pump",VLOOKUP(K19,'Lookup Table'!$L$239:$X$241,13,FALSE),"")),"")</f>
        <v/>
      </c>
      <c r="Q19" s="333" t="str">
        <f>IFERROR(L19*0.746*I19*(H19/J19)*M19*(IF(D19="HVAC Fan",'Lookup Table'!$X$235,IF(D19="HVAC Pump",'Lookup Table'!$X$241,""))),"")</f>
        <v/>
      </c>
      <c r="R19" s="333" t="str">
        <f>IFERROR(IF(D19="HVAC Fan", VLOOKUP(K19,'Lookup Table'!$L$228:$W$235,11,FALSE), VLOOKUP(K19,'Lookup Table'!$L$239:$X$241,11,FALSE)),"")</f>
        <v/>
      </c>
      <c r="S19" s="333" t="str">
        <f>IFERROR(IF(D19="HVAC Fan", 'Lookup Table'!$V$235,IF(D19="HVAC Pump",'Lookup Table'!$V$241," ")),"")</f>
        <v xml:space="preserve"> </v>
      </c>
      <c r="T19" s="211" t="str">
        <f>IFERROR(IF(D19="HVAC Fan", VLOOKUP(K19,'Lookup Table'!$L$228:$W$235,9,FALSE), VLOOKUP(K19,'Lookup Table'!$L$239:$X$241,9,FALSE)),"")</f>
        <v/>
      </c>
      <c r="U19" s="236" t="str">
        <f>IFERROR(IF(D19="HVAC Fan", 'Lookup Table'!$T$235,IF(D19="HVAC Pump",'Lookup Table'!$T$241," ")),"")</f>
        <v xml:space="preserve"> </v>
      </c>
      <c r="V19" s="377">
        <f t="shared" si="3"/>
        <v>0</v>
      </c>
      <c r="W19" s="445">
        <f>IFERROR(ROUND(V19*'Lookup Table'!$E$19+AVERAGE(X19,Y19)*'Lookup Table'!$E$20,2),"")</f>
        <v>0</v>
      </c>
      <c r="X19" s="489">
        <f t="shared" si="4"/>
        <v>0</v>
      </c>
      <c r="Y19" s="434">
        <f t="shared" si="5"/>
        <v>0</v>
      </c>
      <c r="Z19" s="490">
        <f t="shared" si="6"/>
        <v>0</v>
      </c>
      <c r="AA19" s="432" t="str">
        <f>IFERROR('Project Summary'!$H$23*(VFDs!W19/'Project Summary'!$G$23),"")</f>
        <v/>
      </c>
    </row>
    <row r="20" spans="2:27" s="171" customFormat="1" ht="22.15" customHeight="1" x14ac:dyDescent="0.2">
      <c r="B20" s="213"/>
      <c r="C20" s="213"/>
      <c r="D20" s="213"/>
      <c r="E20" s="213"/>
      <c r="F20" s="213"/>
      <c r="G20" s="213"/>
    </row>
    <row r="21" spans="2:27" s="171" customFormat="1" ht="22.15" customHeight="1" x14ac:dyDescent="0.2">
      <c r="B21" s="213"/>
      <c r="C21" s="213"/>
      <c r="D21" s="213"/>
      <c r="E21" s="213"/>
      <c r="F21" s="213"/>
      <c r="G21" s="213"/>
    </row>
    <row r="22" spans="2:27" ht="9" customHeight="1" x14ac:dyDescent="0.2"/>
    <row r="23" spans="2:27" x14ac:dyDescent="0.2">
      <c r="B23" s="195"/>
    </row>
  </sheetData>
  <sheetProtection algorithmName="SHA-512" hashValue="OOBwEL+i7G8bPVa5st5cf8q86TsQXkNkleJnJnTfpqOJ87SLbg6NWe1+oYr+X2kAqOi/uHcV/8YoM9JKNwzT5Q==" saltValue="VjzxgeDc1I1/eyQmLWEFbg==" spinCount="100000" sheet="1" formatColumns="0"/>
  <mergeCells count="8">
    <mergeCell ref="AA8:AA9"/>
    <mergeCell ref="N8:O8"/>
    <mergeCell ref="B3:M3"/>
    <mergeCell ref="B4:M4"/>
    <mergeCell ref="K8:M8"/>
    <mergeCell ref="C8:J8"/>
    <mergeCell ref="B6:AD6"/>
    <mergeCell ref="P8:Z8"/>
  </mergeCells>
  <dataValidations count="2">
    <dataValidation type="list" allowBlank="1" showInputMessage="1" showErrorMessage="1" sqref="K11:K19" xr:uid="{FAA13ACB-7E61-4C8D-8A23-1273542CCAFC}">
      <formula1>INDIRECT(E11)</formula1>
    </dataValidation>
    <dataValidation type="list" allowBlank="1" showInputMessage="1" showErrorMessage="1" sqref="G10:G19" xr:uid="{3A4FEF4F-37EC-4A72-887E-E2F70E4D8B25}">
      <formula1>INDIRECT(F10)</formula1>
    </dataValidation>
  </dataValidations>
  <pageMargins left="0.5" right="0.5" top="0.5" bottom="0.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CB66FB4-F9DB-45C9-9E1C-754EE1F43BB6}">
          <x14:formula1>
            <xm:f>'Lookup Table'!$L$225:$L$226</xm:f>
          </x14:formula1>
          <xm:sqref>D10:D19</xm:sqref>
        </x14:dataValidation>
        <x14:dataValidation type="list" allowBlank="1" showInputMessage="1" showErrorMessage="1" xr:uid="{133EB13D-7424-48B3-A835-AC596DC1FCBC}">
          <x14:formula1>
            <xm:f>IF( D10="HVAC Fan", 'Lookup Table'!$E$237:$E$243, 'Lookup Table'!$F$237:$F$239 )</xm:f>
          </x14:formula1>
          <xm:sqref>K10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00D36-7176-4DBF-9F5B-17D6EC94042A}">
  <sheetPr codeName="Sheet5">
    <tabColor theme="8" tint="0.59999389629810485"/>
  </sheetPr>
  <dimension ref="A1:AG27"/>
  <sheetViews>
    <sheetView zoomScale="80" zoomScaleNormal="80" workbookViewId="0">
      <selection activeCell="C10" sqref="C10"/>
    </sheetView>
  </sheetViews>
  <sheetFormatPr defaultColWidth="8.75" defaultRowHeight="14.25" x14ac:dyDescent="0.2"/>
  <cols>
    <col min="1" max="1" width="3.625" style="168" customWidth="1"/>
    <col min="2" max="2" width="6.375" style="168" customWidth="1"/>
    <col min="3" max="5" width="18.125" style="168" customWidth="1"/>
    <col min="6" max="6" width="15.625" style="168" customWidth="1"/>
    <col min="7" max="7" width="10.875" style="168" customWidth="1"/>
    <col min="8" max="8" width="9.625" style="168" customWidth="1"/>
    <col min="9" max="9" width="27.5" style="168" customWidth="1"/>
    <col min="10" max="10" width="17.375" style="168" hidden="1" customWidth="1"/>
    <col min="11" max="11" width="17.375" style="168" customWidth="1"/>
    <col min="12" max="12" width="8.75" style="168" hidden="1" customWidth="1"/>
    <col min="13" max="13" width="13" style="168" hidden="1" customWidth="1"/>
    <col min="14" max="25" width="8.75" style="168" hidden="1" customWidth="1"/>
    <col min="26" max="26" width="9.125" style="168" hidden="1" customWidth="1"/>
    <col min="27" max="27" width="8.75" style="168" hidden="1" customWidth="1"/>
    <col min="28" max="29" width="8.75" style="168"/>
    <col min="30" max="30" width="9.75" style="168" hidden="1" customWidth="1"/>
    <col min="31" max="32" width="9.75" style="168" customWidth="1"/>
    <col min="33" max="33" width="10.25" style="168" customWidth="1"/>
    <col min="34" max="16384" width="8.75" style="168"/>
  </cols>
  <sheetData>
    <row r="1" spans="1:33" x14ac:dyDescent="0.2">
      <c r="A1" s="167"/>
      <c r="J1" s="168" t="s">
        <v>103</v>
      </c>
      <c r="L1" s="168" t="s">
        <v>103</v>
      </c>
      <c r="M1" s="168" t="s">
        <v>103</v>
      </c>
      <c r="N1" s="168" t="s">
        <v>103</v>
      </c>
      <c r="O1" s="168" t="s">
        <v>103</v>
      </c>
      <c r="P1" s="168" t="s">
        <v>103</v>
      </c>
      <c r="Q1" s="168" t="s">
        <v>103</v>
      </c>
      <c r="R1" s="168" t="s">
        <v>103</v>
      </c>
      <c r="S1" s="168" t="s">
        <v>103</v>
      </c>
      <c r="T1" s="168" t="s">
        <v>103</v>
      </c>
      <c r="V1" s="168" t="s">
        <v>103</v>
      </c>
      <c r="W1" s="168" t="s">
        <v>103</v>
      </c>
      <c r="X1" s="168" t="s">
        <v>103</v>
      </c>
      <c r="Y1" s="168" t="s">
        <v>103</v>
      </c>
      <c r="Z1" s="168" t="s">
        <v>103</v>
      </c>
      <c r="AA1" s="168" t="s">
        <v>103</v>
      </c>
      <c r="AD1" s="168" t="s">
        <v>103</v>
      </c>
    </row>
    <row r="2" spans="1:33" ht="9.75" customHeight="1" x14ac:dyDescent="0.2"/>
    <row r="3" spans="1:33" ht="34.5" customHeight="1" x14ac:dyDescent="0.35">
      <c r="B3" s="625" t="s">
        <v>155</v>
      </c>
      <c r="C3" s="625"/>
      <c r="D3" s="625"/>
      <c r="E3" s="625"/>
      <c r="F3" s="625"/>
      <c r="G3" s="625"/>
      <c r="H3" s="625"/>
    </row>
    <row r="4" spans="1:33" ht="28.9" customHeight="1" x14ac:dyDescent="0.2">
      <c r="B4" s="666" t="s">
        <v>106</v>
      </c>
      <c r="C4" s="666"/>
      <c r="D4" s="666"/>
      <c r="E4" s="666"/>
      <c r="F4" s="666"/>
      <c r="G4" s="666"/>
      <c r="H4" s="666"/>
    </row>
    <row r="5" spans="1:33" ht="14.1" customHeight="1" x14ac:dyDescent="0.2">
      <c r="B5" s="360"/>
      <c r="C5" s="360"/>
      <c r="D5" s="360"/>
      <c r="E5" s="360"/>
      <c r="F5" s="360"/>
      <c r="G5" s="360"/>
      <c r="H5" s="360"/>
      <c r="I5" s="360"/>
      <c r="J5" s="360"/>
      <c r="K5" s="169"/>
      <c r="L5" s="169"/>
    </row>
    <row r="6" spans="1:33" ht="28.9" customHeight="1" x14ac:dyDescent="0.2">
      <c r="B6" s="626" t="s">
        <v>34</v>
      </c>
      <c r="C6" s="626"/>
      <c r="D6" s="626"/>
      <c r="E6" s="626"/>
      <c r="F6" s="626"/>
      <c r="G6" s="626"/>
      <c r="H6" s="626"/>
      <c r="I6" s="626"/>
      <c r="J6" s="626"/>
      <c r="K6" s="626"/>
      <c r="L6" s="626"/>
      <c r="M6" s="626"/>
      <c r="N6" s="626"/>
      <c r="O6" s="626"/>
      <c r="P6" s="626"/>
      <c r="Q6" s="626"/>
      <c r="R6" s="626"/>
      <c r="S6" s="626"/>
      <c r="T6" s="626"/>
      <c r="U6" s="626"/>
      <c r="V6" s="626"/>
      <c r="W6" s="626"/>
      <c r="X6" s="626"/>
      <c r="Y6" s="626"/>
      <c r="Z6" s="626"/>
      <c r="AA6" s="626"/>
      <c r="AB6" s="626"/>
    </row>
    <row r="7" spans="1:33" ht="9" customHeight="1" thickBot="1" x14ac:dyDescent="0.3">
      <c r="B7" s="170"/>
      <c r="C7" s="170"/>
      <c r="D7" s="170"/>
      <c r="E7" s="170"/>
      <c r="O7" s="442"/>
      <c r="P7" s="442"/>
      <c r="Q7" s="442"/>
      <c r="R7" s="442"/>
      <c r="S7" s="442"/>
      <c r="T7" s="442"/>
      <c r="U7" s="442"/>
      <c r="V7" s="442"/>
      <c r="W7" s="442"/>
      <c r="X7" s="442"/>
      <c r="Y7" s="442"/>
      <c r="Z7" s="442"/>
      <c r="AA7" s="442"/>
      <c r="AB7" s="442"/>
      <c r="AC7" s="442"/>
      <c r="AD7" s="442"/>
      <c r="AE7" s="442"/>
      <c r="AF7" s="442"/>
    </row>
    <row r="8" spans="1:33" s="171" customFormat="1" ht="21.75" customHeight="1" thickBot="1" x14ac:dyDescent="0.25">
      <c r="B8" s="214"/>
      <c r="C8" s="214" t="s">
        <v>156</v>
      </c>
      <c r="D8" s="215"/>
      <c r="E8" s="215"/>
      <c r="F8" s="667" t="s">
        <v>157</v>
      </c>
      <c r="G8" s="668"/>
      <c r="H8" s="668"/>
      <c r="I8" s="668"/>
      <c r="J8" s="668"/>
      <c r="K8" s="668"/>
      <c r="L8" s="669"/>
      <c r="M8" s="664" t="s">
        <v>158</v>
      </c>
      <c r="N8" s="665"/>
      <c r="O8" s="670" t="s">
        <v>123</v>
      </c>
      <c r="P8" s="671"/>
      <c r="Q8" s="671"/>
      <c r="R8" s="671"/>
      <c r="S8" s="671"/>
      <c r="T8" s="671"/>
      <c r="U8" s="671"/>
      <c r="V8" s="671"/>
      <c r="W8" s="671"/>
      <c r="X8" s="671"/>
      <c r="Y8" s="671"/>
      <c r="Z8" s="671"/>
      <c r="AA8" s="671"/>
      <c r="AB8" s="671"/>
      <c r="AC8" s="671"/>
      <c r="AD8" s="671"/>
      <c r="AE8" s="671"/>
      <c r="AF8" s="672"/>
      <c r="AG8" s="645" t="s">
        <v>124</v>
      </c>
    </row>
    <row r="9" spans="1:33" s="204" customFormat="1" ht="45.75" thickBot="1" x14ac:dyDescent="0.25">
      <c r="B9" s="216" t="s">
        <v>125</v>
      </c>
      <c r="C9" s="218" t="s">
        <v>159</v>
      </c>
      <c r="D9" s="313" t="s">
        <v>126</v>
      </c>
      <c r="E9" s="295" t="s">
        <v>160</v>
      </c>
      <c r="F9" s="218" t="s">
        <v>79</v>
      </c>
      <c r="G9" s="219" t="s">
        <v>161</v>
      </c>
      <c r="H9" s="219" t="s">
        <v>148</v>
      </c>
      <c r="I9" s="219" t="s">
        <v>83</v>
      </c>
      <c r="J9" s="220" t="s">
        <v>162</v>
      </c>
      <c r="K9" s="314" t="s">
        <v>163</v>
      </c>
      <c r="L9" s="220" t="s">
        <v>164</v>
      </c>
      <c r="M9" s="218" t="s">
        <v>145</v>
      </c>
      <c r="N9" s="220" t="s">
        <v>164</v>
      </c>
      <c r="O9" s="420" t="s">
        <v>165</v>
      </c>
      <c r="P9" s="421" t="s">
        <v>166</v>
      </c>
      <c r="Q9" s="421" t="s">
        <v>167</v>
      </c>
      <c r="R9" s="421" t="s">
        <v>168</v>
      </c>
      <c r="S9" s="421" t="s">
        <v>169</v>
      </c>
      <c r="T9" s="175" t="s">
        <v>132</v>
      </c>
      <c r="U9" s="175" t="s">
        <v>133</v>
      </c>
      <c r="V9" s="421" t="s">
        <v>170</v>
      </c>
      <c r="W9" s="175" t="s">
        <v>171</v>
      </c>
      <c r="X9" s="421" t="s">
        <v>172</v>
      </c>
      <c r="Y9" s="421" t="s">
        <v>173</v>
      </c>
      <c r="Z9" s="421" t="s">
        <v>174</v>
      </c>
      <c r="AA9" s="175" t="s">
        <v>175</v>
      </c>
      <c r="AB9" s="175" t="s">
        <v>176</v>
      </c>
      <c r="AC9" s="219" t="s">
        <v>89</v>
      </c>
      <c r="AD9" s="175" t="s">
        <v>116</v>
      </c>
      <c r="AE9" s="175" t="s">
        <v>113</v>
      </c>
      <c r="AF9" s="296" t="s">
        <v>114</v>
      </c>
      <c r="AG9" s="663"/>
    </row>
    <row r="10" spans="1:33" s="171" customFormat="1" ht="21.75" customHeight="1" x14ac:dyDescent="0.2">
      <c r="B10" s="221">
        <v>1</v>
      </c>
      <c r="C10" s="292"/>
      <c r="D10" s="302"/>
      <c r="E10" s="315"/>
      <c r="F10" s="292"/>
      <c r="G10" s="303"/>
      <c r="H10" s="303"/>
      <c r="I10" s="494"/>
      <c r="J10" s="491" t="str">
        <f>IFERROR(VLOOKUP(F10,'Lookup Table'!$P$276:$Q$278,2,FALSE),"")</f>
        <v/>
      </c>
      <c r="K10" s="317"/>
      <c r="L10" s="318">
        <f>IFERROR(0.746*G10/J10,0)</f>
        <v>0</v>
      </c>
      <c r="M10" s="223" t="s">
        <v>178</v>
      </c>
      <c r="N10" s="316">
        <f>IFERROR(0.746*G10/'Lookup Table'!$Q$278,0)</f>
        <v>0</v>
      </c>
      <c r="O10" s="223">
        <v>0.9</v>
      </c>
      <c r="P10" s="224">
        <f>IFERROR(INDEX('Lookup Table'!$C$260:$K$273,MATCH('Project Summary'!$C$14,'Lookup Table'!$B$260:$B$273,0),MATCH('Project Summary'!$C$13,'Lookup Table'!$C$259:$K$259,0)),0)</f>
        <v>0</v>
      </c>
      <c r="Q10" s="224">
        <f>IFERROR(INDEX('Lookup Table'!$N$260:$V$273,MATCH('Project Summary'!$C$14,'Lookup Table'!$M$260:$M$273,0),MATCH('Project Summary'!$C$13,'Lookup Table'!$N$259:$V$259,0)),0)</f>
        <v>0</v>
      </c>
      <c r="R10" s="225">
        <v>0.26200000000000001</v>
      </c>
      <c r="S10" s="226">
        <v>0.3</v>
      </c>
      <c r="T10" s="458" t="e">
        <f>VLOOKUP('Project Summary'!$C$14,'Lookup Table'!$V$68:$X$80,2,FALSE)</f>
        <v>#N/A</v>
      </c>
      <c r="U10" s="458" t="e">
        <f>VLOOKUP('Project Summary'!$C$14,'Lookup Table'!$V$68:$X$80,3,FALSE)</f>
        <v>#N/A</v>
      </c>
      <c r="V10" s="227">
        <f>IFERROR(H10*((L10-N10)/1000)*O10*P10,"")</f>
        <v>0</v>
      </c>
      <c r="W10" s="206" t="e">
        <f>V10*U10</f>
        <v>#N/A</v>
      </c>
      <c r="X10" s="227">
        <f t="shared" ref="X10:X19" si="0">IFERROR(H10*((L10-N10)/1000)*O10*Q10*(1+R10),"")</f>
        <v>0</v>
      </c>
      <c r="Y10" s="468" t="e">
        <f t="shared" ref="Y10:Y19" si="1">X10*T10</f>
        <v>#N/A</v>
      </c>
      <c r="Z10" s="226" t="str">
        <f>IF(ISNUMBER(SEARCH("Ventilation", I10)), H10*((L10-N10)/1000)*O10*K10, "")</f>
        <v/>
      </c>
      <c r="AA10" s="443" t="str">
        <f>IF(ISNUMBER(SEARCH("Ventilation", I10)), Z10*T10, "")</f>
        <v/>
      </c>
      <c r="AB10" s="251">
        <f>IFERROR(ROUND(IF(I10='Lookup Table'!$N$276,'ECM Fan'!V10,IF(I10='Lookup Table'!$N$277,'ECM Fan'!X10,IF(I10='Lookup Table'!$N$278,'ECM Fan'!Z10,IF(I10='Lookup Table'!$N$279,'ECM Fan'!V10+'ECM Fan'!X10,IF(I10='Lookup Table'!$N$280,'ECM Fan'!V10+'ECM Fan'!Z10,IF(I10='Lookup Table'!$N$281,'ECM Fan'!X10+'ECM Fan'!Z10,IF(I10='Lookup Table'!$N$282,'ECM Fan'!V10+'ECM Fan'!X10+'ECM Fan'!Z10,0))))))),2),0)</f>
        <v>0</v>
      </c>
      <c r="AC10" s="226">
        <f>IFERROR(IF(I10='Lookup Table'!$N$276,'ECM Fan'!W10,IF(I10='Lookup Table'!$N$277,'ECM Fan'!Y10,IF(I10='Lookup Table'!$N$278,'ECM Fan'!AA10,IF(I10='Lookup Table'!$N$279,'ECM Fan'!W10+'ECM Fan'!Y10,IF(I10='Lookup Table'!$N$280,'ECM Fan'!W10+'ECM Fan'!AA10,IF(I10='Lookup Table'!$N$281,'ECM Fan'!Y10+'ECM Fan'!AA10,IF(I10='Lookup Table'!$N$282,'ECM Fan'!W10+'ECM Fan'!Y10+'ECM Fan'!AA10,0))))))),0)</f>
        <v>0</v>
      </c>
      <c r="AD10" s="443">
        <f>IFERROR(ROUND(AB10*'Lookup Table'!$E$19+AVERAGE(AE10,AF10)*'Lookup Table'!$E$20,2),"")</f>
        <v>0</v>
      </c>
      <c r="AE10" s="443">
        <f>IFERROR(IF(ISNUMBER(SEARCH("Ventilation", I10)), Y10+AA10, Y10),0)</f>
        <v>0</v>
      </c>
      <c r="AF10" s="443">
        <f>IFERROR(W10,0)</f>
        <v>0</v>
      </c>
      <c r="AG10" s="430" t="str">
        <f>IFERROR('Project Summary'!$H$23*('ECM Fan'!AD10/'Project Summary'!$G$23),"")</f>
        <v/>
      </c>
    </row>
    <row r="11" spans="1:33" s="171" customFormat="1" ht="21.75" customHeight="1" x14ac:dyDescent="0.2">
      <c r="B11" s="228">
        <v>2</v>
      </c>
      <c r="C11" s="124"/>
      <c r="D11" s="161"/>
      <c r="E11" s="243"/>
      <c r="F11" s="124"/>
      <c r="G11" s="119"/>
      <c r="H11" s="119"/>
      <c r="I11" s="125"/>
      <c r="J11" s="492" t="str">
        <f>IFERROR(VLOOKUP(F11,'Lookup Table'!$P$276:$Q$278,2,FALSE),"")</f>
        <v/>
      </c>
      <c r="K11" s="245"/>
      <c r="L11" s="230">
        <f t="shared" ref="L11:L19" si="2">IFERROR(0.746*G11/J11,0)</f>
        <v>0</v>
      </c>
      <c r="M11" s="231" t="s">
        <v>178</v>
      </c>
      <c r="N11" s="229">
        <f>IFERROR(0.746*G11/'Lookup Table'!$Q$278,0)</f>
        <v>0</v>
      </c>
      <c r="O11" s="231">
        <v>0.9</v>
      </c>
      <c r="P11" s="207">
        <f>IFERROR(INDEX('Lookup Table'!$C$260:$K$273,MATCH('Project Summary'!$C$14,'Lookup Table'!$B$260:$B$273,0),MATCH('Project Summary'!$C$13,'Lookup Table'!$C$259:$K$259,0)),0)</f>
        <v>0</v>
      </c>
      <c r="Q11" s="207">
        <f>IFERROR(INDEX('Lookup Table'!$N$260:$V$273,MATCH('Project Summary'!$C$14,'Lookup Table'!$M$260:$M$273,0),MATCH('Project Summary'!$C$13,'Lookup Table'!$N$259:$V$259,0)),0)</f>
        <v>0</v>
      </c>
      <c r="R11" s="232">
        <v>0.26200000000000001</v>
      </c>
      <c r="S11" s="233">
        <v>0.3</v>
      </c>
      <c r="T11" s="469" t="e">
        <f>VLOOKUP('Project Summary'!$C$14,'Lookup Table'!$V$68:$X$80,2,FALSE)</f>
        <v>#N/A</v>
      </c>
      <c r="U11" s="469" t="e">
        <f>VLOOKUP('Project Summary'!$C$14,'Lookup Table'!$V$68:$X$80,3,FALSE)</f>
        <v>#N/A</v>
      </c>
      <c r="V11" s="234">
        <f t="shared" ref="V11:V19" si="3">IFERROR(H11*((L11-N11)/1000)*O11*P11,"")</f>
        <v>0</v>
      </c>
      <c r="W11" s="207" t="e">
        <f t="shared" ref="W11:W19" si="4">V11*U11</f>
        <v>#N/A</v>
      </c>
      <c r="X11" s="234">
        <f t="shared" si="0"/>
        <v>0</v>
      </c>
      <c r="Y11" s="469" t="e">
        <f>X11*T11</f>
        <v>#N/A</v>
      </c>
      <c r="Z11" s="233" t="str">
        <f t="shared" ref="Z11:Z19" si="5">IF(ISNUMBER(SEARCH("Ventilation", I11)), H11*((L11-N11)/1000)*O11*K11, "")</f>
        <v/>
      </c>
      <c r="AA11" s="232" t="str">
        <f t="shared" ref="AA11:AA19" si="6">IF(ISNUMBER(SEARCH("Ventilation", I11)), Z11*T11, "")</f>
        <v/>
      </c>
      <c r="AB11" s="234">
        <f>IFERROR(ROUND(IF(I11='Lookup Table'!$N$276,'ECM Fan'!V11,IF(I11='Lookup Table'!$N$277,'ECM Fan'!X11,IF(I11='Lookup Table'!$N$278,'ECM Fan'!Z11,IF(I11='Lookup Table'!$N$279,'ECM Fan'!V11+'ECM Fan'!X11,IF(I11='Lookup Table'!$N$280,'ECM Fan'!V11+'ECM Fan'!Z11,IF(I11='Lookup Table'!$N$281,'ECM Fan'!X11+'ECM Fan'!Z11,IF(I11='Lookup Table'!$N$282,'ECM Fan'!V11+'ECM Fan'!X11+'ECM Fan'!Z11,""))))))),2),0)</f>
        <v>0</v>
      </c>
      <c r="AC11" s="233">
        <f>IFERROR(IF(I11='Lookup Table'!$N$276,'ECM Fan'!W11,IF(I11='Lookup Table'!$N$277,'ECM Fan'!Y11,IF(I11='Lookup Table'!$N$278,'ECM Fan'!AA11,IF(I11='Lookup Table'!$N$279,'ECM Fan'!W11+'ECM Fan'!Y11,IF(I11='Lookup Table'!$N$280,'ECM Fan'!W11+'ECM Fan'!AA11,IF(I11='Lookup Table'!$N$281,'ECM Fan'!Y11+'ECM Fan'!AA11,IF(I11='Lookup Table'!$N$282,'ECM Fan'!W11+'ECM Fan'!Y11+'ECM Fan'!AA11,0))))))),0)</f>
        <v>0</v>
      </c>
      <c r="AD11" s="233">
        <f>IFERROR(ROUND(AB11*'Lookup Table'!$E$19+AVERAGE(AE11,AF11)*'Lookup Table'!$E$20,2),"")</f>
        <v>0</v>
      </c>
      <c r="AE11" s="443">
        <f t="shared" ref="AE11:AE19" si="7">IFERROR(IF(ISNUMBER(SEARCH("Ventilation", I11)), Y11+AA11, Y11),0)</f>
        <v>0</v>
      </c>
      <c r="AF11" s="443">
        <f t="shared" ref="AF11:AF19" si="8">IFERROR(W11,0)</f>
        <v>0</v>
      </c>
      <c r="AG11" s="431" t="str">
        <f>IFERROR('Project Summary'!$H$23*('ECM Fan'!AD11/'Project Summary'!$G$23),"")</f>
        <v/>
      </c>
    </row>
    <row r="12" spans="1:33" s="171" customFormat="1" ht="21.75" customHeight="1" x14ac:dyDescent="0.2">
      <c r="B12" s="228">
        <v>3</v>
      </c>
      <c r="C12" s="124"/>
      <c r="D12" s="161"/>
      <c r="E12" s="243"/>
      <c r="F12" s="124"/>
      <c r="G12" s="119"/>
      <c r="H12" s="119"/>
      <c r="I12" s="125"/>
      <c r="J12" s="492" t="str">
        <f>IFERROR(VLOOKUP(F12,'Lookup Table'!$P$276:$Q$278,2,FALSE),"")</f>
        <v/>
      </c>
      <c r="K12" s="245"/>
      <c r="L12" s="230">
        <f t="shared" si="2"/>
        <v>0</v>
      </c>
      <c r="M12" s="231" t="s">
        <v>178</v>
      </c>
      <c r="N12" s="229">
        <f>IFERROR(0.746*G12/'Lookup Table'!$Q$278,0)</f>
        <v>0</v>
      </c>
      <c r="O12" s="231">
        <v>0.9</v>
      </c>
      <c r="P12" s="207">
        <f>IFERROR(INDEX('Lookup Table'!$C$260:$K$273,MATCH('Project Summary'!$C$14,'Lookup Table'!$B$260:$B$273,0),MATCH('Project Summary'!$C$13,'Lookup Table'!$C$259:$K$259,0)),0)</f>
        <v>0</v>
      </c>
      <c r="Q12" s="207">
        <f>IFERROR(INDEX('Lookup Table'!$N$260:$V$273,MATCH('Project Summary'!$C$14,'Lookup Table'!$M$260:$M$273,0),MATCH('Project Summary'!$C$13,'Lookup Table'!$N$259:$V$259,0)),0)</f>
        <v>0</v>
      </c>
      <c r="R12" s="232">
        <v>0.26200000000000001</v>
      </c>
      <c r="S12" s="233">
        <v>0.3</v>
      </c>
      <c r="T12" s="469" t="e">
        <f>VLOOKUP('Project Summary'!$C$14,'Lookup Table'!$V$68:$X$80,2,FALSE)</f>
        <v>#N/A</v>
      </c>
      <c r="U12" s="469" t="e">
        <f>VLOOKUP('Project Summary'!$C$14,'Lookup Table'!$V$68:$X$80,3,FALSE)</f>
        <v>#N/A</v>
      </c>
      <c r="V12" s="234">
        <f t="shared" si="3"/>
        <v>0</v>
      </c>
      <c r="W12" s="207" t="e">
        <f t="shared" si="4"/>
        <v>#N/A</v>
      </c>
      <c r="X12" s="234">
        <f t="shared" si="0"/>
        <v>0</v>
      </c>
      <c r="Y12" s="233" t="e">
        <f t="shared" si="1"/>
        <v>#N/A</v>
      </c>
      <c r="Z12" s="233" t="str">
        <f t="shared" si="5"/>
        <v/>
      </c>
      <c r="AA12" s="233" t="str">
        <f t="shared" si="6"/>
        <v/>
      </c>
      <c r="AB12" s="234">
        <f>IFERROR(ROUND(IF(I12='Lookup Table'!$N$276,'ECM Fan'!V12,IF(I12='Lookup Table'!$N$277,'ECM Fan'!X12,IF(I12='Lookup Table'!$N$278,'ECM Fan'!Z12,IF(I12='Lookup Table'!$N$279,'ECM Fan'!V12+'ECM Fan'!X12,IF(I12='Lookup Table'!$N$280,'ECM Fan'!V12+'ECM Fan'!Z12,IF(I12='Lookup Table'!$N$281,'ECM Fan'!X12+'ECM Fan'!Z12,IF(I12='Lookup Table'!$N$282,'ECM Fan'!V12+'ECM Fan'!X12+'ECM Fan'!Z12,""))))))),2),0)</f>
        <v>0</v>
      </c>
      <c r="AC12" s="233">
        <f>IFERROR(IF(I12='Lookup Table'!$N$276,'ECM Fan'!W12,IF(I12='Lookup Table'!$N$277,'ECM Fan'!Y12,IF(I12='Lookup Table'!$N$278,'ECM Fan'!AA12,IF(I12='Lookup Table'!$N$279,'ECM Fan'!W12+'ECM Fan'!Y12,IF(I12='Lookup Table'!$N$280,'ECM Fan'!W12+'ECM Fan'!AA12,IF(I12='Lookup Table'!$N$281,'ECM Fan'!Y12+'ECM Fan'!AA12,IF(I12='Lookup Table'!$N$282,'ECM Fan'!W12+'ECM Fan'!Y12+'ECM Fan'!AA12,0))))))),0)</f>
        <v>0</v>
      </c>
      <c r="AD12" s="233">
        <f>IFERROR(ROUND(AB12*'Lookup Table'!$E$19+AVERAGE(AE12,AF12)*'Lookup Table'!$E$20,2),"")</f>
        <v>0</v>
      </c>
      <c r="AE12" s="443">
        <f t="shared" si="7"/>
        <v>0</v>
      </c>
      <c r="AF12" s="443">
        <f t="shared" si="8"/>
        <v>0</v>
      </c>
      <c r="AG12" s="431" t="str">
        <f>IFERROR('Project Summary'!$H$23*('ECM Fan'!AD12/'Project Summary'!$G$23),"")</f>
        <v/>
      </c>
    </row>
    <row r="13" spans="1:33" s="171" customFormat="1" ht="21.75" customHeight="1" x14ac:dyDescent="0.2">
      <c r="B13" s="228">
        <v>4</v>
      </c>
      <c r="C13" s="124"/>
      <c r="D13" s="161"/>
      <c r="E13" s="243"/>
      <c r="F13" s="124"/>
      <c r="G13" s="119"/>
      <c r="H13" s="119"/>
      <c r="I13" s="125"/>
      <c r="J13" s="492" t="str">
        <f>IFERROR(VLOOKUP(F13,'Lookup Table'!$P$276:$Q$278,2,FALSE),"")</f>
        <v/>
      </c>
      <c r="K13" s="245"/>
      <c r="L13" s="230">
        <f t="shared" si="2"/>
        <v>0</v>
      </c>
      <c r="M13" s="231" t="s">
        <v>178</v>
      </c>
      <c r="N13" s="229">
        <f>IFERROR(0.746*G13/'Lookup Table'!$Q$278,0)</f>
        <v>0</v>
      </c>
      <c r="O13" s="231">
        <v>0.9</v>
      </c>
      <c r="P13" s="207">
        <f>IFERROR(INDEX('Lookup Table'!$C$260:$K$273,MATCH('Project Summary'!$C$14,'Lookup Table'!$B$260:$B$273,0),MATCH('Project Summary'!$C$13,'Lookup Table'!$C$259:$K$259,0)),0)</f>
        <v>0</v>
      </c>
      <c r="Q13" s="207">
        <f>IFERROR(INDEX('Lookup Table'!$N$260:$V$273,MATCH('Project Summary'!$C$14,'Lookup Table'!$M$260:$M$273,0),MATCH('Project Summary'!$C$13,'Lookup Table'!$N$259:$V$259,0)),0)</f>
        <v>0</v>
      </c>
      <c r="R13" s="232">
        <v>0.26200000000000001</v>
      </c>
      <c r="S13" s="233">
        <v>0.3</v>
      </c>
      <c r="T13" s="469" t="e">
        <f>VLOOKUP('Project Summary'!$C$14,'Lookup Table'!$V$68:$X$80,2,FALSE)</f>
        <v>#N/A</v>
      </c>
      <c r="U13" s="469" t="e">
        <f>VLOOKUP('Project Summary'!$C$14,'Lookup Table'!$V$68:$X$80,3,FALSE)</f>
        <v>#N/A</v>
      </c>
      <c r="V13" s="234">
        <f t="shared" si="3"/>
        <v>0</v>
      </c>
      <c r="W13" s="207" t="e">
        <f t="shared" si="4"/>
        <v>#N/A</v>
      </c>
      <c r="X13" s="234">
        <f t="shared" si="0"/>
        <v>0</v>
      </c>
      <c r="Y13" s="233" t="e">
        <f t="shared" si="1"/>
        <v>#N/A</v>
      </c>
      <c r="Z13" s="233" t="str">
        <f t="shared" si="5"/>
        <v/>
      </c>
      <c r="AA13" s="233" t="str">
        <f t="shared" si="6"/>
        <v/>
      </c>
      <c r="AB13" s="234">
        <f>IFERROR(ROUND(IF(I13='Lookup Table'!$N$276,'ECM Fan'!V13,IF(I13='Lookup Table'!$N$277,'ECM Fan'!X13,IF(I13='Lookup Table'!$N$278,'ECM Fan'!Z13,IF(I13='Lookup Table'!$N$279,'ECM Fan'!V13+'ECM Fan'!X13,IF(I13='Lookup Table'!$N$280,'ECM Fan'!V13+'ECM Fan'!Z13,IF(I13='Lookup Table'!$N$281,'ECM Fan'!X13+'ECM Fan'!Z13,IF(I13='Lookup Table'!$N$282,'ECM Fan'!V13+'ECM Fan'!X13+'ECM Fan'!Z13,""))))))),2),0)</f>
        <v>0</v>
      </c>
      <c r="AC13" s="233">
        <f>IFERROR(IF(I13='Lookup Table'!$N$276,'ECM Fan'!W13,IF(I13='Lookup Table'!$N$277,'ECM Fan'!Y13,IF(I13='Lookup Table'!$N$278,'ECM Fan'!AA13,IF(I13='Lookup Table'!$N$279,'ECM Fan'!W13+'ECM Fan'!Y13,IF(I13='Lookup Table'!$N$280,'ECM Fan'!W13+'ECM Fan'!AA13,IF(I13='Lookup Table'!$N$281,'ECM Fan'!Y13+'ECM Fan'!AA13,IF(I13='Lookup Table'!$N$282,'ECM Fan'!W13+'ECM Fan'!Y13+'ECM Fan'!AA13,0))))))),0)</f>
        <v>0</v>
      </c>
      <c r="AD13" s="233">
        <f>IFERROR(ROUND(AB13*'Lookup Table'!$E$19+AVERAGE(AE13,AF13)*'Lookup Table'!$E$20,2),"")</f>
        <v>0</v>
      </c>
      <c r="AE13" s="443">
        <f t="shared" si="7"/>
        <v>0</v>
      </c>
      <c r="AF13" s="443">
        <f t="shared" si="8"/>
        <v>0</v>
      </c>
      <c r="AG13" s="431" t="str">
        <f>IFERROR('Project Summary'!$H$23*('ECM Fan'!AD13/'Project Summary'!$G$23),"")</f>
        <v/>
      </c>
    </row>
    <row r="14" spans="1:33" s="171" customFormat="1" ht="21.75" customHeight="1" x14ac:dyDescent="0.2">
      <c r="B14" s="228">
        <v>5</v>
      </c>
      <c r="C14" s="124"/>
      <c r="D14" s="161"/>
      <c r="E14" s="243"/>
      <c r="F14" s="124"/>
      <c r="G14" s="119"/>
      <c r="H14" s="119"/>
      <c r="I14" s="125"/>
      <c r="J14" s="492" t="str">
        <f>IFERROR(VLOOKUP(F14,'Lookup Table'!$P$276:$Q$278,2,FALSE),"")</f>
        <v/>
      </c>
      <c r="K14" s="245"/>
      <c r="L14" s="230">
        <f t="shared" si="2"/>
        <v>0</v>
      </c>
      <c r="M14" s="231" t="s">
        <v>178</v>
      </c>
      <c r="N14" s="229">
        <f>IFERROR(0.746*G14/'Lookup Table'!$Q$278,0)</f>
        <v>0</v>
      </c>
      <c r="O14" s="231">
        <v>0.9</v>
      </c>
      <c r="P14" s="207">
        <f>IFERROR(INDEX('Lookup Table'!$C$260:$K$273,MATCH('Project Summary'!$C$14,'Lookup Table'!$B$260:$B$273,0),MATCH('Project Summary'!$C$13,'Lookup Table'!$C$259:$K$259,0)),0)</f>
        <v>0</v>
      </c>
      <c r="Q14" s="207">
        <f>IFERROR(INDEX('Lookup Table'!$N$260:$V$273,MATCH('Project Summary'!$C$14,'Lookup Table'!$M$260:$M$273,0),MATCH('Project Summary'!$C$13,'Lookup Table'!$N$259:$V$259,0)),0)</f>
        <v>0</v>
      </c>
      <c r="R14" s="232">
        <v>0.26200000000000001</v>
      </c>
      <c r="S14" s="233">
        <v>0.3</v>
      </c>
      <c r="T14" s="469" t="e">
        <f>VLOOKUP('Project Summary'!$C$14,'Lookup Table'!$V$68:$X$80,2,FALSE)</f>
        <v>#N/A</v>
      </c>
      <c r="U14" s="469" t="e">
        <f>VLOOKUP('Project Summary'!$C$14,'Lookup Table'!$V$68:$X$80,3,FALSE)</f>
        <v>#N/A</v>
      </c>
      <c r="V14" s="234">
        <f t="shared" si="3"/>
        <v>0</v>
      </c>
      <c r="W14" s="207" t="e">
        <f t="shared" si="4"/>
        <v>#N/A</v>
      </c>
      <c r="X14" s="234">
        <f t="shared" si="0"/>
        <v>0</v>
      </c>
      <c r="Y14" s="233" t="e">
        <f t="shared" si="1"/>
        <v>#N/A</v>
      </c>
      <c r="Z14" s="233" t="str">
        <f t="shared" si="5"/>
        <v/>
      </c>
      <c r="AA14" s="233" t="str">
        <f t="shared" si="6"/>
        <v/>
      </c>
      <c r="AB14" s="234">
        <f>IFERROR(ROUND(IF(I14='Lookup Table'!$N$276,'ECM Fan'!V14,IF(I14='Lookup Table'!$N$277,'ECM Fan'!X14,IF(I14='Lookup Table'!$N$278,'ECM Fan'!Z14,IF(I14='Lookup Table'!$N$279,'ECM Fan'!V14+'ECM Fan'!X14,IF(I14='Lookup Table'!$N$280,'ECM Fan'!V14+'ECM Fan'!Z14,IF(I14='Lookup Table'!$N$281,'ECM Fan'!X14+'ECM Fan'!Z14,IF(I14='Lookup Table'!$N$282,'ECM Fan'!V14+'ECM Fan'!X14+'ECM Fan'!Z14,""))))))),2),0)</f>
        <v>0</v>
      </c>
      <c r="AC14" s="233">
        <f>IFERROR(IF(I14='Lookup Table'!$N$276,'ECM Fan'!W14,IF(I14='Lookup Table'!$N$277,'ECM Fan'!Y14,IF(I14='Lookup Table'!$N$278,'ECM Fan'!AA14,IF(I14='Lookup Table'!$N$279,'ECM Fan'!W14+'ECM Fan'!Y14,IF(I14='Lookup Table'!$N$280,'ECM Fan'!W14+'ECM Fan'!AA14,IF(I14='Lookup Table'!$N$281,'ECM Fan'!Y14+'ECM Fan'!AA14,IF(I14='Lookup Table'!$N$282,'ECM Fan'!W14+'ECM Fan'!Y14+'ECM Fan'!AA14,0))))))),0)</f>
        <v>0</v>
      </c>
      <c r="AD14" s="233">
        <f>IFERROR(ROUND(AB14*'Lookup Table'!$E$19+AVERAGE(AE14,AF14)*'Lookup Table'!$E$20,2),"")</f>
        <v>0</v>
      </c>
      <c r="AE14" s="443">
        <f t="shared" si="7"/>
        <v>0</v>
      </c>
      <c r="AF14" s="443">
        <f t="shared" si="8"/>
        <v>0</v>
      </c>
      <c r="AG14" s="431" t="str">
        <f>IFERROR('Project Summary'!$H$23*('ECM Fan'!AD14/'Project Summary'!$G$23),"")</f>
        <v/>
      </c>
    </row>
    <row r="15" spans="1:33" s="171" customFormat="1" ht="21.75" customHeight="1" x14ac:dyDescent="0.2">
      <c r="B15" s="228">
        <v>6</v>
      </c>
      <c r="C15" s="124"/>
      <c r="D15" s="161"/>
      <c r="E15" s="243"/>
      <c r="F15" s="124"/>
      <c r="G15" s="119"/>
      <c r="H15" s="119"/>
      <c r="I15" s="125"/>
      <c r="J15" s="492" t="str">
        <f>IFERROR(VLOOKUP(F15,'Lookup Table'!$P$276:$Q$278,2,FALSE),"")</f>
        <v/>
      </c>
      <c r="K15" s="246"/>
      <c r="L15" s="230">
        <f t="shared" si="2"/>
        <v>0</v>
      </c>
      <c r="M15" s="231" t="s">
        <v>178</v>
      </c>
      <c r="N15" s="229">
        <f>IFERROR(0.746*G15/'Lookup Table'!$Q$278,0)</f>
        <v>0</v>
      </c>
      <c r="O15" s="231">
        <v>0.9</v>
      </c>
      <c r="P15" s="207">
        <f>IFERROR(INDEX('Lookup Table'!$C$260:$K$273,MATCH('Project Summary'!$C$14,'Lookup Table'!$B$260:$B$273,0),MATCH('Project Summary'!$C$13,'Lookup Table'!$C$259:$K$259,0)),0)</f>
        <v>0</v>
      </c>
      <c r="Q15" s="207">
        <f>IFERROR(INDEX('Lookup Table'!$N$260:$V$273,MATCH('Project Summary'!$C$14,'Lookup Table'!$M$260:$M$273,0),MATCH('Project Summary'!$C$13,'Lookup Table'!$N$259:$V$259,0)),0)</f>
        <v>0</v>
      </c>
      <c r="R15" s="232">
        <v>0.26200000000000001</v>
      </c>
      <c r="S15" s="233">
        <v>0.3</v>
      </c>
      <c r="T15" s="469" t="e">
        <f>VLOOKUP('Project Summary'!$C$14,'Lookup Table'!$V$68:$X$80,2,FALSE)</f>
        <v>#N/A</v>
      </c>
      <c r="U15" s="469" t="e">
        <f>VLOOKUP('Project Summary'!$C$14,'Lookup Table'!$V$68:$X$80,3,FALSE)</f>
        <v>#N/A</v>
      </c>
      <c r="V15" s="234">
        <f t="shared" si="3"/>
        <v>0</v>
      </c>
      <c r="W15" s="207" t="e">
        <f t="shared" si="4"/>
        <v>#N/A</v>
      </c>
      <c r="X15" s="234">
        <f t="shared" si="0"/>
        <v>0</v>
      </c>
      <c r="Y15" s="233" t="e">
        <f t="shared" si="1"/>
        <v>#N/A</v>
      </c>
      <c r="Z15" s="233" t="str">
        <f t="shared" si="5"/>
        <v/>
      </c>
      <c r="AA15" s="233" t="str">
        <f t="shared" si="6"/>
        <v/>
      </c>
      <c r="AB15" s="234">
        <f>IFERROR(ROUND(IF(I15='Lookup Table'!$N$276,'ECM Fan'!V15,IF(I15='Lookup Table'!$N$277,'ECM Fan'!X15,IF(I15='Lookup Table'!$N$278,'ECM Fan'!Z15,IF(I15='Lookup Table'!$N$279,'ECM Fan'!V15+'ECM Fan'!X15,IF(I15='Lookup Table'!$N$280,'ECM Fan'!V15+'ECM Fan'!Z15,IF(I15='Lookup Table'!$N$281,'ECM Fan'!X15+'ECM Fan'!Z15,IF(I15='Lookup Table'!$N$282,'ECM Fan'!V15+'ECM Fan'!X15+'ECM Fan'!Z15,""))))))),2),0)</f>
        <v>0</v>
      </c>
      <c r="AC15" s="233">
        <f>IFERROR(IF(I15='Lookup Table'!$N$276,'ECM Fan'!W15,IF(I15='Lookup Table'!$N$277,'ECM Fan'!Y15,IF(I15='Lookup Table'!$N$278,'ECM Fan'!AA15,IF(I15='Lookup Table'!$N$279,'ECM Fan'!W15+'ECM Fan'!Y15,IF(I15='Lookup Table'!$N$280,'ECM Fan'!W15+'ECM Fan'!AA15,IF(I15='Lookup Table'!$N$281,'ECM Fan'!Y15+'ECM Fan'!AA15,IF(I15='Lookup Table'!$N$282,'ECM Fan'!W15+'ECM Fan'!Y15+'ECM Fan'!AA15,0))))))),0)</f>
        <v>0</v>
      </c>
      <c r="AD15" s="233">
        <f>IFERROR(ROUND(AB15*'Lookup Table'!$E$19+AVERAGE(AE15,AF15)*'Lookup Table'!$E$20,2),"")</f>
        <v>0</v>
      </c>
      <c r="AE15" s="443">
        <f t="shared" si="7"/>
        <v>0</v>
      </c>
      <c r="AF15" s="443">
        <f t="shared" si="8"/>
        <v>0</v>
      </c>
      <c r="AG15" s="431" t="str">
        <f>IFERROR('Project Summary'!$H$23*('ECM Fan'!AD15/'Project Summary'!$G$23),"")</f>
        <v/>
      </c>
    </row>
    <row r="16" spans="1:33" s="171" customFormat="1" ht="21.75" customHeight="1" x14ac:dyDescent="0.2">
      <c r="B16" s="228">
        <v>7</v>
      </c>
      <c r="C16" s="124"/>
      <c r="D16" s="161"/>
      <c r="E16" s="243"/>
      <c r="F16" s="124"/>
      <c r="G16" s="119"/>
      <c r="H16" s="119"/>
      <c r="I16" s="125"/>
      <c r="J16" s="492" t="str">
        <f>IFERROR(VLOOKUP(F16,'Lookup Table'!$P$276:$Q$278,2,FALSE),"")</f>
        <v/>
      </c>
      <c r="K16" s="246"/>
      <c r="L16" s="230">
        <f t="shared" si="2"/>
        <v>0</v>
      </c>
      <c r="M16" s="231" t="s">
        <v>178</v>
      </c>
      <c r="N16" s="229">
        <f>IFERROR(0.746*G16/'Lookup Table'!$Q$278,0)</f>
        <v>0</v>
      </c>
      <c r="O16" s="231">
        <v>0.9</v>
      </c>
      <c r="P16" s="207">
        <f>IFERROR(INDEX('Lookup Table'!$C$260:$K$273,MATCH('Project Summary'!$C$14,'Lookup Table'!$B$260:$B$273,0),MATCH('Project Summary'!$C$13,'Lookup Table'!$C$259:$K$259,0)),0)</f>
        <v>0</v>
      </c>
      <c r="Q16" s="207">
        <f>IFERROR(INDEX('Lookup Table'!$N$260:$V$273,MATCH('Project Summary'!$C$14,'Lookup Table'!$M$260:$M$273,0),MATCH('Project Summary'!$C$13,'Lookup Table'!$N$259:$V$259,0)),0)</f>
        <v>0</v>
      </c>
      <c r="R16" s="232">
        <v>0.26200000000000001</v>
      </c>
      <c r="S16" s="233">
        <v>0.3</v>
      </c>
      <c r="T16" s="469" t="e">
        <f>VLOOKUP('Project Summary'!$C$14,'Lookup Table'!$V$68:$X$80,2,FALSE)</f>
        <v>#N/A</v>
      </c>
      <c r="U16" s="469" t="e">
        <f>VLOOKUP('Project Summary'!$C$14,'Lookup Table'!$V$68:$X$80,3,FALSE)</f>
        <v>#N/A</v>
      </c>
      <c r="V16" s="234">
        <f t="shared" si="3"/>
        <v>0</v>
      </c>
      <c r="W16" s="207" t="e">
        <f t="shared" si="4"/>
        <v>#N/A</v>
      </c>
      <c r="X16" s="234">
        <f t="shared" si="0"/>
        <v>0</v>
      </c>
      <c r="Y16" s="233" t="e">
        <f t="shared" si="1"/>
        <v>#N/A</v>
      </c>
      <c r="Z16" s="233" t="str">
        <f t="shared" si="5"/>
        <v/>
      </c>
      <c r="AA16" s="233" t="str">
        <f t="shared" si="6"/>
        <v/>
      </c>
      <c r="AB16" s="234">
        <f>IFERROR(ROUND(IF(I16='Lookup Table'!$N$276,'ECM Fan'!V16,IF(I16='Lookup Table'!$N$277,'ECM Fan'!X16,IF(I16='Lookup Table'!$N$278,'ECM Fan'!Z16,IF(I16='Lookup Table'!$N$279,'ECM Fan'!V16+'ECM Fan'!X16,IF(I16='Lookup Table'!$N$280,'ECM Fan'!V16+'ECM Fan'!Z16,IF(I16='Lookup Table'!$N$281,'ECM Fan'!X16+'ECM Fan'!Z16,IF(I16='Lookup Table'!$N$282,'ECM Fan'!V16+'ECM Fan'!X16+'ECM Fan'!Z16,""))))))),2),0)</f>
        <v>0</v>
      </c>
      <c r="AC16" s="233">
        <f>IFERROR(IF(I16='Lookup Table'!$N$276,'ECM Fan'!W16,IF(I16='Lookup Table'!$N$277,'ECM Fan'!Y16,IF(I16='Lookup Table'!$N$278,'ECM Fan'!AA16,IF(I16='Lookup Table'!$N$279,'ECM Fan'!W16+'ECM Fan'!Y16,IF(I16='Lookup Table'!$N$280,'ECM Fan'!W16+'ECM Fan'!AA16,IF(I16='Lookup Table'!$N$281,'ECM Fan'!Y16+'ECM Fan'!AA16,IF(I16='Lookup Table'!$N$282,'ECM Fan'!W16+'ECM Fan'!Y16+'ECM Fan'!AA16,0))))))),0)</f>
        <v>0</v>
      </c>
      <c r="AD16" s="233">
        <f>IFERROR(ROUND(AB16*'Lookup Table'!$E$19+AVERAGE(AE16,AF16)*'Lookup Table'!$E$20,2),"")</f>
        <v>0</v>
      </c>
      <c r="AE16" s="443">
        <f t="shared" si="7"/>
        <v>0</v>
      </c>
      <c r="AF16" s="443">
        <f t="shared" si="8"/>
        <v>0</v>
      </c>
      <c r="AG16" s="431" t="str">
        <f>IFERROR('Project Summary'!$H$23*('ECM Fan'!AD16/'Project Summary'!$G$23),"")</f>
        <v/>
      </c>
    </row>
    <row r="17" spans="2:33" s="171" customFormat="1" ht="21.75" customHeight="1" x14ac:dyDescent="0.2">
      <c r="B17" s="228">
        <v>8</v>
      </c>
      <c r="C17" s="124"/>
      <c r="D17" s="161"/>
      <c r="E17" s="243"/>
      <c r="F17" s="124"/>
      <c r="G17" s="119"/>
      <c r="H17" s="119"/>
      <c r="I17" s="125"/>
      <c r="J17" s="492" t="str">
        <f>IFERROR(VLOOKUP(F17,'Lookup Table'!$P$276:$Q$278,2,FALSE),"")</f>
        <v/>
      </c>
      <c r="K17" s="246"/>
      <c r="L17" s="230">
        <f t="shared" si="2"/>
        <v>0</v>
      </c>
      <c r="M17" s="231" t="s">
        <v>178</v>
      </c>
      <c r="N17" s="229">
        <f>IFERROR(0.746*G17/'Lookup Table'!$Q$278,0)</f>
        <v>0</v>
      </c>
      <c r="O17" s="231">
        <v>0.9</v>
      </c>
      <c r="P17" s="207">
        <f>IFERROR(INDEX('Lookup Table'!$C$260:$K$273,MATCH('Project Summary'!$C$14,'Lookup Table'!$B$260:$B$273,0),MATCH('Project Summary'!$C$13,'Lookup Table'!$C$259:$K$259,0)),0)</f>
        <v>0</v>
      </c>
      <c r="Q17" s="207">
        <f>IFERROR(INDEX('Lookup Table'!$N$260:$V$273,MATCH('Project Summary'!$C$14,'Lookup Table'!$M$260:$M$273,0),MATCH('Project Summary'!$C$13,'Lookup Table'!$N$259:$V$259,0)),0)</f>
        <v>0</v>
      </c>
      <c r="R17" s="232">
        <v>0.26200000000000001</v>
      </c>
      <c r="S17" s="233">
        <v>0.3</v>
      </c>
      <c r="T17" s="469" t="e">
        <f>VLOOKUP('Project Summary'!$C$14,'Lookup Table'!$V$68:$X$80,2,FALSE)</f>
        <v>#N/A</v>
      </c>
      <c r="U17" s="469" t="e">
        <f>VLOOKUP('Project Summary'!$C$14,'Lookup Table'!$V$68:$X$80,3,FALSE)</f>
        <v>#N/A</v>
      </c>
      <c r="V17" s="234">
        <f t="shared" si="3"/>
        <v>0</v>
      </c>
      <c r="W17" s="207" t="e">
        <f t="shared" si="4"/>
        <v>#N/A</v>
      </c>
      <c r="X17" s="234">
        <f t="shared" si="0"/>
        <v>0</v>
      </c>
      <c r="Y17" s="233" t="e">
        <f t="shared" si="1"/>
        <v>#N/A</v>
      </c>
      <c r="Z17" s="233" t="str">
        <f t="shared" si="5"/>
        <v/>
      </c>
      <c r="AA17" s="233" t="str">
        <f t="shared" si="6"/>
        <v/>
      </c>
      <c r="AB17" s="234">
        <f>IFERROR(ROUND(IF(I17='Lookup Table'!$N$276,'ECM Fan'!V17,IF(I17='Lookup Table'!$N$277,'ECM Fan'!X17,IF(I17='Lookup Table'!$N$278,'ECM Fan'!Z17,IF(I17='Lookup Table'!$N$279,'ECM Fan'!V17+'ECM Fan'!X17,IF(I17='Lookup Table'!$N$280,'ECM Fan'!V17+'ECM Fan'!Z17,IF(I17='Lookup Table'!$N$281,'ECM Fan'!X17+'ECM Fan'!Z17,IF(I17='Lookup Table'!$N$282,'ECM Fan'!V17+'ECM Fan'!X17+'ECM Fan'!Z17,""))))))),2),0)</f>
        <v>0</v>
      </c>
      <c r="AC17" s="233">
        <f>IFERROR(IF(I17='Lookup Table'!$N$276,'ECM Fan'!W17,IF(I17='Lookup Table'!$N$277,'ECM Fan'!Y17,IF(I17='Lookup Table'!$N$278,'ECM Fan'!AA17,IF(I17='Lookup Table'!$N$279,'ECM Fan'!W17+'ECM Fan'!Y17,IF(I17='Lookup Table'!$N$280,'ECM Fan'!W17+'ECM Fan'!AA17,IF(I17='Lookup Table'!$N$281,'ECM Fan'!Y17+'ECM Fan'!AA17,IF(I17='Lookup Table'!$N$282,'ECM Fan'!W17+'ECM Fan'!Y17+'ECM Fan'!AA17,0))))))),0)</f>
        <v>0</v>
      </c>
      <c r="AD17" s="233">
        <f>IFERROR(ROUND(AB17*'Lookup Table'!$E$19+AVERAGE(AE17,AF17)*'Lookup Table'!$E$20,2),"")</f>
        <v>0</v>
      </c>
      <c r="AE17" s="443">
        <f t="shared" si="7"/>
        <v>0</v>
      </c>
      <c r="AF17" s="443">
        <f t="shared" si="8"/>
        <v>0</v>
      </c>
      <c r="AG17" s="431" t="str">
        <f>IFERROR('Project Summary'!$H$23*('ECM Fan'!AD17/'Project Summary'!$G$23),"")</f>
        <v/>
      </c>
    </row>
    <row r="18" spans="2:33" s="171" customFormat="1" ht="21.75" customHeight="1" x14ac:dyDescent="0.2">
      <c r="B18" s="228">
        <v>9</v>
      </c>
      <c r="C18" s="124"/>
      <c r="D18" s="161"/>
      <c r="E18" s="243"/>
      <c r="F18" s="124"/>
      <c r="G18" s="119"/>
      <c r="H18" s="119"/>
      <c r="I18" s="125"/>
      <c r="J18" s="492" t="str">
        <f>IFERROR(VLOOKUP(F18,'Lookup Table'!$P$276:$Q$278,2,FALSE),"")</f>
        <v/>
      </c>
      <c r="K18" s="246"/>
      <c r="L18" s="230">
        <f t="shared" si="2"/>
        <v>0</v>
      </c>
      <c r="M18" s="231" t="s">
        <v>178</v>
      </c>
      <c r="N18" s="229">
        <f>IFERROR(0.746*G18/'Lookup Table'!$Q$278,0)</f>
        <v>0</v>
      </c>
      <c r="O18" s="231">
        <v>0.9</v>
      </c>
      <c r="P18" s="207">
        <f>IFERROR(INDEX('Lookup Table'!$C$260:$K$273,MATCH('Project Summary'!$C$14,'Lookup Table'!$B$260:$B$273,0),MATCH('Project Summary'!$C$13,'Lookup Table'!$C$259:$K$259,0)),0)</f>
        <v>0</v>
      </c>
      <c r="Q18" s="207">
        <f>IFERROR(INDEX('Lookup Table'!$N$260:$V$273,MATCH('Project Summary'!$C$14,'Lookup Table'!$M$260:$M$273,0),MATCH('Project Summary'!$C$13,'Lookup Table'!$N$259:$V$259,0)),0)</f>
        <v>0</v>
      </c>
      <c r="R18" s="232">
        <v>0.26200000000000001</v>
      </c>
      <c r="S18" s="233">
        <v>0.3</v>
      </c>
      <c r="T18" s="469" t="e">
        <f>VLOOKUP('Project Summary'!$C$14,'Lookup Table'!$V$68:$X$80,2,FALSE)</f>
        <v>#N/A</v>
      </c>
      <c r="U18" s="469" t="e">
        <f>VLOOKUP('Project Summary'!$C$14,'Lookup Table'!$V$68:$X$80,3,FALSE)</f>
        <v>#N/A</v>
      </c>
      <c r="V18" s="234">
        <f t="shared" si="3"/>
        <v>0</v>
      </c>
      <c r="W18" s="207" t="e">
        <f t="shared" si="4"/>
        <v>#N/A</v>
      </c>
      <c r="X18" s="234">
        <f t="shared" si="0"/>
        <v>0</v>
      </c>
      <c r="Y18" s="233" t="e">
        <f t="shared" si="1"/>
        <v>#N/A</v>
      </c>
      <c r="Z18" s="233" t="str">
        <f t="shared" si="5"/>
        <v/>
      </c>
      <c r="AA18" s="233" t="str">
        <f t="shared" si="6"/>
        <v/>
      </c>
      <c r="AB18" s="234">
        <f>IFERROR(ROUND(IF(I18='Lookup Table'!$N$276,'ECM Fan'!V18,IF(I18='Lookup Table'!$N$277,'ECM Fan'!X18,IF(I18='Lookup Table'!$N$278,'ECM Fan'!Z18,IF(I18='Lookup Table'!$N$279,'ECM Fan'!V18+'ECM Fan'!X18,IF(I18='Lookup Table'!$N$280,'ECM Fan'!V18+'ECM Fan'!Z18,IF(I18='Lookup Table'!$N$281,'ECM Fan'!X18+'ECM Fan'!Z18,IF(I18='Lookup Table'!$N$282,'ECM Fan'!V18+'ECM Fan'!X18+'ECM Fan'!Z18,""))))))),2),0)</f>
        <v>0</v>
      </c>
      <c r="AC18" s="233">
        <f>IFERROR(IF(I18='Lookup Table'!$N$276,'ECM Fan'!W18,IF(I18='Lookup Table'!$N$277,'ECM Fan'!Y18,IF(I18='Lookup Table'!$N$278,'ECM Fan'!AA18,IF(I18='Lookup Table'!$N$279,'ECM Fan'!W18+'ECM Fan'!Y18,IF(I18='Lookup Table'!$N$280,'ECM Fan'!W18+'ECM Fan'!AA18,IF(I18='Lookup Table'!$N$281,'ECM Fan'!Y18+'ECM Fan'!AA18,IF(I18='Lookup Table'!$N$282,'ECM Fan'!W18+'ECM Fan'!Y18+'ECM Fan'!AA18,0))))))),0)</f>
        <v>0</v>
      </c>
      <c r="AD18" s="233">
        <f>IFERROR(ROUND(AB18*'Lookup Table'!$E$19+AVERAGE(AE18,AF18)*'Lookup Table'!$E$20,2),"")</f>
        <v>0</v>
      </c>
      <c r="AE18" s="443">
        <f t="shared" si="7"/>
        <v>0</v>
      </c>
      <c r="AF18" s="443">
        <f t="shared" si="8"/>
        <v>0</v>
      </c>
      <c r="AG18" s="431" t="str">
        <f>IFERROR('Project Summary'!$H$23*('ECM Fan'!AD18/'Project Summary'!$G$23),"")</f>
        <v/>
      </c>
    </row>
    <row r="19" spans="2:33" s="171" customFormat="1" ht="21.75" customHeight="1" thickBot="1" x14ac:dyDescent="0.25">
      <c r="B19" s="235">
        <v>10</v>
      </c>
      <c r="C19" s="126"/>
      <c r="D19" s="162"/>
      <c r="E19" s="244"/>
      <c r="F19" s="126"/>
      <c r="G19" s="120"/>
      <c r="H19" s="120"/>
      <c r="I19" s="127"/>
      <c r="J19" s="493" t="str">
        <f>IFERROR(VLOOKUP(F19,'Lookup Table'!$P$276:$Q$278,2,FALSE),"")</f>
        <v/>
      </c>
      <c r="K19" s="247"/>
      <c r="L19" s="237">
        <f t="shared" si="2"/>
        <v>0</v>
      </c>
      <c r="M19" s="238" t="s">
        <v>178</v>
      </c>
      <c r="N19" s="236">
        <f>IFERROR(0.746*G19/'Lookup Table'!$Q$278,0)</f>
        <v>0</v>
      </c>
      <c r="O19" s="238">
        <v>0.9</v>
      </c>
      <c r="P19" s="211">
        <f>IFERROR(INDEX('Lookup Table'!$C$260:$K$273,MATCH('Project Summary'!$C$14,'Lookup Table'!$B$260:$B$273,0),MATCH('Project Summary'!$C$13,'Lookup Table'!$C$259:$K$259,0)),0)</f>
        <v>0</v>
      </c>
      <c r="Q19" s="211">
        <f>IFERROR(INDEX('Lookup Table'!$N$260:$V$273,MATCH('Project Summary'!$C$14,'Lookup Table'!$M$260:$M$273,0),MATCH('Project Summary'!$C$13,'Lookup Table'!$N$259:$V$259,0)),0)</f>
        <v>0</v>
      </c>
      <c r="R19" s="239">
        <v>0.26200000000000001</v>
      </c>
      <c r="S19" s="240">
        <v>0.3</v>
      </c>
      <c r="T19" s="459" t="e">
        <f>VLOOKUP('Project Summary'!$C$14,'Lookup Table'!$V$68:$X$80,2,FALSE)</f>
        <v>#N/A</v>
      </c>
      <c r="U19" s="459" t="e">
        <f>VLOOKUP('Project Summary'!$C$14,'Lookup Table'!$V$68:$X$80,3,FALSE)</f>
        <v>#N/A</v>
      </c>
      <c r="V19" s="241">
        <f t="shared" si="3"/>
        <v>0</v>
      </c>
      <c r="W19" s="211" t="e">
        <f t="shared" si="4"/>
        <v>#N/A</v>
      </c>
      <c r="X19" s="241">
        <f t="shared" si="0"/>
        <v>0</v>
      </c>
      <c r="Y19" s="240" t="e">
        <f t="shared" si="1"/>
        <v>#N/A</v>
      </c>
      <c r="Z19" s="240" t="str">
        <f t="shared" si="5"/>
        <v/>
      </c>
      <c r="AA19" s="240" t="str">
        <f t="shared" si="6"/>
        <v/>
      </c>
      <c r="AB19" s="241">
        <f>IFERROR(ROUND(IF(I19='Lookup Table'!$N$276,'ECM Fan'!V19,IF(I19='Lookup Table'!$N$277,'ECM Fan'!X19,IF(I19='Lookup Table'!$N$278,'ECM Fan'!Z19,IF(I19='Lookup Table'!$N$279,'ECM Fan'!V19+'ECM Fan'!X19,IF(I19='Lookup Table'!$N$280,'ECM Fan'!V19+'ECM Fan'!Z19,IF(I19='Lookup Table'!$N$281,'ECM Fan'!X19+'ECM Fan'!Z19,IF(I19='Lookup Table'!$N$282,'ECM Fan'!V19+'ECM Fan'!X19+'ECM Fan'!Z19,""))))))),2),0)</f>
        <v>0</v>
      </c>
      <c r="AC19" s="240">
        <f>IFERROR(IF(I19='Lookup Table'!$N$276,'ECM Fan'!W19,IF(I19='Lookup Table'!$N$277,'ECM Fan'!Y19,IF(I19='Lookup Table'!$N$278,'ECM Fan'!AA19,IF(I19='Lookup Table'!$N$279,'ECM Fan'!W19+'ECM Fan'!Y19,IF(I19='Lookup Table'!$N$280,'ECM Fan'!W19+'ECM Fan'!AA19,IF(I19='Lookup Table'!$N$281,'ECM Fan'!Y19+'ECM Fan'!AA19,IF(I19='Lookup Table'!$N$282,'ECM Fan'!W19+'ECM Fan'!Y19+'ECM Fan'!AA19,0))))))),0)</f>
        <v>0</v>
      </c>
      <c r="AD19" s="240">
        <f>IFERROR(ROUND(AB19*'Lookup Table'!$E$19+AVERAGE(AE19,AF19)*'Lookup Table'!$E$20,2),"")</f>
        <v>0</v>
      </c>
      <c r="AE19" s="240">
        <f t="shared" si="7"/>
        <v>0</v>
      </c>
      <c r="AF19" s="240">
        <f t="shared" si="8"/>
        <v>0</v>
      </c>
      <c r="AG19" s="432" t="str">
        <f>IFERROR('Project Summary'!$H$23*('ECM Fan'!AD19/'Project Summary'!$G$23),"")</f>
        <v/>
      </c>
    </row>
    <row r="20" spans="2:33" s="171" customFormat="1" ht="21.75" customHeight="1" x14ac:dyDescent="0.2"/>
    <row r="21" spans="2:33" s="171" customFormat="1" ht="21.75" customHeight="1" x14ac:dyDescent="0.2"/>
    <row r="22" spans="2:33" ht="21.75" customHeight="1" x14ac:dyDescent="0.2"/>
    <row r="23" spans="2:33" ht="21.75" customHeight="1" x14ac:dyDescent="0.2">
      <c r="B23" s="195"/>
    </row>
    <row r="24" spans="2:33" ht="21.75" customHeight="1" x14ac:dyDescent="0.2"/>
    <row r="25" spans="2:33" ht="21.75" customHeight="1" x14ac:dyDescent="0.2"/>
    <row r="26" spans="2:33" ht="21.75" customHeight="1" x14ac:dyDescent="0.2"/>
    <row r="27" spans="2:33" ht="21.75" customHeight="1" x14ac:dyDescent="0.2"/>
  </sheetData>
  <sheetProtection algorithmName="SHA-512" hashValue="mL4DiX/OxidwA6APaAmQrdYjfTDoqy57ds/48ZKw5qyGgNO3/kW9T16x3rbvU6Rb4KdoL835/Coizbg+vzwlgg==" saltValue="42r9C0LrjlC7Ao6K5lEHTg==" spinCount="100000" sheet="1" formatColumns="0"/>
  <mergeCells count="7">
    <mergeCell ref="AG8:AG9"/>
    <mergeCell ref="M8:N8"/>
    <mergeCell ref="B4:H4"/>
    <mergeCell ref="B3:H3"/>
    <mergeCell ref="F8:L8"/>
    <mergeCell ref="B6:AB6"/>
    <mergeCell ref="O8:AF8"/>
  </mergeCells>
  <dataValidations count="2">
    <dataValidation type="decimal" operator="lessThanOrEqual" allowBlank="1" showInputMessage="1" showErrorMessage="1" errorTitle="Motor HP" error="Motor HP must be less than or equal to 1." sqref="G10:G19" xr:uid="{151E2C6F-35AB-4617-99DB-531EFF971A9B}">
      <formula1>1</formula1>
    </dataValidation>
    <dataValidation type="custom" showInputMessage="1" showErrorMessage="1" prompt="This field is only available if the Fan Application is Ventilation Only." sqref="K10:K19" xr:uid="{D50276F2-48C2-4D40-B17F-E999E6CBDCBD}">
      <formula1>$I10="Ventilation Only"</formula1>
    </dataValidation>
  </dataValidations>
  <pageMargins left="0.5" right="0.5" top="0.5" bottom="0.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302DCC1-900E-4ED0-A1DB-EFECCC48C776}">
          <x14:formula1>
            <xm:f>'Lookup Table'!$N$276:$N$282</xm:f>
          </x14:formula1>
          <xm:sqref>I10:I19</xm:sqref>
        </x14:dataValidation>
        <x14:dataValidation type="list" allowBlank="1" showInputMessage="1" showErrorMessage="1" xr:uid="{953BC6A4-69CF-4B65-A0E3-DD7AEB281408}">
          <x14:formula1>
            <xm:f>'Lookup Table'!$P$276:$P$277</xm:f>
          </x14:formula1>
          <xm:sqref>F10:F19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4A919-B4DC-4B20-A29A-DB6413430D2C}">
  <sheetPr codeName="Sheet6">
    <tabColor theme="8" tint="0.59999389629810485"/>
  </sheetPr>
  <dimension ref="A1:AD31"/>
  <sheetViews>
    <sheetView topLeftCell="B1" zoomScaleNormal="100" workbookViewId="0">
      <selection activeCell="B11" sqref="B11"/>
    </sheetView>
  </sheetViews>
  <sheetFormatPr defaultColWidth="8.75" defaultRowHeight="14.25" x14ac:dyDescent="0.2"/>
  <cols>
    <col min="1" max="1" width="3.625" style="168" customWidth="1"/>
    <col min="2" max="2" width="8.5" style="168" customWidth="1"/>
    <col min="3" max="5" width="18.125" style="168" customWidth="1"/>
    <col min="6" max="6" width="15.625" style="168" customWidth="1"/>
    <col min="7" max="7" width="10.375" style="168" customWidth="1"/>
    <col min="8" max="8" width="9.625" style="168" hidden="1" customWidth="1"/>
    <col min="9" max="10" width="8.75" style="168" hidden="1" customWidth="1"/>
    <col min="11" max="13" width="8.75" style="168"/>
    <col min="14" max="14" width="8.75" style="168" customWidth="1"/>
    <col min="15" max="15" width="10.25" style="168" hidden="1" customWidth="1"/>
    <col min="16" max="16" width="12.25" style="168" customWidth="1"/>
    <col min="17" max="17" width="8.75" style="168" customWidth="1"/>
    <col min="18" max="16384" width="8.75" style="168"/>
  </cols>
  <sheetData>
    <row r="1" spans="1:30" x14ac:dyDescent="0.2">
      <c r="A1" s="167"/>
      <c r="H1" s="168" t="s">
        <v>103</v>
      </c>
      <c r="I1" s="168" t="s">
        <v>103</v>
      </c>
      <c r="O1" s="168" t="s">
        <v>103</v>
      </c>
    </row>
    <row r="2" spans="1:30" ht="9.75" customHeight="1" x14ac:dyDescent="0.2"/>
    <row r="3" spans="1:30" ht="34.5" customHeight="1" x14ac:dyDescent="0.35">
      <c r="B3" s="657" t="s">
        <v>119</v>
      </c>
      <c r="C3" s="657"/>
      <c r="D3" s="657"/>
      <c r="E3" s="657"/>
      <c r="F3" s="657"/>
      <c r="G3" s="657"/>
      <c r="H3" s="657"/>
      <c r="I3" s="657"/>
      <c r="J3" s="657"/>
      <c r="K3" s="657"/>
      <c r="L3" s="657"/>
      <c r="M3" s="657"/>
      <c r="N3" s="657"/>
      <c r="O3" s="613"/>
      <c r="P3" s="613"/>
    </row>
    <row r="4" spans="1:30" ht="28.9" customHeight="1" x14ac:dyDescent="0.2">
      <c r="B4" s="658" t="s">
        <v>106</v>
      </c>
      <c r="C4" s="658"/>
      <c r="D4" s="658"/>
      <c r="E4" s="658"/>
      <c r="F4" s="658"/>
      <c r="G4" s="658"/>
      <c r="H4" s="658"/>
      <c r="I4" s="658"/>
      <c r="J4" s="658"/>
      <c r="K4" s="658"/>
      <c r="L4" s="658"/>
      <c r="M4" s="658"/>
      <c r="N4" s="658"/>
      <c r="O4" s="613"/>
      <c r="P4" s="613"/>
    </row>
    <row r="5" spans="1:30" ht="14.1" customHeight="1" x14ac:dyDescent="0.2">
      <c r="B5" s="614"/>
      <c r="C5" s="614"/>
      <c r="D5" s="614"/>
      <c r="E5" s="614"/>
      <c r="F5" s="614"/>
      <c r="G5" s="614"/>
      <c r="H5" s="614"/>
      <c r="I5" s="614"/>
      <c r="J5" s="614"/>
      <c r="K5" s="614"/>
      <c r="L5" s="614"/>
      <c r="M5" s="614"/>
      <c r="N5" s="612"/>
      <c r="O5" s="612"/>
      <c r="P5" s="613"/>
    </row>
    <row r="6" spans="1:30" ht="47.1" customHeight="1" x14ac:dyDescent="0.2">
      <c r="B6" s="658" t="s">
        <v>36</v>
      </c>
      <c r="C6" s="658"/>
      <c r="D6" s="658"/>
      <c r="E6" s="658"/>
      <c r="F6" s="658"/>
      <c r="G6" s="658"/>
      <c r="H6" s="658"/>
      <c r="I6" s="658"/>
      <c r="J6" s="658"/>
      <c r="K6" s="658"/>
      <c r="L6" s="658"/>
      <c r="M6" s="658"/>
      <c r="N6" s="658"/>
      <c r="O6" s="658"/>
      <c r="P6" s="658"/>
      <c r="Q6" s="366"/>
      <c r="R6" s="366"/>
      <c r="S6" s="366"/>
      <c r="T6" s="366"/>
      <c r="U6" s="366"/>
      <c r="V6" s="366"/>
      <c r="W6" s="366"/>
      <c r="X6" s="366"/>
      <c r="Y6" s="366"/>
      <c r="Z6" s="366"/>
      <c r="AA6" s="366"/>
      <c r="AB6" s="366"/>
      <c r="AC6" s="366"/>
      <c r="AD6" s="366"/>
    </row>
    <row r="7" spans="1:30" ht="9" customHeight="1" thickBot="1" x14ac:dyDescent="0.3">
      <c r="B7" s="170"/>
      <c r="C7" s="170"/>
      <c r="D7" s="170"/>
      <c r="E7" s="170"/>
    </row>
    <row r="8" spans="1:30" s="171" customFormat="1" ht="21.75" customHeight="1" thickBot="1" x14ac:dyDescent="0.25">
      <c r="B8" s="676" t="s">
        <v>125</v>
      </c>
      <c r="C8" s="673" t="s">
        <v>122</v>
      </c>
      <c r="D8" s="674"/>
      <c r="E8" s="674"/>
      <c r="F8" s="674"/>
      <c r="G8" s="675"/>
      <c r="H8" s="674" t="s">
        <v>123</v>
      </c>
      <c r="I8" s="674"/>
      <c r="J8" s="674"/>
      <c r="K8" s="674"/>
      <c r="L8" s="674"/>
      <c r="M8" s="674"/>
      <c r="N8" s="675"/>
      <c r="O8" s="598"/>
      <c r="P8" s="676" t="s">
        <v>124</v>
      </c>
      <c r="Q8" s="248"/>
      <c r="R8" s="248"/>
      <c r="S8" s="248"/>
      <c r="T8" s="248"/>
    </row>
    <row r="9" spans="1:30" s="204" customFormat="1" ht="45.75" thickBot="1" x14ac:dyDescent="0.25">
      <c r="B9" s="677"/>
      <c r="C9" s="599" t="s">
        <v>159</v>
      </c>
      <c r="D9" s="600" t="s">
        <v>126</v>
      </c>
      <c r="E9" s="600" t="s">
        <v>160</v>
      </c>
      <c r="F9" s="601" t="s">
        <v>70</v>
      </c>
      <c r="G9" s="602" t="s">
        <v>148</v>
      </c>
      <c r="H9" s="600" t="s">
        <v>93</v>
      </c>
      <c r="I9" s="601" t="s">
        <v>132</v>
      </c>
      <c r="J9" s="601" t="s">
        <v>133</v>
      </c>
      <c r="K9" s="601" t="s">
        <v>86</v>
      </c>
      <c r="L9" s="603" t="s">
        <v>528</v>
      </c>
      <c r="M9" s="603" t="s">
        <v>113</v>
      </c>
      <c r="N9" s="602" t="s">
        <v>114</v>
      </c>
      <c r="O9" s="604" t="s">
        <v>116</v>
      </c>
      <c r="P9" s="677"/>
      <c r="Q9" s="249"/>
      <c r="R9" s="249"/>
      <c r="S9" s="249"/>
      <c r="T9" s="249"/>
    </row>
    <row r="10" spans="1:30" s="171" customFormat="1" ht="21.75" customHeight="1" x14ac:dyDescent="0.2">
      <c r="B10" s="221">
        <v>1</v>
      </c>
      <c r="C10" s="122"/>
      <c r="D10" s="160"/>
      <c r="E10" s="160"/>
      <c r="F10" s="381"/>
      <c r="G10" s="378"/>
      <c r="H10" s="250">
        <v>4423</v>
      </c>
      <c r="I10" s="206">
        <v>1.5660000000000001E-4</v>
      </c>
      <c r="J10" s="206">
        <v>1.3090000000000001E-4</v>
      </c>
      <c r="K10" s="251">
        <f>ROUND(G10*(F10*H10),2)</f>
        <v>0</v>
      </c>
      <c r="L10" s="456">
        <f>AVERAGE(M10:N10)</f>
        <v>0</v>
      </c>
      <c r="M10" s="456">
        <f>ROUND(K10*I10,4)</f>
        <v>0</v>
      </c>
      <c r="N10" s="209">
        <f>ROUND(K10*J10,4)</f>
        <v>0</v>
      </c>
      <c r="O10" s="252">
        <f>IFERROR(ROUND(K10*'Lookup Table'!$E$19+AVERAGE(N10,M10)*'Lookup Table'!$E$20,2),"")</f>
        <v>0</v>
      </c>
      <c r="P10" s="253" t="str">
        <f>IFERROR('Project Summary'!$H$23*('VSD Kitchen Fan'!O10/'Project Summary'!$G$23),"")</f>
        <v/>
      </c>
      <c r="Q10" s="248"/>
      <c r="R10" s="248"/>
      <c r="S10" s="248"/>
      <c r="T10" s="248"/>
    </row>
    <row r="11" spans="1:30" s="171" customFormat="1" ht="21.75" customHeight="1" x14ac:dyDescent="0.2">
      <c r="B11" s="228">
        <v>2</v>
      </c>
      <c r="C11" s="124"/>
      <c r="D11" s="161"/>
      <c r="E11" s="161"/>
      <c r="F11" s="382"/>
      <c r="G11" s="379"/>
      <c r="H11" s="254">
        <v>4423</v>
      </c>
      <c r="I11" s="206">
        <v>1.5660000000000001E-4</v>
      </c>
      <c r="J11" s="206">
        <v>1.3090000000000001E-4</v>
      </c>
      <c r="K11" s="234">
        <f>ROUND(G11*(F11*H11),2)</f>
        <v>0</v>
      </c>
      <c r="L11" s="456">
        <f t="shared" ref="L11:L19" si="0">AVERAGE(M11:N11)</f>
        <v>0</v>
      </c>
      <c r="M11" s="456">
        <f t="shared" ref="M11:M19" si="1">ROUND(K11*I11,4)</f>
        <v>0</v>
      </c>
      <c r="N11" s="209">
        <f t="shared" ref="N11:N19" si="2">ROUND(K11*J11,4)</f>
        <v>0</v>
      </c>
      <c r="O11" s="252">
        <f>IFERROR(ROUND(K11*'Lookup Table'!$E$19+AVERAGE(N11,M11)*'Lookup Table'!$E$20,2),"")</f>
        <v>0</v>
      </c>
      <c r="P11" s="255" t="str">
        <f>IFERROR('Project Summary'!$H$23*('VSD Kitchen Fan'!O11/'Project Summary'!$G$23),"")</f>
        <v/>
      </c>
      <c r="Q11" s="248"/>
      <c r="R11" s="248"/>
      <c r="S11" s="248"/>
      <c r="T11" s="248"/>
    </row>
    <row r="12" spans="1:30" s="171" customFormat="1" ht="21.75" customHeight="1" x14ac:dyDescent="0.2">
      <c r="B12" s="228">
        <v>3</v>
      </c>
      <c r="C12" s="124"/>
      <c r="D12" s="161"/>
      <c r="E12" s="161"/>
      <c r="F12" s="382"/>
      <c r="G12" s="379"/>
      <c r="H12" s="254">
        <v>4423</v>
      </c>
      <c r="I12" s="206">
        <v>1.5660000000000001E-4</v>
      </c>
      <c r="J12" s="206">
        <v>1.3090000000000001E-4</v>
      </c>
      <c r="K12" s="234">
        <f t="shared" ref="K12:K19" si="3">ROUND(G12*(F12*H12),2)</f>
        <v>0</v>
      </c>
      <c r="L12" s="456">
        <f t="shared" si="0"/>
        <v>0</v>
      </c>
      <c r="M12" s="456">
        <f t="shared" si="1"/>
        <v>0</v>
      </c>
      <c r="N12" s="209">
        <f t="shared" si="2"/>
        <v>0</v>
      </c>
      <c r="O12" s="252">
        <f>IFERROR(ROUND(K12*'Lookup Table'!$E$19+AVERAGE(N12,M12)*'Lookup Table'!$E$20,2),"")</f>
        <v>0</v>
      </c>
      <c r="P12" s="255" t="str">
        <f>IFERROR('Project Summary'!$H$23*('VSD Kitchen Fan'!O12/'Project Summary'!$G$23),"")</f>
        <v/>
      </c>
      <c r="Q12" s="248"/>
      <c r="R12" s="248"/>
      <c r="S12" s="248"/>
      <c r="T12" s="248"/>
    </row>
    <row r="13" spans="1:30" s="171" customFormat="1" ht="21.75" customHeight="1" x14ac:dyDescent="0.2">
      <c r="B13" s="228">
        <v>4</v>
      </c>
      <c r="C13" s="124"/>
      <c r="D13" s="161"/>
      <c r="E13" s="161"/>
      <c r="F13" s="382"/>
      <c r="G13" s="379"/>
      <c r="H13" s="254">
        <v>4423</v>
      </c>
      <c r="I13" s="206">
        <v>1.5660000000000001E-4</v>
      </c>
      <c r="J13" s="206">
        <v>1.3090000000000001E-4</v>
      </c>
      <c r="K13" s="234">
        <f t="shared" si="3"/>
        <v>0</v>
      </c>
      <c r="L13" s="456">
        <f t="shared" si="0"/>
        <v>0</v>
      </c>
      <c r="M13" s="456">
        <f t="shared" si="1"/>
        <v>0</v>
      </c>
      <c r="N13" s="209">
        <f t="shared" si="2"/>
        <v>0</v>
      </c>
      <c r="O13" s="252">
        <f>IFERROR(ROUND(K13*'Lookup Table'!$E$19+AVERAGE(N13,M13)*'Lookup Table'!$E$20,2),"")</f>
        <v>0</v>
      </c>
      <c r="P13" s="255" t="str">
        <f>IFERROR('Project Summary'!$H$23*('VSD Kitchen Fan'!O13/'Project Summary'!$G$23),"")</f>
        <v/>
      </c>
      <c r="Q13" s="248"/>
      <c r="R13" s="248"/>
      <c r="S13" s="248"/>
      <c r="T13" s="248"/>
    </row>
    <row r="14" spans="1:30" s="171" customFormat="1" ht="21.75" customHeight="1" x14ac:dyDescent="0.2">
      <c r="B14" s="228">
        <v>5</v>
      </c>
      <c r="C14" s="124"/>
      <c r="D14" s="161"/>
      <c r="E14" s="161"/>
      <c r="F14" s="382"/>
      <c r="G14" s="379"/>
      <c r="H14" s="254">
        <v>4423</v>
      </c>
      <c r="I14" s="206">
        <v>1.5660000000000001E-4</v>
      </c>
      <c r="J14" s="206">
        <v>1.3090000000000001E-4</v>
      </c>
      <c r="K14" s="234">
        <f t="shared" si="3"/>
        <v>0</v>
      </c>
      <c r="L14" s="456">
        <f t="shared" si="0"/>
        <v>0</v>
      </c>
      <c r="M14" s="456">
        <f t="shared" si="1"/>
        <v>0</v>
      </c>
      <c r="N14" s="209">
        <f t="shared" si="2"/>
        <v>0</v>
      </c>
      <c r="O14" s="252">
        <f>IFERROR(ROUND(K14*'Lookup Table'!$E$19+AVERAGE(N14,M14)*'Lookup Table'!$E$20,2),"")</f>
        <v>0</v>
      </c>
      <c r="P14" s="255" t="str">
        <f>IFERROR('Project Summary'!$H$23*('VSD Kitchen Fan'!O14/'Project Summary'!$G$23),"")</f>
        <v/>
      </c>
      <c r="Q14" s="248"/>
      <c r="R14" s="248"/>
      <c r="S14" s="248"/>
      <c r="T14" s="248"/>
    </row>
    <row r="15" spans="1:30" s="171" customFormat="1" ht="21.75" customHeight="1" x14ac:dyDescent="0.2">
      <c r="B15" s="228">
        <v>6</v>
      </c>
      <c r="C15" s="124"/>
      <c r="D15" s="161"/>
      <c r="E15" s="161"/>
      <c r="F15" s="382"/>
      <c r="G15" s="379"/>
      <c r="H15" s="254">
        <v>4423</v>
      </c>
      <c r="I15" s="206">
        <v>1.5660000000000001E-4</v>
      </c>
      <c r="J15" s="206">
        <v>1.3090000000000001E-4</v>
      </c>
      <c r="K15" s="234">
        <f t="shared" si="3"/>
        <v>0</v>
      </c>
      <c r="L15" s="456">
        <f t="shared" si="0"/>
        <v>0</v>
      </c>
      <c r="M15" s="456">
        <f t="shared" si="1"/>
        <v>0</v>
      </c>
      <c r="N15" s="209">
        <f t="shared" si="2"/>
        <v>0</v>
      </c>
      <c r="O15" s="252">
        <f>IFERROR(ROUND(K15*'Lookup Table'!$E$19+AVERAGE(N15,M15)*'Lookup Table'!$E$20,2),"")</f>
        <v>0</v>
      </c>
      <c r="P15" s="255" t="str">
        <f>IFERROR('Project Summary'!$H$23*('VSD Kitchen Fan'!O15/'Project Summary'!$G$23),"")</f>
        <v/>
      </c>
      <c r="Q15" s="248"/>
      <c r="R15" s="248"/>
      <c r="S15" s="248"/>
      <c r="T15" s="248"/>
    </row>
    <row r="16" spans="1:30" s="171" customFormat="1" ht="21.75" customHeight="1" x14ac:dyDescent="0.2">
      <c r="B16" s="228">
        <v>7</v>
      </c>
      <c r="C16" s="124"/>
      <c r="D16" s="161"/>
      <c r="E16" s="161"/>
      <c r="F16" s="382"/>
      <c r="G16" s="379"/>
      <c r="H16" s="254">
        <v>4423</v>
      </c>
      <c r="I16" s="206">
        <v>1.5660000000000001E-4</v>
      </c>
      <c r="J16" s="206">
        <v>1.3090000000000001E-4</v>
      </c>
      <c r="K16" s="234">
        <f t="shared" si="3"/>
        <v>0</v>
      </c>
      <c r="L16" s="456">
        <f t="shared" si="0"/>
        <v>0</v>
      </c>
      <c r="M16" s="456">
        <f t="shared" si="1"/>
        <v>0</v>
      </c>
      <c r="N16" s="209">
        <f t="shared" si="2"/>
        <v>0</v>
      </c>
      <c r="O16" s="252">
        <f>IFERROR(ROUND(K16*'Lookup Table'!$E$19+AVERAGE(N16,M16)*'Lookup Table'!$E$20,2),"")</f>
        <v>0</v>
      </c>
      <c r="P16" s="255" t="str">
        <f>IFERROR('Project Summary'!$H$23*('VSD Kitchen Fan'!O16/'Project Summary'!$G$23),"")</f>
        <v/>
      </c>
      <c r="Q16" s="248"/>
      <c r="R16" s="248"/>
      <c r="S16" s="248"/>
      <c r="T16" s="248"/>
    </row>
    <row r="17" spans="2:20" s="171" customFormat="1" ht="21.75" customHeight="1" x14ac:dyDescent="0.2">
      <c r="B17" s="228">
        <v>8</v>
      </c>
      <c r="C17" s="124"/>
      <c r="D17" s="161"/>
      <c r="E17" s="161"/>
      <c r="F17" s="382"/>
      <c r="G17" s="379"/>
      <c r="H17" s="254">
        <v>4423</v>
      </c>
      <c r="I17" s="206">
        <v>1.5660000000000001E-4</v>
      </c>
      <c r="J17" s="206">
        <v>1.3090000000000001E-4</v>
      </c>
      <c r="K17" s="234">
        <f t="shared" si="3"/>
        <v>0</v>
      </c>
      <c r="L17" s="456">
        <f t="shared" si="0"/>
        <v>0</v>
      </c>
      <c r="M17" s="456">
        <f t="shared" si="1"/>
        <v>0</v>
      </c>
      <c r="N17" s="209">
        <f t="shared" si="2"/>
        <v>0</v>
      </c>
      <c r="O17" s="252">
        <f>IFERROR(ROUND(K17*'Lookup Table'!$E$19+AVERAGE(N17,M17)*'Lookup Table'!$E$20,2),"")</f>
        <v>0</v>
      </c>
      <c r="P17" s="255" t="str">
        <f>IFERROR('Project Summary'!$H$23*('VSD Kitchen Fan'!O17/'Project Summary'!$G$23),"")</f>
        <v/>
      </c>
      <c r="Q17" s="248"/>
      <c r="R17" s="248"/>
      <c r="S17" s="248"/>
      <c r="T17" s="248"/>
    </row>
    <row r="18" spans="2:20" s="171" customFormat="1" ht="21.75" customHeight="1" x14ac:dyDescent="0.2">
      <c r="B18" s="228">
        <v>9</v>
      </c>
      <c r="C18" s="124"/>
      <c r="D18" s="161"/>
      <c r="E18" s="161"/>
      <c r="F18" s="382"/>
      <c r="G18" s="379"/>
      <c r="H18" s="254">
        <v>4423</v>
      </c>
      <c r="I18" s="206">
        <v>1.5660000000000001E-4</v>
      </c>
      <c r="J18" s="206">
        <v>1.3090000000000001E-4</v>
      </c>
      <c r="K18" s="234">
        <f t="shared" si="3"/>
        <v>0</v>
      </c>
      <c r="L18" s="456">
        <f t="shared" si="0"/>
        <v>0</v>
      </c>
      <c r="M18" s="456">
        <f t="shared" si="1"/>
        <v>0</v>
      </c>
      <c r="N18" s="209">
        <f t="shared" si="2"/>
        <v>0</v>
      </c>
      <c r="O18" s="252">
        <f>IFERROR(ROUND(K18*'Lookup Table'!$E$19+AVERAGE(N18,M18)*'Lookup Table'!$E$20,2),"")</f>
        <v>0</v>
      </c>
      <c r="P18" s="255" t="str">
        <f>IFERROR('Project Summary'!$H$23*('VSD Kitchen Fan'!O18/'Project Summary'!$G$23),"")</f>
        <v/>
      </c>
      <c r="Q18" s="248"/>
      <c r="R18" s="248"/>
      <c r="S18" s="248"/>
      <c r="T18" s="248"/>
    </row>
    <row r="19" spans="2:20" s="171" customFormat="1" ht="21.75" customHeight="1" thickBot="1" x14ac:dyDescent="0.25">
      <c r="B19" s="235">
        <v>10</v>
      </c>
      <c r="C19" s="126"/>
      <c r="D19" s="162"/>
      <c r="E19" s="162"/>
      <c r="F19" s="383"/>
      <c r="G19" s="380"/>
      <c r="H19" s="256">
        <v>4423</v>
      </c>
      <c r="I19" s="211">
        <v>1.5660000000000001E-4</v>
      </c>
      <c r="J19" s="211">
        <v>1.3090000000000001E-4</v>
      </c>
      <c r="K19" s="241">
        <f t="shared" si="3"/>
        <v>0</v>
      </c>
      <c r="L19" s="434">
        <f t="shared" si="0"/>
        <v>0</v>
      </c>
      <c r="M19" s="434">
        <f t="shared" si="1"/>
        <v>0</v>
      </c>
      <c r="N19" s="257">
        <f t="shared" si="2"/>
        <v>0</v>
      </c>
      <c r="O19" s="252">
        <f>IFERROR(ROUND(K19*'Lookup Table'!$E$19+AVERAGE(N19,M19)*'Lookup Table'!$E$20,2),"")</f>
        <v>0</v>
      </c>
      <c r="P19" s="258" t="str">
        <f>IFERROR('Project Summary'!$H$23*('VSD Kitchen Fan'!O19/'Project Summary'!$G$23),"")</f>
        <v/>
      </c>
      <c r="Q19" s="248"/>
      <c r="R19" s="248"/>
      <c r="S19" s="248"/>
      <c r="T19" s="248"/>
    </row>
    <row r="20" spans="2:20" s="171" customFormat="1" ht="21.75" customHeight="1" x14ac:dyDescent="0.2">
      <c r="B20" s="248"/>
      <c r="C20" s="248"/>
      <c r="D20" s="248"/>
      <c r="E20" s="248"/>
      <c r="F20" s="248"/>
      <c r="G20" s="248"/>
      <c r="H20" s="248"/>
      <c r="I20" s="248"/>
      <c r="J20" s="248"/>
      <c r="K20" s="248"/>
      <c r="L20" s="248"/>
      <c r="M20" s="248"/>
      <c r="N20" s="248"/>
      <c r="O20" s="248"/>
      <c r="P20" s="248"/>
      <c r="Q20" s="248"/>
      <c r="R20" s="248"/>
      <c r="S20" s="248"/>
      <c r="T20" s="248"/>
    </row>
    <row r="21" spans="2:20" s="171" customFormat="1" ht="21.75" customHeight="1" x14ac:dyDescent="0.2">
      <c r="B21" s="248"/>
      <c r="C21" s="248"/>
      <c r="D21" s="248"/>
      <c r="E21" s="248"/>
      <c r="F21" s="248"/>
      <c r="G21" s="248"/>
      <c r="H21" s="248"/>
      <c r="I21" s="248"/>
      <c r="J21" s="248"/>
      <c r="K21" s="248"/>
      <c r="L21" s="248"/>
      <c r="M21" s="248"/>
      <c r="N21" s="248"/>
      <c r="O21" s="248"/>
      <c r="P21" s="248"/>
      <c r="Q21" s="248"/>
      <c r="R21" s="248"/>
      <c r="S21" s="248"/>
      <c r="T21" s="248"/>
    </row>
    <row r="22" spans="2:20" ht="21.75" customHeight="1" x14ac:dyDescent="0.2">
      <c r="B22" s="248"/>
      <c r="C22" s="248"/>
      <c r="D22" s="248"/>
      <c r="E22" s="248"/>
      <c r="F22" s="248"/>
      <c r="G22" s="248"/>
      <c r="H22" s="248"/>
      <c r="I22" s="248"/>
      <c r="J22" s="248"/>
      <c r="K22" s="248"/>
      <c r="L22" s="248"/>
      <c r="M22" s="248"/>
      <c r="N22" s="248"/>
      <c r="O22" s="248"/>
      <c r="P22" s="248"/>
      <c r="Q22" s="248"/>
      <c r="R22" s="248"/>
      <c r="S22" s="248"/>
      <c r="T22" s="248"/>
    </row>
    <row r="23" spans="2:20" ht="21.75" customHeight="1" x14ac:dyDescent="0.2">
      <c r="B23" s="248"/>
      <c r="C23" s="248"/>
      <c r="D23" s="248"/>
      <c r="E23" s="248"/>
      <c r="F23" s="248"/>
      <c r="G23" s="248"/>
      <c r="H23" s="248"/>
      <c r="I23" s="248"/>
      <c r="J23" s="248"/>
      <c r="K23" s="248"/>
      <c r="L23" s="248"/>
      <c r="M23" s="248"/>
      <c r="N23" s="248"/>
      <c r="O23" s="248"/>
      <c r="P23" s="248"/>
      <c r="Q23" s="248"/>
      <c r="R23" s="248"/>
      <c r="S23" s="248"/>
      <c r="T23" s="248"/>
    </row>
    <row r="24" spans="2:20" x14ac:dyDescent="0.2">
      <c r="B24" s="248"/>
      <c r="C24" s="248"/>
      <c r="D24" s="248"/>
      <c r="E24" s="248"/>
      <c r="F24" s="248"/>
      <c r="G24" s="248"/>
      <c r="H24" s="248"/>
      <c r="I24" s="248"/>
      <c r="J24" s="248"/>
      <c r="K24" s="248"/>
      <c r="L24" s="248"/>
      <c r="M24" s="248"/>
      <c r="N24" s="248"/>
      <c r="O24" s="248"/>
      <c r="P24" s="248"/>
      <c r="Q24" s="248"/>
      <c r="R24" s="248"/>
      <c r="S24" s="248"/>
      <c r="T24" s="248"/>
    </row>
    <row r="25" spans="2:20" x14ac:dyDescent="0.2">
      <c r="B25" s="248"/>
      <c r="C25" s="248"/>
      <c r="D25" s="248"/>
      <c r="E25" s="248"/>
      <c r="F25" s="248"/>
      <c r="G25" s="248"/>
      <c r="H25" s="248"/>
      <c r="I25" s="248"/>
      <c r="J25" s="248"/>
      <c r="K25" s="248"/>
      <c r="L25" s="248"/>
      <c r="M25" s="248"/>
      <c r="N25" s="248"/>
      <c r="O25" s="248"/>
      <c r="P25" s="248"/>
      <c r="Q25" s="248"/>
      <c r="R25" s="248"/>
      <c r="S25" s="248"/>
      <c r="T25" s="248"/>
    </row>
    <row r="26" spans="2:20" x14ac:dyDescent="0.2">
      <c r="B26" s="248"/>
      <c r="C26" s="248"/>
      <c r="D26" s="248"/>
      <c r="E26" s="248"/>
      <c r="F26" s="248"/>
      <c r="G26" s="248"/>
      <c r="H26" s="248"/>
      <c r="I26" s="248"/>
      <c r="J26" s="248"/>
      <c r="K26" s="248"/>
      <c r="L26" s="248"/>
      <c r="M26" s="248"/>
      <c r="N26" s="248"/>
      <c r="O26" s="248"/>
      <c r="P26" s="248"/>
      <c r="Q26" s="248"/>
      <c r="R26" s="248"/>
      <c r="S26" s="248"/>
      <c r="T26" s="248"/>
    </row>
    <row r="27" spans="2:20" x14ac:dyDescent="0.2">
      <c r="B27" s="248"/>
      <c r="C27" s="248"/>
      <c r="D27" s="248"/>
      <c r="E27" s="248"/>
      <c r="F27" s="248"/>
      <c r="G27" s="248"/>
      <c r="H27" s="248"/>
      <c r="I27" s="248"/>
      <c r="J27" s="248"/>
      <c r="K27" s="248"/>
      <c r="L27" s="248"/>
      <c r="M27" s="248"/>
      <c r="N27" s="248"/>
      <c r="O27" s="248"/>
      <c r="P27" s="248"/>
      <c r="Q27" s="248"/>
      <c r="R27" s="248"/>
      <c r="S27" s="248"/>
      <c r="T27" s="248"/>
    </row>
    <row r="28" spans="2:20" x14ac:dyDescent="0.2">
      <c r="B28" s="248"/>
      <c r="C28" s="248"/>
      <c r="D28" s="248"/>
      <c r="E28" s="248"/>
      <c r="F28" s="248"/>
      <c r="G28" s="248"/>
      <c r="H28" s="248"/>
      <c r="I28" s="248"/>
      <c r="J28" s="248"/>
      <c r="K28" s="248"/>
      <c r="L28" s="248"/>
      <c r="M28" s="248"/>
      <c r="N28" s="248"/>
      <c r="O28" s="248"/>
      <c r="P28" s="248"/>
      <c r="Q28" s="248"/>
      <c r="R28" s="248"/>
      <c r="S28" s="248"/>
      <c r="T28" s="248"/>
    </row>
    <row r="29" spans="2:20" x14ac:dyDescent="0.2">
      <c r="B29" s="248"/>
      <c r="C29" s="248"/>
      <c r="D29" s="248"/>
      <c r="E29" s="248"/>
      <c r="F29" s="248"/>
      <c r="G29" s="248"/>
      <c r="H29" s="248"/>
      <c r="I29" s="248"/>
      <c r="J29" s="248"/>
      <c r="K29" s="248"/>
      <c r="L29" s="248"/>
      <c r="M29" s="248"/>
      <c r="N29" s="248"/>
      <c r="O29" s="248"/>
      <c r="P29" s="248"/>
      <c r="Q29" s="248"/>
      <c r="R29" s="248"/>
      <c r="S29" s="248"/>
      <c r="T29" s="248"/>
    </row>
    <row r="30" spans="2:20" x14ac:dyDescent="0.2">
      <c r="B30" s="248"/>
      <c r="C30" s="248"/>
      <c r="D30" s="248"/>
      <c r="E30" s="248"/>
      <c r="F30" s="248"/>
      <c r="G30" s="248"/>
      <c r="H30" s="248"/>
      <c r="I30" s="248"/>
      <c r="J30" s="248"/>
      <c r="K30" s="248"/>
      <c r="L30" s="248"/>
      <c r="M30" s="248"/>
      <c r="N30" s="248"/>
      <c r="O30" s="248"/>
      <c r="P30" s="248"/>
      <c r="Q30" s="248"/>
      <c r="R30" s="248"/>
      <c r="S30" s="248"/>
      <c r="T30" s="248"/>
    </row>
    <row r="31" spans="2:20" x14ac:dyDescent="0.2">
      <c r="B31" s="248"/>
      <c r="C31" s="248"/>
      <c r="D31" s="248"/>
      <c r="E31" s="248"/>
      <c r="F31" s="248"/>
      <c r="G31" s="248"/>
      <c r="H31" s="248"/>
      <c r="I31" s="248"/>
      <c r="J31" s="248"/>
      <c r="K31" s="248"/>
      <c r="L31" s="248"/>
      <c r="M31" s="248"/>
      <c r="N31" s="248"/>
      <c r="O31" s="248"/>
      <c r="P31" s="248"/>
      <c r="Q31" s="248"/>
      <c r="R31" s="248"/>
      <c r="S31" s="248"/>
      <c r="T31" s="248"/>
    </row>
  </sheetData>
  <sheetProtection algorithmName="SHA-512" hashValue="Oa0kbjQn8LkZIzfvydakdhCdPSKD/xWOR40g8915UTXYsX8msqWyiuUxzBcp2lB4d0eNtjo4D2UnFrcxjtV5Kg==" saltValue="ki7IuT7jXA9v+B+dLe0uOw==" spinCount="100000" sheet="1" formatColumns="0"/>
  <mergeCells count="7">
    <mergeCell ref="C8:G8"/>
    <mergeCell ref="H8:N8"/>
    <mergeCell ref="B3:N3"/>
    <mergeCell ref="B4:N4"/>
    <mergeCell ref="P8:P9"/>
    <mergeCell ref="B8:B9"/>
    <mergeCell ref="B6:P6"/>
  </mergeCells>
  <pageMargins left="0.5" right="0.5" top="0.5" bottom="0.5" header="0.3" footer="0.3"/>
  <pageSetup orientation="portrait" r:id="rId1"/>
  <ignoredErrors>
    <ignoredError sqref="P11:P19"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6830C-7A71-48B3-93EB-A9B6A579BCCD}">
  <sheetPr codeName="Sheet7">
    <tabColor theme="8" tint="0.59999389629810485"/>
  </sheetPr>
  <dimension ref="A1:AA27"/>
  <sheetViews>
    <sheetView topLeftCell="A2" zoomScaleNormal="100" workbookViewId="0">
      <selection activeCell="B10" sqref="B10"/>
    </sheetView>
  </sheetViews>
  <sheetFormatPr defaultColWidth="8.75" defaultRowHeight="14.25" x14ac:dyDescent="0.2"/>
  <cols>
    <col min="1" max="1" width="3.625" style="168" customWidth="1"/>
    <col min="2" max="2" width="6.375" style="168" customWidth="1"/>
    <col min="3" max="5" width="18.125" style="168" customWidth="1"/>
    <col min="6" max="6" width="10.875" style="168" customWidth="1"/>
    <col min="7" max="7" width="9.625" style="168" customWidth="1"/>
    <col min="8" max="8" width="28.375" style="168" bestFit="1" customWidth="1"/>
    <col min="9" max="9" width="28.375" style="168" customWidth="1"/>
    <col min="10" max="10" width="8.75" style="168" hidden="1" customWidth="1"/>
    <col min="11" max="11" width="16.375" style="168" hidden="1" customWidth="1"/>
    <col min="12" max="19" width="8.75" style="168" hidden="1" customWidth="1"/>
    <col min="20" max="21" width="8.75" style="168"/>
    <col min="22" max="23" width="8.75" style="168" customWidth="1"/>
    <col min="24" max="24" width="10.25" style="168" hidden="1" customWidth="1"/>
    <col min="25" max="25" width="12.625" style="168" customWidth="1"/>
    <col min="26" max="16384" width="8.75" style="168"/>
  </cols>
  <sheetData>
    <row r="1" spans="1:27" x14ac:dyDescent="0.2">
      <c r="A1" s="167"/>
      <c r="J1" s="168" t="s">
        <v>103</v>
      </c>
      <c r="K1" s="168" t="s">
        <v>103</v>
      </c>
      <c r="L1" s="168" t="s">
        <v>103</v>
      </c>
      <c r="M1" s="168" t="s">
        <v>103</v>
      </c>
      <c r="N1" s="168" t="s">
        <v>103</v>
      </c>
      <c r="O1" s="168" t="s">
        <v>103</v>
      </c>
      <c r="P1" s="168" t="s">
        <v>103</v>
      </c>
      <c r="Q1" s="168" t="s">
        <v>103</v>
      </c>
      <c r="R1" s="168" t="s">
        <v>103</v>
      </c>
      <c r="S1" s="168" t="s">
        <v>103</v>
      </c>
      <c r="X1" s="168" t="s">
        <v>103</v>
      </c>
    </row>
    <row r="2" spans="1:27" ht="9.75" customHeight="1" x14ac:dyDescent="0.2"/>
    <row r="3" spans="1:27" ht="34.5" customHeight="1" x14ac:dyDescent="0.35">
      <c r="B3" s="657" t="s">
        <v>181</v>
      </c>
      <c r="C3" s="657"/>
      <c r="D3" s="657"/>
      <c r="E3" s="657"/>
      <c r="F3" s="657"/>
      <c r="G3" s="657"/>
    </row>
    <row r="4" spans="1:27" ht="28.9" customHeight="1" x14ac:dyDescent="0.2">
      <c r="B4" s="678" t="s">
        <v>106</v>
      </c>
      <c r="C4" s="678"/>
      <c r="D4" s="678"/>
      <c r="E4" s="678"/>
      <c r="F4" s="678"/>
      <c r="G4" s="678"/>
    </row>
    <row r="5" spans="1:27" ht="14.1" hidden="1" customHeight="1" x14ac:dyDescent="0.2">
      <c r="B5" s="360"/>
      <c r="C5" s="360"/>
      <c r="D5" s="360"/>
      <c r="E5" s="360"/>
      <c r="F5" s="360"/>
      <c r="G5" s="360"/>
      <c r="H5" s="360"/>
      <c r="I5" s="360"/>
      <c r="J5" s="360"/>
      <c r="K5" s="169"/>
      <c r="L5" s="169"/>
    </row>
    <row r="6" spans="1:27" ht="28.9" hidden="1" customHeight="1" thickBot="1" x14ac:dyDescent="0.25">
      <c r="B6" s="626" t="s">
        <v>182</v>
      </c>
      <c r="C6" s="626"/>
      <c r="D6" s="626"/>
      <c r="E6" s="626"/>
      <c r="F6" s="626"/>
      <c r="G6" s="626"/>
      <c r="H6" s="626"/>
      <c r="I6" s="626"/>
      <c r="J6" s="626"/>
      <c r="K6" s="626"/>
      <c r="L6" s="626"/>
      <c r="M6" s="626"/>
      <c r="N6" s="626"/>
      <c r="O6" s="626"/>
      <c r="P6" s="626"/>
      <c r="Q6" s="626"/>
      <c r="R6" s="626"/>
      <c r="S6" s="626"/>
      <c r="T6" s="626"/>
      <c r="U6" s="626"/>
      <c r="V6" s="626"/>
      <c r="W6" s="626"/>
      <c r="X6" s="626"/>
      <c r="Y6" s="626"/>
      <c r="Z6" s="626"/>
      <c r="AA6" s="626"/>
    </row>
    <row r="7" spans="1:27" ht="9" customHeight="1" thickBot="1" x14ac:dyDescent="0.3">
      <c r="B7" s="170"/>
      <c r="C7" s="170"/>
      <c r="D7" s="170"/>
      <c r="E7" s="170"/>
    </row>
    <row r="8" spans="1:27" s="171" customFormat="1" ht="21.75" customHeight="1" thickBot="1" x14ac:dyDescent="0.25">
      <c r="B8" s="653" t="s">
        <v>125</v>
      </c>
      <c r="C8" s="605" t="s">
        <v>156</v>
      </c>
      <c r="D8" s="606"/>
      <c r="E8" s="606"/>
      <c r="F8" s="606"/>
      <c r="G8" s="606"/>
      <c r="H8" s="606"/>
      <c r="I8" s="606"/>
      <c r="J8" s="607"/>
      <c r="K8" s="605" t="s">
        <v>157</v>
      </c>
      <c r="L8" s="680" t="s">
        <v>123</v>
      </c>
      <c r="M8" s="681"/>
      <c r="N8" s="681"/>
      <c r="O8" s="681"/>
      <c r="P8" s="681"/>
      <c r="Q8" s="681"/>
      <c r="R8" s="681"/>
      <c r="S8" s="681"/>
      <c r="T8" s="681"/>
      <c r="U8" s="682"/>
      <c r="V8" s="682"/>
      <c r="W8" s="683"/>
      <c r="X8" s="582"/>
      <c r="Y8" s="653" t="s">
        <v>124</v>
      </c>
    </row>
    <row r="9" spans="1:27" s="204" customFormat="1" ht="45.75" thickBot="1" x14ac:dyDescent="0.25">
      <c r="B9" s="679"/>
      <c r="C9" s="597" t="s">
        <v>159</v>
      </c>
      <c r="D9" s="595" t="s">
        <v>126</v>
      </c>
      <c r="E9" s="595" t="s">
        <v>160</v>
      </c>
      <c r="F9" s="593" t="s">
        <v>161</v>
      </c>
      <c r="G9" s="593" t="s">
        <v>148</v>
      </c>
      <c r="H9" s="593" t="s">
        <v>183</v>
      </c>
      <c r="I9" s="596" t="s">
        <v>184</v>
      </c>
      <c r="J9" s="594" t="s">
        <v>164</v>
      </c>
      <c r="K9" s="594" t="s">
        <v>164</v>
      </c>
      <c r="L9" s="608" t="s">
        <v>165</v>
      </c>
      <c r="M9" s="609" t="s">
        <v>166</v>
      </c>
      <c r="N9" s="609" t="s">
        <v>185</v>
      </c>
      <c r="O9" s="609" t="s">
        <v>186</v>
      </c>
      <c r="P9" s="593" t="s">
        <v>187</v>
      </c>
      <c r="Q9" s="593" t="s">
        <v>188</v>
      </c>
      <c r="R9" s="609" t="s">
        <v>189</v>
      </c>
      <c r="S9" s="609" t="s">
        <v>190</v>
      </c>
      <c r="T9" s="610" t="s">
        <v>176</v>
      </c>
      <c r="U9" s="593" t="s">
        <v>528</v>
      </c>
      <c r="V9" s="593" t="s">
        <v>191</v>
      </c>
      <c r="W9" s="594" t="s">
        <v>114</v>
      </c>
      <c r="X9" s="611" t="s">
        <v>116</v>
      </c>
      <c r="Y9" s="679" t="s">
        <v>192</v>
      </c>
    </row>
    <row r="10" spans="1:27" s="171" customFormat="1" ht="21.75" customHeight="1" x14ac:dyDescent="0.2">
      <c r="B10" s="221">
        <v>1</v>
      </c>
      <c r="C10" s="292"/>
      <c r="D10" s="302"/>
      <c r="E10" s="302"/>
      <c r="F10" s="384"/>
      <c r="G10" s="303"/>
      <c r="H10" s="303"/>
      <c r="I10" s="378"/>
      <c r="J10" s="299">
        <f>IFERROR(746*F10/0.85,0)</f>
        <v>0</v>
      </c>
      <c r="K10" s="222">
        <f>IFERROR(J10/0.18,0)</f>
        <v>0</v>
      </c>
      <c r="L10" s="223">
        <v>0.9</v>
      </c>
      <c r="M10" s="224">
        <f>IFERROR(INDEX('Lookup Table'!$C$260:$K$273,MATCH('Project Summary'!$C$14,'Lookup Table'!$B$260:$B$273,0),MATCH('Project Summary'!$C$13,'Lookup Table'!$C$259:$K$259,0)),0)</f>
        <v>0</v>
      </c>
      <c r="N10" s="224" t="str">
        <f>IF(AND(H10='Lookup Table'!$B$294,I10="Continuous"),8760,IF(AND(H10='Lookup Table'!$B$294,I10="Timer or Aquastat"),2190,""))</f>
        <v/>
      </c>
      <c r="O10" s="224" t="str">
        <f>IF(AND(H10='Lookup Table'!$B$294,I10="Continuous"),8760,IF(AND(H10='Lookup Table'!$B$294,I10="Timer or Aquastat"),2190,""))</f>
        <v/>
      </c>
      <c r="P10" s="458" t="str">
        <f>IFERROR(VLOOKUP('Project Summary'!$C$14,'Lookup Table'!$Y$68:$AA$80,2,FALSE), " ")</f>
        <v xml:space="preserve"> </v>
      </c>
      <c r="Q10" s="458" t="str">
        <f>IFERROR(VLOOKUP('Project Summary'!$C$14,'Lookup Table'!$Y$68:$AA$80,3,FALSE), " ")</f>
        <v xml:space="preserve"> </v>
      </c>
      <c r="R10" s="227">
        <f>IFERROR(G10*(K10-J10)/1000*M10*L10,"")</f>
        <v>0</v>
      </c>
      <c r="S10" s="227" t="str">
        <f>IFERROR(G10*(K10*N10-J10*O10)/1000*L10,"")</f>
        <v/>
      </c>
      <c r="T10" s="208">
        <f>IFERROR(ROUND(IF(H10='Lookup Table'!$B$293,R10,IF(H10='Lookup Table'!$B$294,S10,"")),2),0)</f>
        <v>0</v>
      </c>
      <c r="U10" s="444">
        <f>IFERROR(AVERAGE(V10:W10),0)</f>
        <v>0</v>
      </c>
      <c r="V10" s="443" t="str">
        <f>IFERROR(IF(H10="Heating Circulation",0,T10*P10), " ")</f>
        <v xml:space="preserve"> </v>
      </c>
      <c r="W10" s="372" t="str">
        <f t="shared" ref="W10:W19" si="0">IFERROR(T10*Q10, " ")</f>
        <v xml:space="preserve"> </v>
      </c>
      <c r="X10" s="171" t="str">
        <f>IFERROR(ROUND(T10*'Lookup Table'!$E$19+AVERAGE(V10,W10)*'Lookup Table'!$E$20,2),"")</f>
        <v/>
      </c>
      <c r="Y10" s="259" t="str">
        <f>IFERROR('Project Summary'!$H$23*('ECM Circulator Pump'!X10/'Project Summary'!$G$23),"")</f>
        <v/>
      </c>
    </row>
    <row r="11" spans="1:27" s="171" customFormat="1" ht="21.75" customHeight="1" x14ac:dyDescent="0.2">
      <c r="B11" s="228">
        <v>2</v>
      </c>
      <c r="C11" s="124"/>
      <c r="D11" s="161"/>
      <c r="E11" s="161"/>
      <c r="F11" s="385"/>
      <c r="G11" s="119"/>
      <c r="H11" s="119"/>
      <c r="I11" s="125"/>
      <c r="J11" s="300">
        <f>IFERROR(746*F11/0.85,0)</f>
        <v>0</v>
      </c>
      <c r="K11" s="229">
        <f>IFERROR(J11/0.18,0)</f>
        <v>0</v>
      </c>
      <c r="L11" s="231">
        <v>0.9</v>
      </c>
      <c r="M11" s="207">
        <f>IFERROR(INDEX('Lookup Table'!$C$260:$K$273,MATCH('Project Summary'!$C$14,'Lookup Table'!$B$260:$B$273,0),MATCH('Project Summary'!$C$13,'Lookup Table'!$C$259:$K$259,0)),0)</f>
        <v>0</v>
      </c>
      <c r="N11" s="207" t="str">
        <f>IF(AND(H11='Lookup Table'!$B$294,I11="Continuous"),8760,IF(AND(H11='Lookup Table'!$B$294,I11="Timer or Aquastat"),2190,""))</f>
        <v/>
      </c>
      <c r="O11" s="207" t="str">
        <f>IF(AND(H11='Lookup Table'!$B$294,I11="Continuous"),8760,IF(AND(H11='Lookup Table'!$B$294,I11="Timer or Aquastat"),2190,""))</f>
        <v/>
      </c>
      <c r="P11" s="458" t="str">
        <f>IFERROR(VLOOKUP('Project Summary'!$C$14,'Lookup Table'!$Y$68:$AA$80,2,FALSE), " ")</f>
        <v xml:space="preserve"> </v>
      </c>
      <c r="Q11" s="458" t="str">
        <f>IFERROR(VLOOKUP('Project Summary'!$C$14,'Lookup Table'!$Y$68:$AA$80,3,FALSE), " ")</f>
        <v xml:space="preserve"> </v>
      </c>
      <c r="R11" s="234">
        <f t="shared" ref="R11:R19" si="1">IFERROR(G11*(K11-J11)/1000*M11*L11,"")</f>
        <v>0</v>
      </c>
      <c r="S11" s="234" t="str">
        <f t="shared" ref="S11:S19" si="2">IFERROR(G11*(K11*N11-J11*O11)/1000*L11,"")</f>
        <v/>
      </c>
      <c r="T11" s="370">
        <f>IFERROR(ROUND(IF(H11='Lookup Table'!$B$293,R11,IF(H11='Lookup Table'!$B$294,S11,"")),2),0)</f>
        <v>0</v>
      </c>
      <c r="U11" s="444">
        <f t="shared" ref="U11:U19" si="3">IFERROR(AVERAGE(V11:W11),0)</f>
        <v>0</v>
      </c>
      <c r="V11" s="443" t="str">
        <f t="shared" ref="V11:V19" si="4">IFERROR(IF(H11="heating Circulation",0,T11*P11), " ")</f>
        <v xml:space="preserve"> </v>
      </c>
      <c r="W11" s="372" t="str">
        <f t="shared" si="0"/>
        <v xml:space="preserve"> </v>
      </c>
      <c r="X11" s="171" t="str">
        <f>IFERROR(ROUND(T11*'Lookup Table'!$E$19+AVERAGE(V11,W11)*'Lookup Table'!$E$20,2),"")</f>
        <v/>
      </c>
      <c r="Y11" s="210" t="str">
        <f>IFERROR('Project Summary'!$H$23*('ECM Circulator Pump'!X11/'Project Summary'!$G$23),"")</f>
        <v/>
      </c>
    </row>
    <row r="12" spans="1:27" s="171" customFormat="1" ht="21.75" customHeight="1" x14ac:dyDescent="0.2">
      <c r="B12" s="228">
        <v>3</v>
      </c>
      <c r="C12" s="124"/>
      <c r="D12" s="161"/>
      <c r="E12" s="161"/>
      <c r="F12" s="385"/>
      <c r="G12" s="119"/>
      <c r="H12" s="119"/>
      <c r="I12" s="125"/>
      <c r="J12" s="300">
        <f t="shared" ref="J12:J19" si="5">IFERROR(746*F12/0.85,0)</f>
        <v>0</v>
      </c>
      <c r="K12" s="229">
        <f t="shared" ref="K12:K19" si="6">IFERROR(J12/0.18,0)</f>
        <v>0</v>
      </c>
      <c r="L12" s="231">
        <v>0.9</v>
      </c>
      <c r="M12" s="207">
        <f>IFERROR(INDEX('Lookup Table'!$C$260:$K$273,MATCH('Project Summary'!$C$14,'Lookup Table'!$B$260:$B$273,0),MATCH('Project Summary'!$C$13,'Lookup Table'!$C$259:$K$259,0)),0)</f>
        <v>0</v>
      </c>
      <c r="N12" s="207" t="str">
        <f>IF(AND(H12='Lookup Table'!$B$294,I12="Continuous"),8760,IF(AND(H12='Lookup Table'!$B$294,I12="Timer or Aquastat"),2190,""))</f>
        <v/>
      </c>
      <c r="O12" s="207" t="str">
        <f>IF(AND(H12='Lookup Table'!$B$294,I12="Continuous"),8760,IF(AND(H12='Lookup Table'!$B$294,I12="Timer or Aquastat"),2190,""))</f>
        <v/>
      </c>
      <c r="P12" s="458" t="str">
        <f>IFERROR(VLOOKUP('Project Summary'!$C$14,'Lookup Table'!$Y$68:$AA$80,2,FALSE), " ")</f>
        <v xml:space="preserve"> </v>
      </c>
      <c r="Q12" s="458" t="str">
        <f>IFERROR(VLOOKUP('Project Summary'!$C$14,'Lookup Table'!$Y$68:$AA$80,3,FALSE), " ")</f>
        <v xml:space="preserve"> </v>
      </c>
      <c r="R12" s="234">
        <f t="shared" si="1"/>
        <v>0</v>
      </c>
      <c r="S12" s="234" t="str">
        <f t="shared" si="2"/>
        <v/>
      </c>
      <c r="T12" s="370">
        <f>IFERROR(ROUND(IF(H12='Lookup Table'!$B$293,R12,IF(H12='Lookup Table'!$B$294,S12,"")),2),0)</f>
        <v>0</v>
      </c>
      <c r="U12" s="444">
        <f t="shared" si="3"/>
        <v>0</v>
      </c>
      <c r="V12" s="443" t="str">
        <f t="shared" si="4"/>
        <v xml:space="preserve"> </v>
      </c>
      <c r="W12" s="372" t="str">
        <f t="shared" si="0"/>
        <v xml:space="preserve"> </v>
      </c>
      <c r="X12" s="171" t="str">
        <f>IFERROR(ROUND(T12*'Lookup Table'!$E$19+AVERAGE(V12,W12)*'Lookup Table'!$E$20,2),"")</f>
        <v/>
      </c>
      <c r="Y12" s="210" t="str">
        <f>IFERROR('Project Summary'!$H$23*('ECM Circulator Pump'!X12/'Project Summary'!$G$23),"")</f>
        <v/>
      </c>
    </row>
    <row r="13" spans="1:27" s="171" customFormat="1" ht="21.75" customHeight="1" x14ac:dyDescent="0.2">
      <c r="B13" s="228">
        <v>4</v>
      </c>
      <c r="C13" s="124"/>
      <c r="D13" s="161"/>
      <c r="E13" s="161"/>
      <c r="F13" s="385"/>
      <c r="G13" s="119"/>
      <c r="H13" s="121"/>
      <c r="I13" s="125"/>
      <c r="J13" s="300">
        <f t="shared" si="5"/>
        <v>0</v>
      </c>
      <c r="K13" s="229">
        <f t="shared" si="6"/>
        <v>0</v>
      </c>
      <c r="L13" s="231">
        <v>0.9</v>
      </c>
      <c r="M13" s="207">
        <f>IFERROR(INDEX('Lookup Table'!$C$260:$K$273,MATCH('Project Summary'!$C$14,'Lookup Table'!$B$260:$B$273,0),MATCH('Project Summary'!$C$13,'Lookup Table'!$C$259:$K$259,0)),0)</f>
        <v>0</v>
      </c>
      <c r="N13" s="207" t="str">
        <f>IF(AND(H13='Lookup Table'!$B$294,I13="Continuous"),8760,IF(AND(H13='Lookup Table'!$B$294,I13="Timer or Aquastat"),2190,""))</f>
        <v/>
      </c>
      <c r="O13" s="207" t="str">
        <f>IF(AND(H13='Lookup Table'!$B$294,I13="Continuous"),8760,IF(AND(H13='Lookup Table'!$B$294,I13="Timer or Aquastat"),2190,""))</f>
        <v/>
      </c>
      <c r="P13" s="458" t="str">
        <f>IFERROR(VLOOKUP('Project Summary'!$C$14,'Lookup Table'!$Y$68:$AA$80,2,FALSE), " ")</f>
        <v xml:space="preserve"> </v>
      </c>
      <c r="Q13" s="458" t="str">
        <f>IFERROR(VLOOKUP('Project Summary'!$C$14,'Lookup Table'!$Y$68:$AA$80,3,FALSE), " ")</f>
        <v xml:space="preserve"> </v>
      </c>
      <c r="R13" s="234">
        <f t="shared" si="1"/>
        <v>0</v>
      </c>
      <c r="S13" s="234" t="str">
        <f t="shared" si="2"/>
        <v/>
      </c>
      <c r="T13" s="370">
        <f>IFERROR(ROUND(IF(H13='Lookup Table'!$B$293,R13,IF(H13='Lookup Table'!$B$294,S13,"")),2),0)</f>
        <v>0</v>
      </c>
      <c r="U13" s="444">
        <f t="shared" si="3"/>
        <v>0</v>
      </c>
      <c r="V13" s="443" t="str">
        <f t="shared" si="4"/>
        <v xml:space="preserve"> </v>
      </c>
      <c r="W13" s="372" t="str">
        <f t="shared" si="0"/>
        <v xml:space="preserve"> </v>
      </c>
      <c r="X13" s="171" t="str">
        <f>IFERROR(ROUND(T13*'Lookup Table'!$E$19+AVERAGE(V13,W13)*'Lookup Table'!$E$20,2),"")</f>
        <v/>
      </c>
      <c r="Y13" s="210" t="str">
        <f>IFERROR('Project Summary'!$H$23*('ECM Circulator Pump'!X13/'Project Summary'!$G$23),"")</f>
        <v/>
      </c>
    </row>
    <row r="14" spans="1:27" s="171" customFormat="1" ht="21.75" customHeight="1" x14ac:dyDescent="0.2">
      <c r="B14" s="228">
        <v>5</v>
      </c>
      <c r="C14" s="124"/>
      <c r="D14" s="161"/>
      <c r="E14" s="161"/>
      <c r="F14" s="385"/>
      <c r="G14" s="119"/>
      <c r="H14" s="119"/>
      <c r="I14" s="125"/>
      <c r="J14" s="300">
        <f t="shared" si="5"/>
        <v>0</v>
      </c>
      <c r="K14" s="229">
        <f t="shared" si="6"/>
        <v>0</v>
      </c>
      <c r="L14" s="231">
        <v>0.9</v>
      </c>
      <c r="M14" s="207">
        <f>IFERROR(INDEX('Lookup Table'!$C$260:$K$273,MATCH('Project Summary'!$C$14,'Lookup Table'!$B$260:$B$273,0),MATCH('Project Summary'!$C$13,'Lookup Table'!$C$259:$K$259,0)),0)</f>
        <v>0</v>
      </c>
      <c r="N14" s="207" t="str">
        <f>IF(AND(H14='Lookup Table'!$B$294,I14="Continuous"),8760,IF(AND(H14='Lookup Table'!$B$294,I14="Timer or Aquastat"),2190,""))</f>
        <v/>
      </c>
      <c r="O14" s="207" t="str">
        <f>IF(AND(H14='Lookup Table'!$B$294,I14="Continuous"),8760,IF(AND(H14='Lookup Table'!$B$294,I14="Timer or Aquastat"),2190,""))</f>
        <v/>
      </c>
      <c r="P14" s="458" t="str">
        <f>IFERROR(VLOOKUP('Project Summary'!$C$14,'Lookup Table'!$Y$68:$AA$80,2,FALSE), " ")</f>
        <v xml:space="preserve"> </v>
      </c>
      <c r="Q14" s="458" t="str">
        <f>IFERROR(VLOOKUP('Project Summary'!$C$14,'Lookup Table'!$Y$68:$AA$80,3,FALSE), " ")</f>
        <v xml:space="preserve"> </v>
      </c>
      <c r="R14" s="234">
        <f t="shared" si="1"/>
        <v>0</v>
      </c>
      <c r="S14" s="234" t="str">
        <f t="shared" si="2"/>
        <v/>
      </c>
      <c r="T14" s="370">
        <f>IFERROR(ROUND(IF(H14='Lookup Table'!$B$293,R14,IF(H14='Lookup Table'!$B$294,S14,"")),2),0)</f>
        <v>0</v>
      </c>
      <c r="U14" s="444">
        <f t="shared" si="3"/>
        <v>0</v>
      </c>
      <c r="V14" s="443" t="str">
        <f t="shared" si="4"/>
        <v xml:space="preserve"> </v>
      </c>
      <c r="W14" s="372" t="str">
        <f t="shared" si="0"/>
        <v xml:space="preserve"> </v>
      </c>
      <c r="X14" s="171" t="str">
        <f>IFERROR(ROUND(T14*'Lookup Table'!$E$19+AVERAGE(V14,W14)*'Lookup Table'!$E$20,2),"")</f>
        <v/>
      </c>
      <c r="Y14" s="210" t="str">
        <f>IFERROR('Project Summary'!$H$23*('ECM Circulator Pump'!X14/'Project Summary'!$G$23),"")</f>
        <v/>
      </c>
    </row>
    <row r="15" spans="1:27" s="171" customFormat="1" ht="21.75" customHeight="1" x14ac:dyDescent="0.2">
      <c r="B15" s="228">
        <v>6</v>
      </c>
      <c r="C15" s="124"/>
      <c r="D15" s="161"/>
      <c r="E15" s="161"/>
      <c r="F15" s="385"/>
      <c r="G15" s="119"/>
      <c r="H15" s="119"/>
      <c r="I15" s="125"/>
      <c r="J15" s="300">
        <f t="shared" si="5"/>
        <v>0</v>
      </c>
      <c r="K15" s="229">
        <f t="shared" si="6"/>
        <v>0</v>
      </c>
      <c r="L15" s="231">
        <v>0.9</v>
      </c>
      <c r="M15" s="207">
        <f>IFERROR(INDEX('Lookup Table'!$C$260:$K$273,MATCH('Project Summary'!$C$14,'Lookup Table'!$B$260:$B$273,0),MATCH('Project Summary'!$C$13,'Lookup Table'!$C$259:$K$259,0)),0)</f>
        <v>0</v>
      </c>
      <c r="N15" s="207" t="str">
        <f>IF(AND(H15='Lookup Table'!$B$294,I15="Continuous"),8760,IF(AND(H15='Lookup Table'!$B$294,I15="Timer or Aquastat"),2190,""))</f>
        <v/>
      </c>
      <c r="O15" s="207" t="str">
        <f>IF(AND(H15='Lookup Table'!$B$294,I15="Continuous"),8760,IF(AND(H15='Lookup Table'!$B$294,I15="Timer or Aquastat"),2190,""))</f>
        <v/>
      </c>
      <c r="P15" s="458" t="str">
        <f>IFERROR(VLOOKUP('Project Summary'!$C$14,'Lookup Table'!$Y$68:$AA$80,2,FALSE), " ")</f>
        <v xml:space="preserve"> </v>
      </c>
      <c r="Q15" s="458" t="str">
        <f>IFERROR(VLOOKUP('Project Summary'!$C$14,'Lookup Table'!$Y$68:$AA$80,3,FALSE), " ")</f>
        <v xml:space="preserve"> </v>
      </c>
      <c r="R15" s="234">
        <f t="shared" si="1"/>
        <v>0</v>
      </c>
      <c r="S15" s="234" t="str">
        <f t="shared" si="2"/>
        <v/>
      </c>
      <c r="T15" s="370">
        <f>IFERROR(ROUND(IF(H15='Lookup Table'!$B$293,R15,IF(H15='Lookup Table'!$B$294,S15,"")),2),0)</f>
        <v>0</v>
      </c>
      <c r="U15" s="444">
        <f t="shared" si="3"/>
        <v>0</v>
      </c>
      <c r="V15" s="443" t="str">
        <f t="shared" si="4"/>
        <v xml:space="preserve"> </v>
      </c>
      <c r="W15" s="372" t="str">
        <f t="shared" si="0"/>
        <v xml:space="preserve"> </v>
      </c>
      <c r="X15" s="171" t="str">
        <f>IFERROR(ROUND(T15*'Lookup Table'!$E$19+AVERAGE(V15,W15)*'Lookup Table'!$E$20,2),"")</f>
        <v/>
      </c>
      <c r="Y15" s="210" t="str">
        <f>IFERROR('Project Summary'!$H$23*('ECM Circulator Pump'!X15/'Project Summary'!$G$23),"")</f>
        <v/>
      </c>
    </row>
    <row r="16" spans="1:27" s="171" customFormat="1" ht="21.75" customHeight="1" x14ac:dyDescent="0.2">
      <c r="B16" s="228">
        <v>7</v>
      </c>
      <c r="C16" s="124"/>
      <c r="D16" s="161"/>
      <c r="E16" s="161"/>
      <c r="F16" s="385"/>
      <c r="G16" s="119"/>
      <c r="H16" s="121"/>
      <c r="I16" s="125"/>
      <c r="J16" s="300">
        <f t="shared" si="5"/>
        <v>0</v>
      </c>
      <c r="K16" s="229">
        <f t="shared" si="6"/>
        <v>0</v>
      </c>
      <c r="L16" s="231">
        <v>0.9</v>
      </c>
      <c r="M16" s="207">
        <f>IFERROR(INDEX('Lookup Table'!$C$260:$K$273,MATCH('Project Summary'!$C$14,'Lookup Table'!$B$260:$B$273,0),MATCH('Project Summary'!$C$13,'Lookup Table'!$C$259:$K$259,0)),0)</f>
        <v>0</v>
      </c>
      <c r="N16" s="207" t="str">
        <f>IF(AND(H16='Lookup Table'!$B$294,I16="Continuous"),8760,IF(AND(H16='Lookup Table'!$B$294,I16="Timer or Aquastat"),2190,""))</f>
        <v/>
      </c>
      <c r="O16" s="207" t="str">
        <f>IF(AND(H16='Lookup Table'!$B$294,I16="Continuous"),8760,IF(AND(H16='Lookup Table'!$B$294,I16="Timer or Aquastat"),2190,""))</f>
        <v/>
      </c>
      <c r="P16" s="458" t="str">
        <f>IFERROR(VLOOKUP('Project Summary'!$C$14,'Lookup Table'!$Y$68:$AA$80,2,FALSE), " ")</f>
        <v xml:space="preserve"> </v>
      </c>
      <c r="Q16" s="458" t="str">
        <f>IFERROR(VLOOKUP('Project Summary'!$C$14,'Lookup Table'!$Y$68:$AA$80,3,FALSE), " ")</f>
        <v xml:space="preserve"> </v>
      </c>
      <c r="R16" s="234">
        <f t="shared" si="1"/>
        <v>0</v>
      </c>
      <c r="S16" s="234" t="str">
        <f t="shared" si="2"/>
        <v/>
      </c>
      <c r="T16" s="370">
        <f>IFERROR(ROUND(IF(H16='Lookup Table'!$B$293,R16,IF(H16='Lookup Table'!$B$294,S16,"")),2),0)</f>
        <v>0</v>
      </c>
      <c r="U16" s="444">
        <f t="shared" si="3"/>
        <v>0</v>
      </c>
      <c r="V16" s="443" t="str">
        <f t="shared" si="4"/>
        <v xml:space="preserve"> </v>
      </c>
      <c r="W16" s="372" t="str">
        <f t="shared" si="0"/>
        <v xml:space="preserve"> </v>
      </c>
      <c r="X16" s="171" t="str">
        <f>IFERROR(ROUND(T16*'Lookup Table'!$E$19+AVERAGE(V16,W16)*'Lookup Table'!$E$20,2),"")</f>
        <v/>
      </c>
      <c r="Y16" s="210" t="str">
        <f>IFERROR('Project Summary'!$H$23*('ECM Circulator Pump'!X16/'Project Summary'!$G$23),"")</f>
        <v/>
      </c>
    </row>
    <row r="17" spans="2:25" s="171" customFormat="1" ht="21.75" customHeight="1" x14ac:dyDescent="0.2">
      <c r="B17" s="228">
        <v>8</v>
      </c>
      <c r="C17" s="124"/>
      <c r="D17" s="161"/>
      <c r="E17" s="161"/>
      <c r="F17" s="385"/>
      <c r="G17" s="119"/>
      <c r="H17" s="119"/>
      <c r="I17" s="125"/>
      <c r="J17" s="300">
        <f t="shared" si="5"/>
        <v>0</v>
      </c>
      <c r="K17" s="229">
        <f t="shared" si="6"/>
        <v>0</v>
      </c>
      <c r="L17" s="231">
        <v>0.9</v>
      </c>
      <c r="M17" s="207">
        <f>IFERROR(INDEX('Lookup Table'!$C$260:$K$273,MATCH('Project Summary'!$C$14,'Lookup Table'!$B$260:$B$273,0),MATCH('Project Summary'!$C$13,'Lookup Table'!$C$259:$K$259,0)),0)</f>
        <v>0</v>
      </c>
      <c r="N17" s="207" t="str">
        <f>IF(AND(H17='Lookup Table'!$B$294,I17="Continuous"),8760,IF(AND(H17='Lookup Table'!$B$294,I17="Timer or Aquastat"),2190,""))</f>
        <v/>
      </c>
      <c r="O17" s="207" t="str">
        <f>IF(AND(H17='Lookup Table'!$B$294,I17="Continuous"),8760,IF(AND(H17='Lookup Table'!$B$294,I17="Timer or Aquastat"),2190,""))</f>
        <v/>
      </c>
      <c r="P17" s="458" t="str">
        <f>IFERROR(VLOOKUP('Project Summary'!$C$14,'Lookup Table'!$Y$68:$AA$80,2,FALSE), " ")</f>
        <v xml:space="preserve"> </v>
      </c>
      <c r="Q17" s="458" t="str">
        <f>IFERROR(VLOOKUP('Project Summary'!$C$14,'Lookup Table'!$Y$68:$AA$80,3,FALSE), " ")</f>
        <v xml:space="preserve"> </v>
      </c>
      <c r="R17" s="234">
        <f t="shared" si="1"/>
        <v>0</v>
      </c>
      <c r="S17" s="234" t="str">
        <f t="shared" si="2"/>
        <v/>
      </c>
      <c r="T17" s="370">
        <f>IFERROR(ROUND(IF(H17='Lookup Table'!$B$293,R17,IF(H17='Lookup Table'!$B$294,S17,"")),2),0)</f>
        <v>0</v>
      </c>
      <c r="U17" s="444">
        <f t="shared" si="3"/>
        <v>0</v>
      </c>
      <c r="V17" s="443" t="str">
        <f t="shared" si="4"/>
        <v xml:space="preserve"> </v>
      </c>
      <c r="W17" s="372" t="str">
        <f t="shared" si="0"/>
        <v xml:space="preserve"> </v>
      </c>
      <c r="X17" s="171" t="str">
        <f>IFERROR(ROUND(T17*'Lookup Table'!$E$19+AVERAGE(V17,W17)*'Lookup Table'!$E$20,2),"")</f>
        <v/>
      </c>
      <c r="Y17" s="210" t="str">
        <f>IFERROR('Project Summary'!$H$23*('ECM Circulator Pump'!X17/'Project Summary'!$G$23),"")</f>
        <v/>
      </c>
    </row>
    <row r="18" spans="2:25" s="171" customFormat="1" ht="21.75" customHeight="1" x14ac:dyDescent="0.2">
      <c r="B18" s="228">
        <v>9</v>
      </c>
      <c r="C18" s="124"/>
      <c r="D18" s="161"/>
      <c r="E18" s="161"/>
      <c r="F18" s="385"/>
      <c r="G18" s="119"/>
      <c r="H18" s="119"/>
      <c r="I18" s="125"/>
      <c r="J18" s="300">
        <f t="shared" si="5"/>
        <v>0</v>
      </c>
      <c r="K18" s="229">
        <f t="shared" si="6"/>
        <v>0</v>
      </c>
      <c r="L18" s="231">
        <v>0.9</v>
      </c>
      <c r="M18" s="207">
        <f>IFERROR(INDEX('Lookup Table'!$C$260:$K$273,MATCH('Project Summary'!$C$14,'Lookup Table'!$B$260:$B$273,0),MATCH('Project Summary'!$C$13,'Lookup Table'!$C$259:$K$259,0)),0)</f>
        <v>0</v>
      </c>
      <c r="N18" s="207" t="str">
        <f>IF(AND(H18='Lookup Table'!$B$294,I18="Continuous"),8760,IF(AND(H18='Lookup Table'!$B$294,I18="Timer or Aquastat"),2190,""))</f>
        <v/>
      </c>
      <c r="O18" s="207" t="str">
        <f>IF(AND(H18='Lookup Table'!$B$294,I18="Continuous"),8760,IF(AND(H18='Lookup Table'!$B$294,I18="Timer or Aquastat"),2190,""))</f>
        <v/>
      </c>
      <c r="P18" s="458" t="str">
        <f>IFERROR(VLOOKUP('Project Summary'!$C$14,'Lookup Table'!$Y$68:$AA$80,2,FALSE), " ")</f>
        <v xml:space="preserve"> </v>
      </c>
      <c r="Q18" s="458" t="str">
        <f>IFERROR(VLOOKUP('Project Summary'!$C$14,'Lookup Table'!$Y$68:$AA$80,3,FALSE), " ")</f>
        <v xml:space="preserve"> </v>
      </c>
      <c r="R18" s="234">
        <f t="shared" si="1"/>
        <v>0</v>
      </c>
      <c r="S18" s="234" t="str">
        <f t="shared" si="2"/>
        <v/>
      </c>
      <c r="T18" s="370">
        <f>IFERROR(ROUND(IF(H18='Lookup Table'!$B$293,R18,IF(H18='Lookup Table'!$B$294,S18,"")),2),0)</f>
        <v>0</v>
      </c>
      <c r="U18" s="444">
        <f t="shared" si="3"/>
        <v>0</v>
      </c>
      <c r="V18" s="443" t="str">
        <f t="shared" si="4"/>
        <v xml:space="preserve"> </v>
      </c>
      <c r="W18" s="372" t="str">
        <f t="shared" si="0"/>
        <v xml:space="preserve"> </v>
      </c>
      <c r="X18" s="171" t="str">
        <f>IFERROR(ROUND(T18*'Lookup Table'!$E$19+AVERAGE(V18,W18)*'Lookup Table'!$E$20,2),"")</f>
        <v/>
      </c>
      <c r="Y18" s="210" t="str">
        <f>IFERROR('Project Summary'!$H$23*('ECM Circulator Pump'!X18/'Project Summary'!$G$23),"")</f>
        <v/>
      </c>
    </row>
    <row r="19" spans="2:25" s="171" customFormat="1" ht="21.75" customHeight="1" thickBot="1" x14ac:dyDescent="0.25">
      <c r="B19" s="235">
        <v>10</v>
      </c>
      <c r="C19" s="126"/>
      <c r="D19" s="162"/>
      <c r="E19" s="162"/>
      <c r="F19" s="386"/>
      <c r="G19" s="120"/>
      <c r="H19" s="304"/>
      <c r="I19" s="127"/>
      <c r="J19" s="301">
        <f t="shared" si="5"/>
        <v>0</v>
      </c>
      <c r="K19" s="236">
        <f t="shared" si="6"/>
        <v>0</v>
      </c>
      <c r="L19" s="238">
        <v>0.9</v>
      </c>
      <c r="M19" s="211">
        <f>IFERROR(INDEX('Lookup Table'!$C$260:$K$273,MATCH('Project Summary'!$C$14,'Lookup Table'!$B$260:$B$273,0),MATCH('Project Summary'!$C$13,'Lookup Table'!$C$259:$K$259,0)),0)</f>
        <v>0</v>
      </c>
      <c r="N19" s="211" t="str">
        <f>IF(AND(H19='Lookup Table'!$B$294,I19="Continuous"),8760,IF(AND(H19='Lookup Table'!$B$294,I19="Timer or Aquastat"),2190,""))</f>
        <v/>
      </c>
      <c r="O19" s="211" t="str">
        <f>IF(AND(H19='Lookup Table'!$B$294,I19="Continuous"),8760,IF(AND(H19='Lookup Table'!$B$294,I19="Timer or Aquastat"),2190,""))</f>
        <v/>
      </c>
      <c r="P19" s="459" t="str">
        <f>IFERROR(VLOOKUP('Project Summary'!$C$14,'Lookup Table'!$Y$68:$AA$80,2,FALSE), " ")</f>
        <v xml:space="preserve"> </v>
      </c>
      <c r="Q19" s="459" t="str">
        <f>IFERROR(VLOOKUP('Project Summary'!$C$14,'Lookup Table'!$Y$68:$AA$80,3,FALSE), " ")</f>
        <v xml:space="preserve"> </v>
      </c>
      <c r="R19" s="241">
        <f t="shared" si="1"/>
        <v>0</v>
      </c>
      <c r="S19" s="241" t="str">
        <f t="shared" si="2"/>
        <v/>
      </c>
      <c r="T19" s="371">
        <f>IFERROR(ROUND(IF(H19='Lookup Table'!$B$293,R19,IF(H19='Lookup Table'!$B$294,S19,"")),2),0)</f>
        <v>0</v>
      </c>
      <c r="U19" s="240">
        <f t="shared" si="3"/>
        <v>0</v>
      </c>
      <c r="V19" s="240" t="str">
        <f t="shared" si="4"/>
        <v xml:space="preserve"> </v>
      </c>
      <c r="W19" s="242" t="str">
        <f t="shared" si="0"/>
        <v xml:space="preserve"> </v>
      </c>
      <c r="X19" s="171" t="str">
        <f>IFERROR(ROUND(T19*'Lookup Table'!$E$19+AVERAGE(V19,W19)*'Lookup Table'!$E$20,2),"")</f>
        <v/>
      </c>
      <c r="Y19" s="212" t="str">
        <f>IFERROR('Project Summary'!$H$23*('ECM Circulator Pump'!X19/'Project Summary'!$G$23),"")</f>
        <v/>
      </c>
    </row>
    <row r="20" spans="2:25" s="171" customFormat="1" ht="21.75" customHeight="1" x14ac:dyDescent="0.2"/>
    <row r="21" spans="2:25" s="171" customFormat="1" ht="21.75" customHeight="1" x14ac:dyDescent="0.2"/>
    <row r="22" spans="2:25" ht="21.75" customHeight="1" x14ac:dyDescent="0.2"/>
    <row r="23" spans="2:25" ht="21.75" customHeight="1" x14ac:dyDescent="0.2">
      <c r="B23" s="195"/>
    </row>
    <row r="24" spans="2:25" ht="21.75" customHeight="1" x14ac:dyDescent="0.2"/>
    <row r="25" spans="2:25" ht="21.75" customHeight="1" x14ac:dyDescent="0.2"/>
    <row r="26" spans="2:25" ht="21.75" customHeight="1" x14ac:dyDescent="0.2"/>
    <row r="27" spans="2:25" ht="21.75" customHeight="1" x14ac:dyDescent="0.2"/>
  </sheetData>
  <sheetProtection algorithmName="SHA-512" hashValue="2yZQ2q4IL5godQnZ1CwCpQ0o7FhLKr7X9uTd1hKEC2WV+/pcZ1jhCORUaEAb5I7vw+xSAQJ/zEzD/UltTpVm3A==" saltValue="8RFMN/9/qL6uhmjymq381g==" spinCount="100000" sheet="1" formatColumns="0"/>
  <mergeCells count="6">
    <mergeCell ref="B3:G3"/>
    <mergeCell ref="B4:G4"/>
    <mergeCell ref="B8:B9"/>
    <mergeCell ref="Y8:Y9"/>
    <mergeCell ref="B6:AA6"/>
    <mergeCell ref="L8:W8"/>
  </mergeCells>
  <conditionalFormatting sqref="I11:I19">
    <cfRule type="expression" dxfId="3" priority="1">
      <formula>H11="Heating Circulation"</formula>
    </cfRule>
  </conditionalFormatting>
  <dataValidations count="2">
    <dataValidation operator="lessThanOrEqual" allowBlank="1" showInputMessage="1" showErrorMessage="1" sqref="F10:F19" xr:uid="{3C8468BF-3C09-461B-AC74-F4CAAF5FD351}"/>
    <dataValidation type="list" allowBlank="1" showInputMessage="1" showErrorMessage="1" sqref="I10:I19" xr:uid="{29E8A269-976D-4EF0-A117-11DF402C0785}">
      <formula1>"Continuous,Timer or Aquastat"</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D47E7B5-711F-42E2-96A6-31A8EE495AF3}">
          <x14:formula1>
            <xm:f>'Lookup Table'!$B$293:$B$294</xm:f>
          </x14:formula1>
          <xm:sqref>H10:H19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C474C-4793-4A21-9794-693B3B696006}">
  <sheetPr codeName="Sheet8">
    <tabColor theme="8" tint="0.59999389629810485"/>
  </sheetPr>
  <dimension ref="A1:AB23"/>
  <sheetViews>
    <sheetView zoomScale="80" zoomScaleNormal="80" workbookViewId="0">
      <selection activeCell="C10" sqref="C10"/>
    </sheetView>
  </sheetViews>
  <sheetFormatPr defaultColWidth="8.75" defaultRowHeight="14.25" x14ac:dyDescent="0.2"/>
  <cols>
    <col min="1" max="1" width="3.625" style="168" customWidth="1"/>
    <col min="2" max="2" width="6.125" style="168" customWidth="1"/>
    <col min="3" max="3" width="8" style="168" customWidth="1"/>
    <col min="4" max="4" width="20.5" style="168" customWidth="1"/>
    <col min="5" max="5" width="25.25" style="168" customWidth="1"/>
    <col min="6" max="8" width="22.375" style="168" customWidth="1"/>
    <col min="9" max="9" width="9.5" style="168" customWidth="1"/>
    <col min="10" max="10" width="7.5" style="168" hidden="1" customWidth="1"/>
    <col min="11" max="11" width="13.25" style="168" customWidth="1"/>
    <col min="12" max="12" width="14.75" style="168" customWidth="1"/>
    <col min="13" max="13" width="7" style="168" hidden="1" customWidth="1"/>
    <col min="14" max="14" width="10.5" style="168" hidden="1" customWidth="1"/>
    <col min="15" max="15" width="10.625" style="168" hidden="1" customWidth="1"/>
    <col min="16" max="16" width="15.5" style="168" customWidth="1"/>
    <col min="17" max="17" width="15.5" style="168" hidden="1" customWidth="1"/>
    <col min="18" max="18" width="8.75" style="168" hidden="1" customWidth="1"/>
    <col min="19" max="19" width="10.5" style="168" hidden="1" customWidth="1"/>
    <col min="20" max="21" width="12.625" style="168" customWidth="1"/>
    <col min="22" max="23" width="8.75" style="168"/>
    <col min="24" max="24" width="12.375" style="168" hidden="1" customWidth="1"/>
    <col min="25" max="25" width="15.125" style="168" customWidth="1"/>
    <col min="26" max="16384" width="8.75" style="168"/>
  </cols>
  <sheetData>
    <row r="1" spans="1:28" x14ac:dyDescent="0.2">
      <c r="A1" s="167"/>
      <c r="J1" s="168" t="s">
        <v>103</v>
      </c>
      <c r="M1" s="168" t="s">
        <v>103</v>
      </c>
      <c r="O1" s="168" t="s">
        <v>103</v>
      </c>
      <c r="Q1" s="168" t="s">
        <v>103</v>
      </c>
      <c r="R1" s="168" t="s">
        <v>103</v>
      </c>
      <c r="S1" s="168" t="s">
        <v>103</v>
      </c>
      <c r="X1" s="168" t="s">
        <v>103</v>
      </c>
    </row>
    <row r="2" spans="1:28" ht="9.75" customHeight="1" x14ac:dyDescent="0.2"/>
    <row r="3" spans="1:28" ht="34.5" customHeight="1" x14ac:dyDescent="0.35">
      <c r="B3" s="625" t="s">
        <v>39</v>
      </c>
      <c r="C3" s="625"/>
      <c r="D3" s="625"/>
      <c r="E3" s="625"/>
      <c r="F3" s="625"/>
      <c r="G3" s="625"/>
      <c r="H3" s="625"/>
      <c r="I3" s="625"/>
      <c r="J3" s="625"/>
    </row>
    <row r="4" spans="1:28" ht="28.9" customHeight="1" x14ac:dyDescent="0.2">
      <c r="B4" s="626" t="s">
        <v>106</v>
      </c>
      <c r="C4" s="626"/>
      <c r="D4" s="626"/>
      <c r="E4" s="626"/>
      <c r="F4" s="626"/>
      <c r="G4" s="626"/>
      <c r="H4" s="626"/>
      <c r="I4" s="626"/>
      <c r="J4" s="626"/>
    </row>
    <row r="5" spans="1:28" ht="14.1" hidden="1" customHeight="1" x14ac:dyDescent="0.2">
      <c r="B5" s="360"/>
      <c r="C5" s="360"/>
      <c r="D5" s="360"/>
      <c r="E5" s="360"/>
      <c r="F5" s="360"/>
      <c r="G5" s="360"/>
      <c r="H5" s="360"/>
      <c r="I5" s="360"/>
      <c r="J5" s="360"/>
      <c r="K5" s="169"/>
      <c r="L5" s="169"/>
    </row>
    <row r="6" spans="1:28" ht="28.9" hidden="1" customHeight="1" thickBot="1" x14ac:dyDescent="0.25">
      <c r="B6" s="626" t="s">
        <v>182</v>
      </c>
      <c r="C6" s="626"/>
      <c r="D6" s="626"/>
      <c r="E6" s="626"/>
      <c r="F6" s="626"/>
      <c r="G6" s="626"/>
      <c r="H6" s="626"/>
      <c r="I6" s="626"/>
      <c r="J6" s="626"/>
      <c r="K6" s="626"/>
      <c r="L6" s="626"/>
      <c r="M6" s="626"/>
      <c r="N6" s="626"/>
      <c r="O6" s="626"/>
      <c r="P6" s="626"/>
      <c r="Q6" s="626"/>
      <c r="R6" s="626"/>
      <c r="S6" s="626"/>
      <c r="T6" s="626"/>
      <c r="U6" s="626"/>
      <c r="V6" s="626"/>
      <c r="W6" s="626"/>
      <c r="X6" s="626"/>
      <c r="Y6" s="626"/>
      <c r="Z6" s="626"/>
      <c r="AA6" s="626"/>
      <c r="AB6" s="626"/>
    </row>
    <row r="7" spans="1:28" ht="9" customHeight="1" thickBot="1" x14ac:dyDescent="0.3">
      <c r="B7" s="170"/>
      <c r="C7" s="170"/>
      <c r="D7" s="170"/>
      <c r="E7" s="170"/>
    </row>
    <row r="8" spans="1:28" s="171" customFormat="1" ht="24.75" customHeight="1" thickBot="1" x14ac:dyDescent="0.25">
      <c r="B8" s="645" t="s">
        <v>125</v>
      </c>
      <c r="C8" s="684" t="s">
        <v>194</v>
      </c>
      <c r="D8" s="685"/>
      <c r="E8" s="685"/>
      <c r="F8" s="685"/>
      <c r="G8" s="685"/>
      <c r="H8" s="685"/>
      <c r="I8" s="685"/>
      <c r="J8" s="685"/>
      <c r="K8" s="685"/>
      <c r="L8" s="685"/>
      <c r="M8" s="685"/>
      <c r="N8" s="685"/>
      <c r="O8" s="685"/>
      <c r="P8" s="686"/>
      <c r="Q8" s="687" t="s">
        <v>123</v>
      </c>
      <c r="R8" s="688"/>
      <c r="S8" s="688"/>
      <c r="T8" s="688"/>
      <c r="U8" s="688"/>
      <c r="V8" s="688"/>
      <c r="W8" s="689"/>
      <c r="Y8" s="645" t="s">
        <v>124</v>
      </c>
    </row>
    <row r="9" spans="1:28" s="171" customFormat="1" ht="57" customHeight="1" thickBot="1" x14ac:dyDescent="0.25">
      <c r="B9" s="663"/>
      <c r="C9" s="339" t="s">
        <v>57</v>
      </c>
      <c r="D9" s="217" t="s">
        <v>126</v>
      </c>
      <c r="E9" s="175" t="s">
        <v>127</v>
      </c>
      <c r="F9" s="175" t="s">
        <v>195</v>
      </c>
      <c r="G9" s="175" t="s">
        <v>196</v>
      </c>
      <c r="H9" s="175" t="s">
        <v>197</v>
      </c>
      <c r="I9" s="205" t="s">
        <v>148</v>
      </c>
      <c r="J9" s="205" t="s">
        <v>128</v>
      </c>
      <c r="K9" s="174" t="s">
        <v>70</v>
      </c>
      <c r="L9" s="176" t="s">
        <v>198</v>
      </c>
      <c r="M9" s="217" t="s">
        <v>131</v>
      </c>
      <c r="N9" s="217" t="s">
        <v>199</v>
      </c>
      <c r="O9" s="175" t="s">
        <v>200</v>
      </c>
      <c r="P9" s="296" t="s">
        <v>201</v>
      </c>
      <c r="Q9" s="457" t="s">
        <v>202</v>
      </c>
      <c r="R9" s="457" t="s">
        <v>135</v>
      </c>
      <c r="S9" s="423" t="s">
        <v>136</v>
      </c>
      <c r="T9" s="421" t="s">
        <v>86</v>
      </c>
      <c r="U9" s="495" t="s">
        <v>528</v>
      </c>
      <c r="V9" s="314" t="s">
        <v>113</v>
      </c>
      <c r="W9" s="220" t="s">
        <v>114</v>
      </c>
      <c r="X9" s="204" t="s">
        <v>116</v>
      </c>
      <c r="Y9" s="646" t="s">
        <v>192</v>
      </c>
    </row>
    <row r="10" spans="1:28" s="171" customFormat="1" ht="22.15" customHeight="1" x14ac:dyDescent="0.2">
      <c r="B10" s="178">
        <v>1</v>
      </c>
      <c r="C10" s="340"/>
      <c r="D10" s="200"/>
      <c r="E10" s="104"/>
      <c r="F10" s="104"/>
      <c r="G10" s="104"/>
      <c r="H10" s="104"/>
      <c r="I10" s="336"/>
      <c r="J10" s="346" t="str">
        <f>IFERROR(VLOOKUP(F10,'Lookup Table'!$K$3:$L$7,2,0),"")</f>
        <v/>
      </c>
      <c r="K10" s="368"/>
      <c r="L10" s="323"/>
      <c r="M10" s="347" t="str">
        <f>IFERROR(VLOOKUP(_xlfn.CONCAT('Project Summary'!$C$13:$D$13, " ", 'Project Summary'!$C$14:$D$14),'Lookup Table'!$D$74:$I$190,VLOOKUP(F10, 'Lookup Table'!$B$237:$C$241,2,FALSE),FALSE), " ")</f>
        <v xml:space="preserve"> </v>
      </c>
      <c r="N10" s="418" t="str">
        <f>IFERROR(VLOOKUP('Project Summary'!$C$14,'Lookup Table'!$AB$68:$AD$80,2,FALSE), " ")</f>
        <v xml:space="preserve"> </v>
      </c>
      <c r="O10" s="416" t="str">
        <f>IFERROR(VLOOKUP('Project Summary'!$C$14,'Lookup Table'!$AB$68:$AD$80,3,FALSE), " ")</f>
        <v xml:space="preserve"> </v>
      </c>
      <c r="P10" s="349"/>
      <c r="Q10" s="348" t="e">
        <f>INDEX('Lookup Table'!$M$299:$N$305,MATCH('High Efficiency Pumps'!G10,'Lookup Table'!$L$299:$L$305,0),MATCH('High Efficiency Pumps'!H10,'Lookup Table'!$M$298:$N$298,0))</f>
        <v>#N/A</v>
      </c>
      <c r="R10" s="180" t="str">
        <f t="shared" ref="R10:R19" si="0">IFERROR(I10*0.746*K10*J10/L10*Q10*M10,"")</f>
        <v/>
      </c>
      <c r="S10" s="179" t="str">
        <f t="shared" ref="S10:S19" si="1">IFERROR(I10*0.746*K10*J10/L10*P10*M10,"")</f>
        <v/>
      </c>
      <c r="T10" s="297">
        <f>IFERROR(IF(OR(ISBLANK(P10),P10=0),0,ROUND(R10-S10,2)),0)</f>
        <v>0</v>
      </c>
      <c r="U10" s="497">
        <f>IFERROR(AVERAGE(V10:W10),0)</f>
        <v>0</v>
      </c>
      <c r="V10" s="355">
        <f>IFERROR(T10*N10,0)</f>
        <v>0</v>
      </c>
      <c r="W10" s="298">
        <f>IFERROR(T10*O10,0)</f>
        <v>0</v>
      </c>
      <c r="X10" s="171">
        <f>IFERROR(ROUND(T10*'Lookup Table'!$E$19+AVERAGE(V10,W10)*'Lookup Table'!$E$20,2),"")</f>
        <v>0</v>
      </c>
      <c r="Y10" s="260" t="str">
        <f>IFERROR('Project Summary'!$H$23*('High Efficiency Pumps'!X10/'Project Summary'!$G$23),"")</f>
        <v/>
      </c>
    </row>
    <row r="11" spans="1:28" s="171" customFormat="1" ht="22.15" customHeight="1" x14ac:dyDescent="0.2">
      <c r="B11" s="182">
        <v>2</v>
      </c>
      <c r="C11" s="341"/>
      <c r="D11" s="202"/>
      <c r="E11" s="96"/>
      <c r="F11" s="96"/>
      <c r="G11" s="96"/>
      <c r="H11" s="96"/>
      <c r="I11" s="344"/>
      <c r="J11" s="334" t="str">
        <f>IFERROR(VLOOKUP(F11,'Lookup Table'!$K$3:$L$7,2,0),"")</f>
        <v/>
      </c>
      <c r="K11" s="368"/>
      <c r="L11" s="323"/>
      <c r="M11" s="347" t="str">
        <f>IFERROR(VLOOKUP(_xlfn.CONCAT('Project Summary'!$C$13:$D$13, " ", 'Project Summary'!$C$14:$D$14),'Lookup Table'!$D$74:$I$190,VLOOKUP(F11, 'Lookup Table'!$B$237:$C$241,2,FALSE),FALSE), " ")</f>
        <v xml:space="preserve"> </v>
      </c>
      <c r="N11" s="418" t="str">
        <f>IFERROR(VLOOKUP('Project Summary'!$C$14,'Lookup Table'!$AB$68:$AD$80,2,FALSE), " ")</f>
        <v xml:space="preserve"> </v>
      </c>
      <c r="O11" s="416" t="str">
        <f>IFERROR(VLOOKUP('Project Summary'!$C$14,'Lookup Table'!$AB$68:$AD$80,3,FALSE), " ")</f>
        <v xml:space="preserve"> </v>
      </c>
      <c r="P11" s="350"/>
      <c r="Q11" s="337" t="e">
        <f>INDEX('Lookup Table'!$M$299:$N$305,MATCH('High Efficiency Pumps'!G11,'Lookup Table'!$L$299:$L$305,0),MATCH('High Efficiency Pumps'!H11,'Lookup Table'!$M$298:$N$298,0))</f>
        <v>#N/A</v>
      </c>
      <c r="R11" s="185" t="str">
        <f t="shared" si="0"/>
        <v/>
      </c>
      <c r="S11" s="184" t="str">
        <f t="shared" si="1"/>
        <v/>
      </c>
      <c r="T11" s="185">
        <f t="shared" ref="T11:T19" si="2">IFERROR(IF(OR(ISBLANK(P11),P11=0),0,ROUND(R11-S11,2)),0)</f>
        <v>0</v>
      </c>
      <c r="U11" s="496">
        <f t="shared" ref="U11:U19" si="3">IFERROR(AVERAGE(V11:W11),0)</f>
        <v>0</v>
      </c>
      <c r="V11" s="186">
        <f t="shared" ref="V11:V19" si="4">IFERROR(T11*N11,0)</f>
        <v>0</v>
      </c>
      <c r="W11" s="373">
        <f t="shared" ref="W11:W19" si="5">IFERROR(T11*O11,0)</f>
        <v>0</v>
      </c>
      <c r="X11" s="171">
        <f>IFERROR(ROUND(T11*'Lookup Table'!$E$19+AVERAGE(V11,W11)*'Lookup Table'!$E$20,2),"")</f>
        <v>0</v>
      </c>
      <c r="Y11" s="261" t="str">
        <f>IFERROR('Project Summary'!$H$23*('High Efficiency Pumps'!X11/'Project Summary'!$G$23),"")</f>
        <v/>
      </c>
    </row>
    <row r="12" spans="1:28" s="171" customFormat="1" ht="22.15" customHeight="1" x14ac:dyDescent="0.2">
      <c r="B12" s="182">
        <v>3</v>
      </c>
      <c r="C12" s="341"/>
      <c r="D12" s="202"/>
      <c r="E12" s="96"/>
      <c r="F12" s="96"/>
      <c r="G12" s="96"/>
      <c r="H12" s="96"/>
      <c r="I12" s="344"/>
      <c r="J12" s="334" t="str">
        <f>IFERROR(VLOOKUP(F12,'Lookup Table'!$K$3:$L$7,2,0),"")</f>
        <v/>
      </c>
      <c r="K12" s="368"/>
      <c r="L12" s="323"/>
      <c r="M12" s="347" t="str">
        <f>IFERROR(VLOOKUP(_xlfn.CONCAT('Project Summary'!$C$13:$D$13, " ", 'Project Summary'!$C$14:$D$14),'Lookup Table'!$D$74:$I$190,VLOOKUP(F12, 'Lookup Table'!$B$237:$C$241,2,FALSE),FALSE), " ")</f>
        <v xml:space="preserve"> </v>
      </c>
      <c r="N12" s="418" t="str">
        <f>IFERROR(VLOOKUP('Project Summary'!$C$14,'Lookup Table'!$AB$68:$AD$80,2,FALSE), " ")</f>
        <v xml:space="preserve"> </v>
      </c>
      <c r="O12" s="416" t="str">
        <f>IFERROR(VLOOKUP('Project Summary'!$C$14,'Lookup Table'!$AB$68:$AD$80,3,FALSE), " ")</f>
        <v xml:space="preserve"> </v>
      </c>
      <c r="P12" s="350"/>
      <c r="Q12" s="337" t="e">
        <f>INDEX('Lookup Table'!$M$299:$N$305,MATCH('High Efficiency Pumps'!G12,'Lookup Table'!$L$299:$L$305,0),MATCH('High Efficiency Pumps'!H12,'Lookup Table'!$M$298:$N$298,0))</f>
        <v>#N/A</v>
      </c>
      <c r="R12" s="185" t="str">
        <f t="shared" si="0"/>
        <v/>
      </c>
      <c r="S12" s="184" t="str">
        <f t="shared" si="1"/>
        <v/>
      </c>
      <c r="T12" s="185">
        <f t="shared" si="2"/>
        <v>0</v>
      </c>
      <c r="U12" s="496">
        <f t="shared" si="3"/>
        <v>0</v>
      </c>
      <c r="V12" s="186">
        <f t="shared" si="4"/>
        <v>0</v>
      </c>
      <c r="W12" s="373">
        <f t="shared" si="5"/>
        <v>0</v>
      </c>
      <c r="X12" s="171">
        <f>IFERROR(ROUND(T12*'Lookup Table'!$E$19+AVERAGE(V12,W12)*'Lookup Table'!$E$20,2),"")</f>
        <v>0</v>
      </c>
      <c r="Y12" s="261" t="str">
        <f>IFERROR('Project Summary'!$H$23*('High Efficiency Pumps'!X12/'Project Summary'!$G$23),"")</f>
        <v/>
      </c>
    </row>
    <row r="13" spans="1:28" s="171" customFormat="1" ht="22.15" customHeight="1" x14ac:dyDescent="0.2">
      <c r="B13" s="182">
        <v>4</v>
      </c>
      <c r="C13" s="342"/>
      <c r="D13" s="202"/>
      <c r="E13" s="96"/>
      <c r="F13" s="96"/>
      <c r="G13" s="96"/>
      <c r="H13" s="96"/>
      <c r="I13" s="344"/>
      <c r="J13" s="334" t="str">
        <f>IFERROR(VLOOKUP(F13,'Lookup Table'!$K$3:$L$7,2,0),"")</f>
        <v/>
      </c>
      <c r="K13" s="368"/>
      <c r="L13" s="323"/>
      <c r="M13" s="347" t="str">
        <f>IFERROR(VLOOKUP(_xlfn.CONCAT('Project Summary'!$C$13:$D$13, " ", 'Project Summary'!$C$14:$D$14),'Lookup Table'!$D$74:$I$190,VLOOKUP(F13, 'Lookup Table'!$B$237:$C$241,2,FALSE),FALSE), " ")</f>
        <v xml:space="preserve"> </v>
      </c>
      <c r="N13" s="418" t="str">
        <f>IFERROR(VLOOKUP('Project Summary'!$C$14,'Lookup Table'!$AB$68:$AD$80,2,FALSE), " ")</f>
        <v xml:space="preserve"> </v>
      </c>
      <c r="O13" s="416" t="str">
        <f>IFERROR(VLOOKUP('Project Summary'!$C$14,'Lookup Table'!$AB$68:$AD$80,3,FALSE), " ")</f>
        <v xml:space="preserve"> </v>
      </c>
      <c r="P13" s="350"/>
      <c r="Q13" s="337" t="e">
        <f>INDEX('Lookup Table'!$M$299:$N$305,MATCH('High Efficiency Pumps'!G13,'Lookup Table'!$L$299:$L$305,0),MATCH('High Efficiency Pumps'!H13,'Lookup Table'!$M$298:$N$298,0))</f>
        <v>#N/A</v>
      </c>
      <c r="R13" s="185" t="str">
        <f t="shared" si="0"/>
        <v/>
      </c>
      <c r="S13" s="184" t="str">
        <f t="shared" si="1"/>
        <v/>
      </c>
      <c r="T13" s="185">
        <f t="shared" si="2"/>
        <v>0</v>
      </c>
      <c r="U13" s="496">
        <f t="shared" si="3"/>
        <v>0</v>
      </c>
      <c r="V13" s="186">
        <f t="shared" si="4"/>
        <v>0</v>
      </c>
      <c r="W13" s="373">
        <f t="shared" si="5"/>
        <v>0</v>
      </c>
      <c r="X13" s="171">
        <f>IFERROR(ROUND(T13*'Lookup Table'!$E$19+AVERAGE(V13,W13)*'Lookup Table'!$E$20,2),"")</f>
        <v>0</v>
      </c>
      <c r="Y13" s="261" t="str">
        <f>IFERROR('Project Summary'!$H$23*('High Efficiency Pumps'!X13/'Project Summary'!$G$23),"")</f>
        <v/>
      </c>
    </row>
    <row r="14" spans="1:28" s="171" customFormat="1" ht="22.15" customHeight="1" x14ac:dyDescent="0.2">
      <c r="B14" s="182">
        <v>5</v>
      </c>
      <c r="C14" s="342"/>
      <c r="D14" s="202"/>
      <c r="E14" s="96"/>
      <c r="F14" s="96"/>
      <c r="G14" s="96"/>
      <c r="H14" s="96"/>
      <c r="I14" s="344"/>
      <c r="J14" s="334" t="str">
        <f>IFERROR(VLOOKUP(F14,'Lookup Table'!$K$3:$L$7,2,0),"")</f>
        <v/>
      </c>
      <c r="K14" s="368"/>
      <c r="L14" s="323"/>
      <c r="M14" s="347" t="str">
        <f>IFERROR(VLOOKUP(_xlfn.CONCAT('Project Summary'!$C$13:$D$13, " ", 'Project Summary'!$C$14:$D$14),'Lookup Table'!$D$74:$I$190,VLOOKUP(F14, 'Lookup Table'!$B$237:$C$241,2,FALSE),FALSE), " ")</f>
        <v xml:space="preserve"> </v>
      </c>
      <c r="N14" s="418" t="str">
        <f>IFERROR(VLOOKUP('Project Summary'!$C$14,'Lookup Table'!$AB$68:$AD$80,2,FALSE), " ")</f>
        <v xml:space="preserve"> </v>
      </c>
      <c r="O14" s="416" t="str">
        <f>IFERROR(VLOOKUP('Project Summary'!$C$14,'Lookup Table'!$AB$68:$AD$80,3,FALSE), " ")</f>
        <v xml:space="preserve"> </v>
      </c>
      <c r="P14" s="350"/>
      <c r="Q14" s="337" t="e">
        <f>INDEX('Lookup Table'!$M$299:$N$305,MATCH('High Efficiency Pumps'!G14,'Lookup Table'!$L$299:$L$305,0),MATCH('High Efficiency Pumps'!H14,'Lookup Table'!$M$298:$N$298,0))</f>
        <v>#N/A</v>
      </c>
      <c r="R14" s="185" t="str">
        <f t="shared" si="0"/>
        <v/>
      </c>
      <c r="S14" s="184" t="str">
        <f t="shared" si="1"/>
        <v/>
      </c>
      <c r="T14" s="185">
        <f t="shared" si="2"/>
        <v>0</v>
      </c>
      <c r="U14" s="496">
        <f t="shared" si="3"/>
        <v>0</v>
      </c>
      <c r="V14" s="186">
        <f t="shared" si="4"/>
        <v>0</v>
      </c>
      <c r="W14" s="373">
        <f t="shared" si="5"/>
        <v>0</v>
      </c>
      <c r="X14" s="171">
        <f>IFERROR(ROUND(T14*'Lookup Table'!$E$19+AVERAGE(V14,W14)*'Lookup Table'!$E$20,2),"")</f>
        <v>0</v>
      </c>
      <c r="Y14" s="261" t="str">
        <f>IFERROR('Project Summary'!$H$23*('High Efficiency Pumps'!X14/'Project Summary'!$G$23),"")</f>
        <v/>
      </c>
    </row>
    <row r="15" spans="1:28" s="171" customFormat="1" ht="22.15" customHeight="1" x14ac:dyDescent="0.2">
      <c r="B15" s="182">
        <v>6</v>
      </c>
      <c r="C15" s="342"/>
      <c r="D15" s="202"/>
      <c r="E15" s="96"/>
      <c r="F15" s="96"/>
      <c r="G15" s="96"/>
      <c r="H15" s="96"/>
      <c r="I15" s="344"/>
      <c r="J15" s="334" t="str">
        <f>IFERROR(VLOOKUP(F15,'Lookup Table'!$K$3:$L$7,2,0),"")</f>
        <v/>
      </c>
      <c r="K15" s="368"/>
      <c r="L15" s="323"/>
      <c r="M15" s="347" t="str">
        <f>IFERROR(VLOOKUP(_xlfn.CONCAT('Project Summary'!$C$13:$D$13, " ", 'Project Summary'!$C$14:$D$14),'Lookup Table'!$D$74:$I$190,VLOOKUP(F15, 'Lookup Table'!$B$237:$C$241,2,FALSE),FALSE), " ")</f>
        <v xml:space="preserve"> </v>
      </c>
      <c r="N15" s="418" t="str">
        <f>IFERROR(VLOOKUP('Project Summary'!$C$14,'Lookup Table'!$AB$68:$AD$80,2,FALSE), " ")</f>
        <v xml:space="preserve"> </v>
      </c>
      <c r="O15" s="416" t="str">
        <f>IFERROR(VLOOKUP('Project Summary'!$C$14,'Lookup Table'!$AB$68:$AD$80,3,FALSE), " ")</f>
        <v xml:space="preserve"> </v>
      </c>
      <c r="P15" s="349"/>
      <c r="Q15" s="337" t="e">
        <f>INDEX('Lookup Table'!$M$299:$N$305,MATCH('High Efficiency Pumps'!G15,'Lookup Table'!$L$299:$L$305,0),MATCH('High Efficiency Pumps'!H15,'Lookup Table'!$M$298:$N$298,0))</f>
        <v>#N/A</v>
      </c>
      <c r="R15" s="185" t="str">
        <f t="shared" si="0"/>
        <v/>
      </c>
      <c r="S15" s="184" t="str">
        <f t="shared" si="1"/>
        <v/>
      </c>
      <c r="T15" s="185">
        <f t="shared" si="2"/>
        <v>0</v>
      </c>
      <c r="U15" s="496">
        <f t="shared" si="3"/>
        <v>0</v>
      </c>
      <c r="V15" s="186">
        <f t="shared" si="4"/>
        <v>0</v>
      </c>
      <c r="W15" s="373">
        <f t="shared" si="5"/>
        <v>0</v>
      </c>
      <c r="X15" s="171">
        <f>IFERROR(ROUND(T15*'Lookup Table'!$E$19+AVERAGE(V15,W15)*'Lookup Table'!$E$20,2),"")</f>
        <v>0</v>
      </c>
      <c r="Y15" s="261" t="str">
        <f>IFERROR('Project Summary'!$H$23*('High Efficiency Pumps'!X15/'Project Summary'!$G$23),"")</f>
        <v/>
      </c>
    </row>
    <row r="16" spans="1:28" s="171" customFormat="1" ht="22.15" customHeight="1" x14ac:dyDescent="0.2">
      <c r="B16" s="182">
        <v>7</v>
      </c>
      <c r="C16" s="342"/>
      <c r="D16" s="202"/>
      <c r="E16" s="96"/>
      <c r="F16" s="96"/>
      <c r="G16" s="96"/>
      <c r="H16" s="96"/>
      <c r="I16" s="344"/>
      <c r="J16" s="334" t="str">
        <f>IFERROR(VLOOKUP(F16,'Lookup Table'!$K$3:$L$7,2,0),"")</f>
        <v/>
      </c>
      <c r="K16" s="368"/>
      <c r="L16" s="323"/>
      <c r="M16" s="347" t="str">
        <f>IFERROR(VLOOKUP(_xlfn.CONCAT('Project Summary'!$C$13:$D$13, " ", 'Project Summary'!$C$14:$D$14),'Lookup Table'!$D$74:$I$190,VLOOKUP(F16, 'Lookup Table'!$B$237:$C$241,2,FALSE),FALSE), " ")</f>
        <v xml:space="preserve"> </v>
      </c>
      <c r="N16" s="418" t="str">
        <f>IFERROR(VLOOKUP('Project Summary'!$C$14,'Lookup Table'!$AB$68:$AD$80,2,FALSE), " ")</f>
        <v xml:space="preserve"> </v>
      </c>
      <c r="O16" s="416" t="str">
        <f>IFERROR(VLOOKUP('Project Summary'!$C$14,'Lookup Table'!$AB$68:$AD$80,3,FALSE), " ")</f>
        <v xml:space="preserve"> </v>
      </c>
      <c r="P16" s="350"/>
      <c r="Q16" s="337" t="e">
        <f>INDEX('Lookup Table'!$M$299:$N$305,MATCH('High Efficiency Pumps'!G16,'Lookup Table'!$L$299:$L$305,0),MATCH('High Efficiency Pumps'!H16,'Lookup Table'!$M$298:$N$298,0))</f>
        <v>#N/A</v>
      </c>
      <c r="R16" s="185" t="str">
        <f t="shared" si="0"/>
        <v/>
      </c>
      <c r="S16" s="184" t="str">
        <f t="shared" si="1"/>
        <v/>
      </c>
      <c r="T16" s="185">
        <f t="shared" si="2"/>
        <v>0</v>
      </c>
      <c r="U16" s="496">
        <f t="shared" si="3"/>
        <v>0</v>
      </c>
      <c r="V16" s="186">
        <f t="shared" si="4"/>
        <v>0</v>
      </c>
      <c r="W16" s="373">
        <f t="shared" si="5"/>
        <v>0</v>
      </c>
      <c r="X16" s="171">
        <f>IFERROR(ROUND(T16*'Lookup Table'!$E$19+AVERAGE(V16,W16)*'Lookup Table'!$E$20,2),"")</f>
        <v>0</v>
      </c>
      <c r="Y16" s="261" t="str">
        <f>IFERROR('Project Summary'!$H$23*('High Efficiency Pumps'!X16/'Project Summary'!$G$23),"")</f>
        <v/>
      </c>
    </row>
    <row r="17" spans="2:25" s="171" customFormat="1" ht="22.15" customHeight="1" x14ac:dyDescent="0.2">
      <c r="B17" s="182">
        <v>8</v>
      </c>
      <c r="C17" s="342"/>
      <c r="D17" s="202"/>
      <c r="E17" s="96"/>
      <c r="F17" s="96"/>
      <c r="G17" s="96"/>
      <c r="H17" s="96"/>
      <c r="I17" s="344"/>
      <c r="J17" s="334" t="str">
        <f>IFERROR(VLOOKUP(F17,'Lookup Table'!$K$3:$L$7,2,0),"")</f>
        <v/>
      </c>
      <c r="K17" s="368"/>
      <c r="L17" s="323"/>
      <c r="M17" s="347" t="str">
        <f>IFERROR(VLOOKUP(_xlfn.CONCAT('Project Summary'!$C$13:$D$13, " ", 'Project Summary'!$C$14:$D$14),'Lookup Table'!$D$74:$I$190,VLOOKUP(F17, 'Lookup Table'!$B$237:$C$241,2,FALSE),FALSE), " ")</f>
        <v xml:space="preserve"> </v>
      </c>
      <c r="N17" s="418" t="str">
        <f>IFERROR(VLOOKUP('Project Summary'!$C$14,'Lookup Table'!$AB$68:$AD$80,2,FALSE), " ")</f>
        <v xml:space="preserve"> </v>
      </c>
      <c r="O17" s="416" t="str">
        <f>IFERROR(VLOOKUP('Project Summary'!$C$14,'Lookup Table'!$AB$68:$AD$80,3,FALSE), " ")</f>
        <v xml:space="preserve"> </v>
      </c>
      <c r="P17" s="350"/>
      <c r="Q17" s="337" t="e">
        <f>INDEX('Lookup Table'!$M$299:$N$305,MATCH('High Efficiency Pumps'!G17,'Lookup Table'!$L$299:$L$305,0),MATCH('High Efficiency Pumps'!H17,'Lookup Table'!$M$298:$N$298,0))</f>
        <v>#N/A</v>
      </c>
      <c r="R17" s="185" t="str">
        <f t="shared" si="0"/>
        <v/>
      </c>
      <c r="S17" s="184" t="str">
        <f t="shared" si="1"/>
        <v/>
      </c>
      <c r="T17" s="185">
        <f t="shared" si="2"/>
        <v>0</v>
      </c>
      <c r="U17" s="496">
        <f t="shared" si="3"/>
        <v>0</v>
      </c>
      <c r="V17" s="186">
        <f t="shared" si="4"/>
        <v>0</v>
      </c>
      <c r="W17" s="373">
        <f t="shared" si="5"/>
        <v>0</v>
      </c>
      <c r="X17" s="171">
        <f>IFERROR(ROUND(T17*'Lookup Table'!$E$19+AVERAGE(V17,W17)*'Lookup Table'!$E$20,2),"")</f>
        <v>0</v>
      </c>
      <c r="Y17" s="261" t="str">
        <f>IFERROR('Project Summary'!$H$23*('High Efficiency Pumps'!X17/'Project Summary'!$G$23),"")</f>
        <v/>
      </c>
    </row>
    <row r="18" spans="2:25" s="171" customFormat="1" ht="21.75" customHeight="1" x14ac:dyDescent="0.2">
      <c r="B18" s="182">
        <v>9</v>
      </c>
      <c r="C18" s="341"/>
      <c r="D18" s="202"/>
      <c r="E18" s="96"/>
      <c r="F18" s="96"/>
      <c r="G18" s="96"/>
      <c r="H18" s="96"/>
      <c r="I18" s="344"/>
      <c r="J18" s="334" t="str">
        <f>IFERROR(VLOOKUP(F18,'Lookup Table'!$K$3:$L$7,2,0),"")</f>
        <v/>
      </c>
      <c r="K18" s="368"/>
      <c r="L18" s="323"/>
      <c r="M18" s="347" t="str">
        <f>IFERROR(VLOOKUP(_xlfn.CONCAT('Project Summary'!$C$13:$D$13, " ", 'Project Summary'!$C$14:$D$14),'Lookup Table'!$D$74:$I$190,VLOOKUP(F18, 'Lookup Table'!$B$237:$C$241,2,FALSE),FALSE), " ")</f>
        <v xml:space="preserve"> </v>
      </c>
      <c r="N18" s="418" t="str">
        <f>IFERROR(VLOOKUP('Project Summary'!$C$14,'Lookup Table'!$AB$68:$AD$80,2,FALSE), " ")</f>
        <v xml:space="preserve"> </v>
      </c>
      <c r="O18" s="416" t="str">
        <f>IFERROR(VLOOKUP('Project Summary'!$C$14,'Lookup Table'!$AB$68:$AD$80,3,FALSE), " ")</f>
        <v xml:space="preserve"> </v>
      </c>
      <c r="P18" s="350"/>
      <c r="Q18" s="337" t="e">
        <f>INDEX('Lookup Table'!$M$299:$N$305,MATCH('High Efficiency Pumps'!G18,'Lookup Table'!$L$299:$L$305,0),MATCH('High Efficiency Pumps'!H18,'Lookup Table'!$M$298:$N$298,0))</f>
        <v>#N/A</v>
      </c>
      <c r="R18" s="185" t="str">
        <f t="shared" si="0"/>
        <v/>
      </c>
      <c r="S18" s="184" t="str">
        <f t="shared" si="1"/>
        <v/>
      </c>
      <c r="T18" s="185">
        <f t="shared" si="2"/>
        <v>0</v>
      </c>
      <c r="U18" s="496">
        <f t="shared" si="3"/>
        <v>0</v>
      </c>
      <c r="V18" s="186">
        <f t="shared" si="4"/>
        <v>0</v>
      </c>
      <c r="W18" s="373">
        <f t="shared" si="5"/>
        <v>0</v>
      </c>
      <c r="X18" s="171">
        <f>IFERROR(ROUND(T18*'Lookup Table'!$E$19+AVERAGE(V18,W18)*'Lookup Table'!$E$20,2),"")</f>
        <v>0</v>
      </c>
      <c r="Y18" s="261" t="str">
        <f>IFERROR('Project Summary'!$H$23*('High Efficiency Pumps'!X18/'Project Summary'!$G$23),"")</f>
        <v/>
      </c>
    </row>
    <row r="19" spans="2:25" s="171" customFormat="1" ht="21.75" customHeight="1" thickBot="1" x14ac:dyDescent="0.25">
      <c r="B19" s="188">
        <v>10</v>
      </c>
      <c r="C19" s="343"/>
      <c r="D19" s="203"/>
      <c r="E19" s="198"/>
      <c r="F19" s="198"/>
      <c r="G19" s="198"/>
      <c r="H19" s="198"/>
      <c r="I19" s="345"/>
      <c r="J19" s="334" t="str">
        <f>IFERROR(VLOOKUP(F19,'Lookup Table'!$K$3:$L$7,2,0),"")</f>
        <v/>
      </c>
      <c r="K19" s="369"/>
      <c r="L19" s="312"/>
      <c r="M19" s="347" t="str">
        <f>IFERROR(VLOOKUP(_xlfn.CONCAT('Project Summary'!$C$13:$D$13, " ", 'Project Summary'!$C$14:$D$14),'Lookup Table'!$D$74:$I$190,VLOOKUP(F19, 'Lookup Table'!$B$237:$C$241,2,FALSE),FALSE), " ")</f>
        <v xml:space="preserve"> </v>
      </c>
      <c r="N19" s="417" t="str">
        <f>IFERROR(VLOOKUP('Project Summary'!$C$14,'Lookup Table'!$AB$68:$AD$80,2,FALSE), " ")</f>
        <v xml:space="preserve"> </v>
      </c>
      <c r="O19" s="417" t="str">
        <f>IFERROR(VLOOKUP('Project Summary'!$C$14,'Lookup Table'!$AB$68:$AD$80,3,FALSE), " ")</f>
        <v xml:space="preserve"> </v>
      </c>
      <c r="P19" s="351"/>
      <c r="Q19" s="338" t="e">
        <f>INDEX('Lookup Table'!$M$299:$N$305,MATCH('High Efficiency Pumps'!G19,'Lookup Table'!$L$299:$L$305,0),MATCH('High Efficiency Pumps'!H19,'Lookup Table'!$M$298:$N$298,0))</f>
        <v>#N/A</v>
      </c>
      <c r="R19" s="190" t="str">
        <f t="shared" si="0"/>
        <v/>
      </c>
      <c r="S19" s="189" t="str">
        <f t="shared" si="1"/>
        <v/>
      </c>
      <c r="T19" s="190">
        <f t="shared" si="2"/>
        <v>0</v>
      </c>
      <c r="U19" s="498">
        <f t="shared" si="3"/>
        <v>0</v>
      </c>
      <c r="V19" s="191">
        <f t="shared" si="4"/>
        <v>0</v>
      </c>
      <c r="W19" s="374">
        <f t="shared" si="5"/>
        <v>0</v>
      </c>
      <c r="X19" s="171">
        <f>IFERROR(ROUND(T19*'Lookup Table'!$E$19+AVERAGE(V19,W19)*'Lookup Table'!$E$20,2),"")</f>
        <v>0</v>
      </c>
      <c r="Y19" s="262" t="str">
        <f>IFERROR('Project Summary'!$H$23*('High Efficiency Pumps'!X19/'Project Summary'!$G$23),"")</f>
        <v/>
      </c>
    </row>
    <row r="20" spans="2:25" s="171" customFormat="1" ht="22.15" customHeight="1" x14ac:dyDescent="0.2">
      <c r="B20" s="193"/>
      <c r="C20" s="194"/>
      <c r="D20" s="194"/>
      <c r="E20" s="194"/>
      <c r="F20" s="193"/>
      <c r="G20" s="193"/>
      <c r="H20" s="193"/>
    </row>
    <row r="21" spans="2:25" s="171" customFormat="1" ht="22.15" customHeight="1" x14ac:dyDescent="0.2">
      <c r="B21" s="193"/>
      <c r="C21" s="194"/>
      <c r="D21" s="194"/>
      <c r="E21" s="194"/>
      <c r="F21" s="193"/>
      <c r="G21" s="193"/>
      <c r="H21" s="193"/>
    </row>
    <row r="22" spans="2:25" ht="9" customHeight="1" x14ac:dyDescent="0.2"/>
    <row r="23" spans="2:25" x14ac:dyDescent="0.2">
      <c r="B23" s="195"/>
    </row>
  </sheetData>
  <sheetProtection algorithmName="SHA-512" hashValue="OrMRIcy/5mNW1oiHoTDDl7OSqHxyzlYxpz6ogdvtteyeziFXSUBNpwCpLK+EDvy4WgKQV7nbuZ1iwmVJ6+k78Q==" saltValue="yX7OikfwSos3Nm5B9o4KyQ==" spinCount="100000" sheet="1" formatColumns="0"/>
  <mergeCells count="7">
    <mergeCell ref="Y8:Y9"/>
    <mergeCell ref="B3:J3"/>
    <mergeCell ref="B4:J4"/>
    <mergeCell ref="C8:P8"/>
    <mergeCell ref="B8:B9"/>
    <mergeCell ref="B6:AB6"/>
    <mergeCell ref="Q8:W8"/>
  </mergeCells>
  <dataValidations count="1">
    <dataValidation type="list" allowBlank="1" showInputMessage="1" showErrorMessage="1" sqref="F10:F19" xr:uid="{034CF23F-63E9-41BA-B11F-EFC99C40226F}">
      <formula1>HVAC_Pump_Motor_Function</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7AFC15B7-C2B4-49B1-AC18-086C01C2B0E3}">
          <x14:formula1>
            <xm:f>'Lookup Table'!$L$299:$L$305</xm:f>
          </x14:formula1>
          <xm:sqref>G10:G19</xm:sqref>
        </x14:dataValidation>
        <x14:dataValidation type="list" allowBlank="1" showInputMessage="1" showErrorMessage="1" xr:uid="{99B2A8BA-263F-4E98-A257-68991FB780D8}">
          <x14:formula1>
            <xm:f>'Lookup Table'!$M$298:$N$298</xm:f>
          </x14:formula1>
          <xm:sqref>H10:H19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e486212-abdd-488a-bd93-e313ac9ef1c0">
      <Terms xmlns="http://schemas.microsoft.com/office/infopath/2007/PartnerControls"/>
    </lcf76f155ced4ddcb4097134ff3c332f>
    <TaxCatchAll xmlns="10dc75f0-f2a5-4152-8ffa-1cdc8f900c09" xsi:nil="true"/>
    <Hyperlink xmlns="3e486212-abdd-488a-bd93-e313ac9ef1c0">
      <Url xsi:nil="true"/>
      <Description xsi:nil="true"/>
    </Hyperlink>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39E763885C5034EA33AFEB44E20B5DD" ma:contentTypeVersion="20" ma:contentTypeDescription="Create a new document." ma:contentTypeScope="" ma:versionID="33c51c4da5d31f0d9e95b93bd1b55d02">
  <xsd:schema xmlns:xsd="http://www.w3.org/2001/XMLSchema" xmlns:xs="http://www.w3.org/2001/XMLSchema" xmlns:p="http://schemas.microsoft.com/office/2006/metadata/properties" xmlns:ns2="3e486212-abdd-488a-bd93-e313ac9ef1c0" xmlns:ns3="10dc75f0-f2a5-4152-8ffa-1cdc8f900c09" targetNamespace="http://schemas.microsoft.com/office/2006/metadata/properties" ma:root="true" ma:fieldsID="a18da08271b907336adb430a4bfbea6e" ns2:_="" ns3:_="">
    <xsd:import namespace="3e486212-abdd-488a-bd93-e313ac9ef1c0"/>
    <xsd:import namespace="10dc75f0-f2a5-4152-8ffa-1cdc8f900c0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Hyper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486212-abdd-488a-bd93-e313ac9ef1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f6033a7-fbac-4cd0-8a8a-00b65ae7f6db"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Hyperlink" ma:index="26"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dc75f0-f2a5-4152-8ffa-1cdc8f900c0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bae20dd-031e-46ce-9fca-4a0bb37af986}" ma:internalName="TaxCatchAll" ma:showField="CatchAllData" ma:web="10dc75f0-f2a5-4152-8ffa-1cdc8f900c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0B3BCE-C7AB-4CCB-B8FC-4E0C0BDAFD79}">
  <ds:schemaRefs>
    <ds:schemaRef ds:uri="http://schemas.microsoft.com/sharepoint/v3/contenttype/forms"/>
  </ds:schemaRefs>
</ds:datastoreItem>
</file>

<file path=customXml/itemProps2.xml><?xml version="1.0" encoding="utf-8"?>
<ds:datastoreItem xmlns:ds="http://schemas.openxmlformats.org/officeDocument/2006/customXml" ds:itemID="{37399D27-9BFE-4155-AE52-51AF6A72D0EF}">
  <ds:schemaRefs>
    <ds:schemaRef ds:uri="http://schemas.microsoft.com/office/infopath/2007/PartnerControls"/>
    <ds:schemaRef ds:uri="3e486212-abdd-488a-bd93-e313ac9ef1c0"/>
    <ds:schemaRef ds:uri="http://purl.org/dc/dcmitype/"/>
    <ds:schemaRef ds:uri="http://www.w3.org/XML/1998/namespace"/>
    <ds:schemaRef ds:uri="http://schemas.microsoft.com/office/2006/documentManagement/types"/>
    <ds:schemaRef ds:uri="http://purl.org/dc/terms/"/>
    <ds:schemaRef ds:uri="10dc75f0-f2a5-4152-8ffa-1cdc8f900c09"/>
    <ds:schemaRef ds:uri="http://schemas.microsoft.com/office/2006/metadata/properties"/>
    <ds:schemaRef ds:uri="http://purl.org/dc/elements/1.1/"/>
    <ds:schemaRef ds:uri="http://schemas.openxmlformats.org/package/2006/metadata/core-properties"/>
  </ds:schemaRefs>
</ds:datastoreItem>
</file>

<file path=customXml/itemProps3.xml><?xml version="1.0" encoding="utf-8"?>
<ds:datastoreItem xmlns:ds="http://schemas.openxmlformats.org/officeDocument/2006/customXml" ds:itemID="{36239AF0-7A85-483C-93A0-F07025E75C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486212-abdd-488a-bd93-e313ac9ef1c0"/>
    <ds:schemaRef ds:uri="10dc75f0-f2a5-4152-8ffa-1cdc8f900c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14</vt:i4>
      </vt:variant>
    </vt:vector>
  </HeadingPairs>
  <TitlesOfParts>
    <vt:vector size="33" baseType="lpstr">
      <vt:lpstr>Zip Code Lookup Table</vt:lpstr>
      <vt:lpstr>Instructions</vt:lpstr>
      <vt:lpstr>Project Summary</vt:lpstr>
      <vt:lpstr>Premium Eff Motor</vt:lpstr>
      <vt:lpstr>VFDs</vt:lpstr>
      <vt:lpstr>ECM Fan</vt:lpstr>
      <vt:lpstr>VSD Kitchen Fan</vt:lpstr>
      <vt:lpstr>ECM Circulator Pump</vt:lpstr>
      <vt:lpstr>High Efficiency Pumps</vt:lpstr>
      <vt:lpstr>Methodology</vt:lpstr>
      <vt:lpstr>Lookup Table</vt:lpstr>
      <vt:lpstr>Data Export</vt:lpstr>
      <vt:lpstr>Version Log</vt:lpstr>
      <vt:lpstr>Utility Admin</vt:lpstr>
      <vt:lpstr>Supply Fans</vt:lpstr>
      <vt:lpstr>Chilled Water Pumps</vt:lpstr>
      <vt:lpstr>Cooling Tower Fan</vt:lpstr>
      <vt:lpstr>Heating Hot Water Pumps</vt:lpstr>
      <vt:lpstr>Condenser Water Pumps</vt:lpstr>
      <vt:lpstr>CR_Utility</vt:lpstr>
      <vt:lpstr>CR_Utility_Alt</vt:lpstr>
      <vt:lpstr>HVAC_Fan</vt:lpstr>
      <vt:lpstr>HVAC_Fan_Control_Type</vt:lpstr>
      <vt:lpstr>HVAC_Fan_Motor_Function</vt:lpstr>
      <vt:lpstr>HVAC_Pump</vt:lpstr>
      <vt:lpstr>HVAC_Pump_Control_Type</vt:lpstr>
      <vt:lpstr>HVAC_Pump_Motor_Function</vt:lpstr>
      <vt:lpstr>'ECM Fan'!Print_Area</vt:lpstr>
      <vt:lpstr>'Premium Eff Motor'!Print_Area</vt:lpstr>
      <vt:lpstr>'Project Summary'!Print_Area</vt:lpstr>
      <vt:lpstr>VFDs!Print_Area</vt:lpstr>
      <vt:lpstr>'VSD Kitchen Fan'!Print_Area</vt:lpstr>
      <vt:lpstr>Rate_Codes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Janine Morency</dc:creator>
  <cp:keywords/>
  <dc:description/>
  <cp:lastModifiedBy>Tom Cosgro</cp:lastModifiedBy>
  <cp:revision/>
  <dcterms:created xsi:type="dcterms:W3CDTF">2014-05-06T17:45:34Z</dcterms:created>
  <dcterms:modified xsi:type="dcterms:W3CDTF">2026-05-19T21:00:39Z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dlc_DocIdItemGuid">
    <vt:lpwstr>a4cae1f8-bc12-446a-99ab-1e69d7b1254e</vt:lpwstr>
  </property>
  <property fmtid="{D5CDD505-2E9C-101B-9397-08002B2CF9AE}" pid="4" name="ContentTypeId">
    <vt:lpwstr>0x010100039E763885C5034EA33AFEB44E20B5DD</vt:lpwstr>
  </property>
  <property fmtid="{D5CDD505-2E9C-101B-9397-08002B2CF9AE}" pid="5" name="TaxKeyword">
    <vt:lpwstr/>
  </property>
  <property fmtid="{D5CDD505-2E9C-101B-9397-08002B2CF9AE}" pid="6" name="MediaServiceImageTags">
    <vt:lpwstr/>
  </property>
  <property fmtid="{D5CDD505-2E9C-101B-9397-08002B2CF9AE}" pid="7" name="_AdHocReviewCycleID">
    <vt:i4>-1155488923</vt:i4>
  </property>
  <property fmtid="{D5CDD505-2E9C-101B-9397-08002B2CF9AE}" pid="8" name="_EmailSubject">
    <vt:lpwstr>PRIORITY | PPL Business Web Edits </vt:lpwstr>
  </property>
  <property fmtid="{D5CDD505-2E9C-101B-9397-08002B2CF9AE}" pid="9" name="_AuthorEmail">
    <vt:lpwstr>thomas.pluchino@clearesult.com</vt:lpwstr>
  </property>
  <property fmtid="{D5CDD505-2E9C-101B-9397-08002B2CF9AE}" pid="10" name="_AuthorEmailDisplayName">
    <vt:lpwstr>Thomas Pluchino</vt:lpwstr>
  </property>
  <property fmtid="{D5CDD505-2E9C-101B-9397-08002B2CF9AE}" pid="11" name="_PreviousAdHocReviewCycleID">
    <vt:i4>1444189193</vt:i4>
  </property>
  <property fmtid="{D5CDD505-2E9C-101B-9397-08002B2CF9AE}" pid="12" name="_ReviewingToolsShownOnce">
    <vt:lpwstr/>
  </property>
</Properties>
</file>